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1.tab." sheetId="31" r:id="rId31"/>
    <sheet name="32.tab.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1">'1.tab.'!$A$1:$J$99</definedName>
    <definedName name="_xlnm.Print_Area" localSheetId="10">'10.tab.'!$F:$J</definedName>
    <definedName name="_xlnm.Print_Area" localSheetId="11">'11.tab.'!$H:$M</definedName>
    <definedName name="_xlnm.Print_Area" localSheetId="12">'12.tab.'!$H:$N</definedName>
    <definedName name="_xlnm.Print_Area" localSheetId="2">'2.tab.'!$A$1:$M$46</definedName>
    <definedName name="_xlnm.Print_Area" localSheetId="20">'20.tab.'!$A:$R</definedName>
    <definedName name="_xlnm.Print_Area" localSheetId="21">'21.tab.'!$A:$P</definedName>
    <definedName name="_xlnm.Print_Area" localSheetId="22">'22.tab.'!$A:$E</definedName>
    <definedName name="_xlnm.Print_Area" localSheetId="25">'25.tab.'!$A:$I</definedName>
    <definedName name="_xlnm.Print_Area" localSheetId="26">'26.tab.'!$A$1:$D$58</definedName>
    <definedName name="_xlnm.Print_Area" localSheetId="27">'27.tab.'!$K:$T</definedName>
    <definedName name="_xlnm.Print_Area" localSheetId="28">'28.tab.'!$K:$T</definedName>
    <definedName name="_xlnm.Print_Area" localSheetId="29">'29.tab.'!$F:$J</definedName>
    <definedName name="_xlnm.Print_Area" localSheetId="3">'3.tab.'!$A$1:$O$249</definedName>
    <definedName name="_xlnm.Print_Area" localSheetId="30">'31.tab.'!$A$1:$G$84</definedName>
    <definedName name="_xlnm.Print_Area" localSheetId="4">'4.tab.'!$H:$N</definedName>
    <definedName name="_xlnm.Print_Area" localSheetId="5">'5.tab.'!$H$1:$M$47</definedName>
    <definedName name="_xlnm.Print_Area" localSheetId="6">'6.tab.'!$G:$L</definedName>
    <definedName name="_xlnm.Print_Area" localSheetId="7">'7.tab.'!$H:$N</definedName>
    <definedName name="_xlnm.Print_Area" localSheetId="8">'8.tab.'!$G:$L</definedName>
    <definedName name="_xlnm.Print_Area" localSheetId="9">'9.tab.'!$F:$J</definedName>
    <definedName name="_xlnm.Print_Titles" localSheetId="1">'1.tab.'!$7:$9</definedName>
    <definedName name="_xlnm.Print_Titles" localSheetId="12">'12.tab.'!$5:$7</definedName>
    <definedName name="_xlnm.Print_Titles" localSheetId="13">'13.tab.'!$7:$8</definedName>
    <definedName name="_xlnm.Print_Titles" localSheetId="19">'19.tab.'!$7:$11</definedName>
    <definedName name="_xlnm.Print_Titles" localSheetId="20">'20.tab.'!$6:$10</definedName>
    <definedName name="_xlnm.Print_Titles" localSheetId="21">'21.tab.'!$6:$10</definedName>
    <definedName name="_xlnm.Print_Titles" localSheetId="22">'22.tab.'!$6:$8</definedName>
    <definedName name="_xlnm.Print_Titles" localSheetId="25">'25.tab.'!$7:$10</definedName>
    <definedName name="_xlnm.Print_Titles" localSheetId="27">'27.tab.'!$8:$11</definedName>
    <definedName name="_xlnm.Print_Titles" localSheetId="28">'28.tab.'!$8:$11</definedName>
    <definedName name="_xlnm.Print_Titles" localSheetId="3">'3.tab.'!$8:$9</definedName>
    <definedName name="_xlnm.Print_Titles" localSheetId="30">'31.tab.'!$6:$8</definedName>
    <definedName name="_xlnm.Print_Titles" localSheetId="4">'4.tab.'!$7:$9</definedName>
    <definedName name="_xlnm.Print_Titles" localSheetId="6">'6.tab.'!$7:$9</definedName>
    <definedName name="_xlnm.Print_Titles" localSheetId="7">'7.tab.'!$7:$9</definedName>
    <definedName name="_xlnm.Print_Titles" localSheetId="9">'9.tab.'!$6:$8</definedName>
    <definedName name="Z_615B3042_FCFF_11D4_9C47_00902745261A_.wvu.PrintArea" localSheetId="30" hidden="1">'31.tab.'!$A$1:$G$87</definedName>
    <definedName name="Z_615B3042_FCFF_11D4_9C47_00902745261A_.wvu.PrintTitles" localSheetId="30" hidden="1">'31.tab.'!$6:$8</definedName>
    <definedName name="Z_640C99E1_FCCB_11D4_856D_00105A71C5B5_.wvu.PrintArea" localSheetId="30" hidden="1">'31.tab.'!$A$1:$G$87</definedName>
    <definedName name="Z_640C99E1_FCCB_11D4_856D_00105A71C5B5_.wvu.PrintTitles" localSheetId="30" hidden="1">'31.tab.'!$6:$8</definedName>
    <definedName name="Z_640C99E1_FCCB_11D4_856D_00105A71C5B5_.wvu.Rows" localSheetId="30" hidden="1">'31.tab.'!$86:$65536,'31.tab.'!$1:$85</definedName>
    <definedName name="Z_BC5FEA1E_5696_4CF4_B8B2_A5CF94385785_.wvu.PrintArea" localSheetId="30" hidden="1">'31.tab.'!$A$1:$G$87</definedName>
    <definedName name="Z_BC5FEA1E_5696_4CF4_B8B2_A5CF94385785_.wvu.PrintTitles" localSheetId="30" hidden="1">'31.tab.'!$6:$8</definedName>
  </definedNames>
  <calcPr fullCalcOnLoad="1"/>
</workbook>
</file>

<file path=xl/comments15.xml><?xml version="1.0" encoding="utf-8"?>
<comments xmlns="http://schemas.openxmlformats.org/spreadsheetml/2006/main">
  <authors>
    <author>VinetaP</author>
  </authors>
  <commentList>
    <comment ref="H13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Neaizmirsti pieskaitīt iedz.no-ļa atlikumu uz mēneša beigām
</t>
        </r>
      </text>
    </comment>
    <comment ref="F44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No garās Agneses tabulas , tikai viens cipars
</t>
        </r>
      </text>
    </comment>
  </commentList>
</comments>
</file>

<file path=xl/sharedStrings.xml><?xml version="1.0" encoding="utf-8"?>
<sst xmlns="http://schemas.openxmlformats.org/spreadsheetml/2006/main" count="4024" uniqueCount="1033">
  <si>
    <t>Ieņēmumi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</si>
  <si>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</si>
  <si>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</si>
  <si>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</si>
  <si>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</si>
  <si>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</si>
  <si>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</si>
  <si>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</si>
  <si>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</si>
  <si>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</si>
  <si>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</si>
  <si>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</si>
  <si>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</si>
  <si>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</si>
  <si>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</si>
  <si>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</si>
  <si>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</si>
  <si>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</si>
  <si>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</si>
  <si>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</si>
  <si>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</si>
  <si>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</si>
  <si>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</si>
  <si>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</si>
  <si>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</si>
  <si>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</si>
  <si>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</si>
  <si>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</si>
  <si>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</si>
  <si>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</si>
  <si>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</si>
  <si>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</si>
  <si>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</si>
  <si>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</si>
  <si>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      t.sk. aizņēmuma atmaksa pamatbudžetā</t>
  </si>
  <si>
    <t>Latvijas ostu attīstības fonds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</si>
  <si>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</si>
  <si>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</si>
  <si>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</si>
  <si>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</si>
  <si>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</si>
  <si>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</si>
  <si>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</si>
  <si>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</si>
  <si>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</si>
  <si>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</si>
  <si>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</si>
  <si>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</si>
  <si>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</si>
  <si>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</si>
  <si>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</si>
  <si>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</si>
  <si>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</si>
  <si>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</si>
  <si>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</si>
  <si>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</si>
  <si>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</si>
  <si>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</si>
  <si>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</si>
  <si>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</si>
  <si>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>tūkst.latu</t>
  </si>
  <si>
    <t>Valsts kase/ Pārskatu departaments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</si>
  <si>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</si>
  <si>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</si>
  <si>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</si>
  <si>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</si>
  <si>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Izpilde % pret finansēšanas plānu pārskata periodam           (4/3)</t>
  </si>
  <si>
    <t>1.Ieņēmumi - kopā</t>
  </si>
  <si>
    <t>Īpašiem mērķiem iezīmēti ieņēmumi</t>
  </si>
  <si>
    <t xml:space="preserve">   t.sk.valsts pamatbudžeta dotācijas</t>
  </si>
  <si>
    <t>2.1.Uzturēšanas izdevumi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</si>
  <si>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</si>
  <si>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</si>
  <si>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</si>
  <si>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</si>
  <si>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</si>
  <si>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</si>
  <si>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</si>
  <si>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</si>
  <si>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</si>
  <si>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</si>
  <si>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</si>
  <si>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</si>
  <si>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</si>
  <si>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</si>
  <si>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</si>
  <si>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</si>
  <si>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</si>
  <si>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</si>
  <si>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</si>
  <si>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</si>
  <si>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</si>
  <si>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</si>
  <si>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</si>
  <si>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</si>
  <si>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</si>
  <si>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</si>
  <si>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>(2001.gada septembris)</t>
  </si>
  <si>
    <t>(2001.gada janvāris - septembris)</t>
  </si>
  <si>
    <t>Septembra mēneša izpilde</t>
  </si>
  <si>
    <t>2001. gada 15.oktobris</t>
  </si>
  <si>
    <t xml:space="preserve">Septembra mēneša  izpilde 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</si>
  <si>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</si>
  <si>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</si>
  <si>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</si>
  <si>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</si>
  <si>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</si>
  <si>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</si>
  <si>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</si>
  <si>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</si>
  <si>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</si>
  <si>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</si>
  <si>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</si>
  <si>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Pārējie izdevumi, kas nav atspoguļoti pamatgrupās (ieskaitot tīros aizdevumus)*</t>
  </si>
  <si>
    <t>14.00</t>
  </si>
  <si>
    <t xml:space="preserve">Valsts kases pārvaldnieks                                                              </t>
  </si>
  <si>
    <t>2001.gada 15.oktobris</t>
  </si>
  <si>
    <t xml:space="preserve">Septembra  mēneša  izpilde </t>
  </si>
  <si>
    <t>septembris</t>
  </si>
  <si>
    <t>(2001. gada janvāris-septembris)</t>
  </si>
  <si>
    <t xml:space="preserve">septembra mēneša  izpilde </t>
  </si>
  <si>
    <t>(2001.gada janvāris-septembris</t>
  </si>
  <si>
    <t>(2001.gada janvāris - Augusts)</t>
  </si>
  <si>
    <t xml:space="preserve">Septembra
 mēneša  izpilde </t>
  </si>
  <si>
    <t>Informatīvi: valsts fondēto pensiju shēmas līdzekļi</t>
  </si>
  <si>
    <t>tūkst.ls</t>
  </si>
  <si>
    <t xml:space="preserve">* t.sk.aizņēmums no pamatbudžeta saskaņā ar FM rīkojumu  </t>
  </si>
  <si>
    <t xml:space="preserve">    (2001.gada janvāris-septembris)</t>
  </si>
  <si>
    <t xml:space="preserve">              (2001.gada janvāris-septembris)</t>
  </si>
  <si>
    <t>(2001.gada janvāris-septembris)</t>
  </si>
  <si>
    <t xml:space="preserve">             (2001.gada janvāris - septembris)</t>
  </si>
  <si>
    <t xml:space="preserve">Septembris mēneša  izpilde </t>
  </si>
  <si>
    <t>(2001. gada janvāris - septembris)</t>
  </si>
  <si>
    <t xml:space="preserve">Septembra mēneša izpilde </t>
  </si>
  <si>
    <t>2001.gada 15. oktobris</t>
  </si>
  <si>
    <t>(2001.gada janvāris -septembris)</t>
  </si>
  <si>
    <t>(2001.gada janvāris- septembris)</t>
  </si>
  <si>
    <t>Fiskālais deficīts 
(-), 
pārpalikums (+)      (2-5)</t>
  </si>
  <si>
    <t>Finansē-
šana                   -(5-9)</t>
  </si>
  <si>
    <t>(2001.gada  janvāris - septembris)</t>
  </si>
  <si>
    <t xml:space="preserve"> No valsts pamatbudžeta saņemtā dotācija PFIF 5 508 tūkst. latu</t>
  </si>
  <si>
    <t>* nesadalītais atlikums uz perioda beigām -907 tūkst.latu</t>
  </si>
  <si>
    <t>(2001. gada septembris)</t>
  </si>
  <si>
    <t>2001. gada 15. oktobris</t>
  </si>
  <si>
    <r>
      <t xml:space="preserve">Programmas "Valsts aizsardzība, drošība un integrācija NATO" izpilde 
</t>
    </r>
    <r>
      <rPr>
        <sz val="12"/>
        <rFont val="Arial"/>
        <family val="2"/>
      </rPr>
      <t>(2001. gada janvāris - septembris)</t>
    </r>
  </si>
  <si>
    <t xml:space="preserve">     Centralizētā bruņojuma un munīcijas 
     nodrošināsanas izdevumi</t>
  </si>
  <si>
    <t xml:space="preserve">fiskālajam deficītam * :  </t>
  </si>
  <si>
    <t>* t.s. VAS "Privatizācijas aģentūra" izdevumi - 3 milj.latu</t>
  </si>
  <si>
    <t xml:space="preserve">Nodokļu ieņēmumus (891 tūkst.latu) sastāda pamatbudžeta nodokļu </t>
  </si>
  <si>
    <t xml:space="preserve">ieņēmumi (439 tūkst.latu) plus speciālā budžeta nodokļu ieņēmumi (452 tūkst.latu) 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</si>
  <si>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</si>
  <si>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</si>
  <si>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</si>
  <si>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</si>
  <si>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</si>
  <si>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</si>
  <si>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</si>
  <si>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</si>
  <si>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</si>
  <si>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</si>
  <si>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</si>
  <si>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 xml:space="preserve">  Indikatīvie mērķi valsts budžeta </t>
  </si>
  <si>
    <t>Fondēto pensiju shēmas līdzekļi</t>
  </si>
  <si>
    <t xml:space="preserve">   t.sk. sociālās apdrošināšanas obligātās iemaksas</t>
  </si>
  <si>
    <t>2001.gada 15.februārī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</si>
  <si>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</si>
  <si>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</si>
  <si>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</si>
  <si>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 xml:space="preserve">Izglītība </t>
  </si>
  <si>
    <t xml:space="preserve">Izglītība  </t>
  </si>
  <si>
    <t>t.sk. tīrie  aizdevumi</t>
  </si>
  <si>
    <t>Pārējie izdevumi, kas nav atspoguļoti pamatgrupās  (ieskaitot tīros aizdevumus)</t>
  </si>
  <si>
    <t>9.tabula</t>
  </si>
  <si>
    <t xml:space="preserve">Valsts  budžeta  ziedojumu un dāvinājumu ieņēmumi un izdevumi pa ministrijām un citām centrālām valsts iestādēm </t>
  </si>
  <si>
    <t>Izpilde % pret finansēšanas plānu (3/2)</t>
  </si>
  <si>
    <t xml:space="preserve">Izdevumi - kopā 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</si>
  <si>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</si>
  <si>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</si>
  <si>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</si>
  <si>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 xml:space="preserve">Izpilde no gada sākuma 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</si>
  <si>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</si>
  <si>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</si>
  <si>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</si>
  <si>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</si>
  <si>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</si>
  <si>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</si>
  <si>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 xml:space="preserve">    valsts sociālās apdrošināšanas obligātās iemaksas</t>
  </si>
  <si>
    <t xml:space="preserve">     t.sk. preču un pakalpojumu izdevumi  </t>
  </si>
  <si>
    <t xml:space="preserve">            pārējie izdevumi</t>
  </si>
  <si>
    <t xml:space="preserve">     aizņēmumu atmaksa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</si>
  <si>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</si>
  <si>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</si>
  <si>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</si>
  <si>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</si>
  <si>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</si>
  <si>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Investīcijas</t>
  </si>
  <si>
    <t>Fiskālā bilance (1.-2.)</t>
  </si>
  <si>
    <t>Naudas līdzekļu atlikumu izmaiņas palielinājums (-) vai samazinājums (+)</t>
  </si>
  <si>
    <t xml:space="preserve">Valsts kases pārvaldnieks                                                                      </t>
  </si>
  <si>
    <t>11.tabula</t>
  </si>
  <si>
    <t>Valsts budžeta ziedojumu un dāvinājumu izdevumi pēc valdības funkcijām</t>
  </si>
  <si>
    <t xml:space="preserve">Valdības funkciju kods </t>
  </si>
  <si>
    <t>Izpilde % pret finansēšanas plānu  (4/3)</t>
  </si>
  <si>
    <t>01.000</t>
  </si>
  <si>
    <t>02.000</t>
  </si>
  <si>
    <t>Brīvais laiks, sports, kultūra un reliģija</t>
  </si>
  <si>
    <t>Lauksaimniecība (zemkopība), mežkopība un zvejniecība</t>
  </si>
  <si>
    <t>10. tabula</t>
  </si>
  <si>
    <t>12.tabula</t>
  </si>
  <si>
    <t xml:space="preserve">Ārvalstu finansu palīdzības un valsts budžeta līdzdalības maksājumi </t>
  </si>
  <si>
    <t>(latos)</t>
  </si>
  <si>
    <t>Izpilde % pret finansēša-nas plānu pārskata periodam 
  (4/3)</t>
  </si>
  <si>
    <t>Mēneša izpilde</t>
  </si>
  <si>
    <t xml:space="preserve">   1. Ārvalstu finansu palīdzība
un valsts pamatbudžeta 
līdzdalības maksājumi kopā</t>
  </si>
  <si>
    <t xml:space="preserve">     Uzturēšanas izdevumi</t>
  </si>
  <si>
    <t xml:space="preserve">     Izdevumi kapitālieguldījumiem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</si>
  <si>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</si>
  <si>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</si>
  <si>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</si>
  <si>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</si>
  <si>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</si>
  <si>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</si>
  <si>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</si>
  <si>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</si>
  <si>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</si>
  <si>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</si>
  <si>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</si>
  <si>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</si>
  <si>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</si>
  <si>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</si>
  <si>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</si>
  <si>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</si>
  <si>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</si>
  <si>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</si>
  <si>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</si>
  <si>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</si>
  <si>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</si>
  <si>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</si>
  <si>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</si>
  <si>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</si>
  <si>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</si>
  <si>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</si>
  <si>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</si>
  <si>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</si>
  <si>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</si>
  <si>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</si>
  <si>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</si>
  <si>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</si>
  <si>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</si>
  <si>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</si>
  <si>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</si>
  <si>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</si>
  <si>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</si>
  <si>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</si>
  <si>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</si>
  <si>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</si>
  <si>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</si>
  <si>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</si>
  <si>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</si>
  <si>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</si>
  <si>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</si>
  <si>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</si>
  <si>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</si>
  <si>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</si>
  <si>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</si>
  <si>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</si>
  <si>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</si>
  <si>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</si>
  <si>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</si>
  <si>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</si>
  <si>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</si>
  <si>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</si>
  <si>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</si>
  <si>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</si>
  <si>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</si>
  <si>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</si>
  <si>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</si>
  <si>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>14.tabula</t>
  </si>
  <si>
    <t xml:space="preserve">                                       Valsts kases oficiālais mēneša pārskats</t>
  </si>
  <si>
    <t>Pašvaldību pamatbudžeta ieņēmumi</t>
  </si>
  <si>
    <t>Marts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</si>
  <si>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</si>
  <si>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</si>
  <si>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</si>
  <si>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</si>
  <si>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</si>
  <si>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</si>
  <si>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</si>
  <si>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</si>
  <si>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</si>
  <si>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</si>
  <si>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</si>
  <si>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</si>
  <si>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</si>
  <si>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</si>
  <si>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</si>
  <si>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</si>
  <si>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</si>
  <si>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</si>
  <si>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</si>
  <si>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</si>
  <si>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</si>
  <si>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</si>
  <si>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</si>
  <si>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</si>
  <si>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</si>
  <si>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</si>
  <si>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</si>
  <si>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</si>
  <si>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</si>
  <si>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</si>
  <si>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</si>
  <si>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</si>
  <si>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</si>
  <si>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</si>
  <si>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</si>
  <si>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</si>
  <si>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</si>
  <si>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</si>
  <si>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</si>
  <si>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</si>
  <si>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</si>
  <si>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</si>
  <si>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>(2001.gada janvāris - marts)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</si>
  <si>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</si>
  <si>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</si>
  <si>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</si>
  <si>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</si>
  <si>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</si>
  <si>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</si>
  <si>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</si>
  <si>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</si>
  <si>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</si>
  <si>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</si>
  <si>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</si>
  <si>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</si>
  <si>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</si>
  <si>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</si>
  <si>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</si>
  <si>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</si>
  <si>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</si>
  <si>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</si>
  <si>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</si>
  <si>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</si>
  <si>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</si>
  <si>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 xml:space="preserve">                                                             (tūkst.latu)</t>
  </si>
  <si>
    <t xml:space="preserve">Februāra mēneša  izpilde 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</si>
  <si>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</si>
  <si>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</si>
  <si>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</si>
  <si>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</si>
  <si>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</si>
  <si>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</si>
  <si>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</si>
  <si>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</si>
  <si>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</si>
  <si>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</si>
  <si>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</si>
  <si>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</si>
  <si>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</si>
  <si>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</si>
  <si>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</si>
  <si>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</si>
  <si>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</si>
  <si>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</si>
  <si>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</si>
  <si>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</si>
  <si>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</si>
  <si>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</si>
  <si>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</si>
  <si>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</si>
  <si>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</si>
  <si>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</si>
  <si>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</si>
  <si>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</si>
  <si>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</si>
  <si>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</si>
  <si>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</si>
  <si>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</si>
  <si>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</si>
  <si>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</si>
  <si>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</si>
  <si>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</si>
  <si>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</si>
  <si>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</si>
  <si>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</si>
  <si>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</si>
  <si>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</si>
  <si>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</si>
  <si>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</si>
  <si>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</si>
  <si>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</si>
  <si>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</si>
  <si>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</si>
  <si>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</si>
  <si>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</si>
  <si>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</si>
  <si>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</si>
  <si>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</si>
  <si>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</si>
  <si>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</si>
  <si>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</si>
  <si>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</si>
  <si>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</si>
  <si>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</si>
  <si>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</si>
  <si>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</si>
  <si>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</si>
  <si>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</si>
  <si>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</si>
  <si>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</si>
  <si>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</si>
  <si>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</si>
  <si>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</si>
  <si>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</si>
  <si>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</si>
  <si>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</si>
  <si>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</si>
  <si>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</si>
  <si>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</si>
  <si>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</si>
  <si>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</si>
  <si>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</si>
  <si>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</si>
  <si>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</si>
  <si>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</si>
  <si>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</si>
  <si>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</si>
  <si>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</si>
  <si>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</si>
  <si>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</si>
  <si>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</si>
  <si>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</si>
  <si>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</si>
  <si>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</si>
  <si>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</si>
  <si>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</si>
  <si>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</si>
  <si>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</si>
  <si>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</si>
  <si>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</si>
  <si>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</si>
  <si>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</si>
  <si>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</si>
  <si>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</si>
  <si>
    <t>Valsts kases pārvaldnieks                                                                                                A. Veiss</t>
  </si>
  <si>
    <t xml:space="preserve">Augusta mēneša  izpilde </t>
  </si>
  <si>
    <t xml:space="preserve">Valsts kases pārvaldnieks                                                                         </t>
  </si>
  <si>
    <t>(2001.gada janvāris - augusts)</t>
  </si>
  <si>
    <t xml:space="preserve">Valsts kases pārvaldnieks                                                                 A.Veiss                                                </t>
  </si>
  <si>
    <t xml:space="preserve">              (2001.gada janvāris-augusts)</t>
  </si>
  <si>
    <t xml:space="preserve">    aizņēmumi </t>
  </si>
  <si>
    <t>Maksas pakalpojumu un citu pašu ieņēmumu  naudas līdzekļu atlikumu izmaiņas palielinājums (-) vai samazinājums (+)*</t>
  </si>
  <si>
    <t xml:space="preserve">   Ārvasltu finansu palīdzība</t>
  </si>
  <si>
    <t xml:space="preserve">   Ārvalstu finansu palīdzība</t>
  </si>
  <si>
    <t xml:space="preserve">Valsts kases pārvaldnieks                                                </t>
  </si>
  <si>
    <t xml:space="preserve">Valsts kases pārvaldnieks                                 </t>
  </si>
  <si>
    <t>y</t>
  </si>
  <si>
    <t xml:space="preserve">Valsts kases pārvaldnieks                               </t>
  </si>
  <si>
    <t>augusts</t>
  </si>
  <si>
    <t xml:space="preserve">Valsts kases pārvaldnieks                                                             </t>
  </si>
  <si>
    <t>mēnesis</t>
  </si>
  <si>
    <t xml:space="preserve">Valsts kases pārvaldnieks                                                                </t>
  </si>
  <si>
    <t>jūnijs</t>
  </si>
  <si>
    <t>Pārējie izdevumi, kas nav atspoguļoti pamatgrupās*</t>
  </si>
  <si>
    <t>* iekļauta Šveices valdības palīdzība 54 tūkst.latu</t>
  </si>
  <si>
    <t>Vides un reģionālās attīstības ministrija</t>
  </si>
  <si>
    <t>Valsts kases pārvaldnieks                                                                                               A. Veiss</t>
  </si>
  <si>
    <t xml:space="preserve">Valsts kases pārvaldnieks                          </t>
  </si>
  <si>
    <t xml:space="preserve">Valsts kases pārvaldnieks                                          </t>
  </si>
  <si>
    <t>Valsts kases pārvaldnieks                                                                                                    A. Veiss</t>
  </si>
  <si>
    <t xml:space="preserve">Valsts kases pārvaldnieks                                                                                                                                                        A. Veiss                               </t>
  </si>
  <si>
    <t>Valsts kases pārvaldnieks                                                                                                                                       A. Veiss</t>
  </si>
  <si>
    <t xml:space="preserve">Valsts kases pārvaldnieks                                                                     A. Veiss                                        </t>
  </si>
  <si>
    <t xml:space="preserve">Valsts kases pārvaldnieks                                                           </t>
  </si>
  <si>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</si>
  <si>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</si>
  <si>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</si>
  <si>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
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</si>
  <si>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</si>
  <si>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</si>
  <si>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</si>
  <si>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</si>
  <si>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</si>
  <si>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
šanas</t>
  </si>
  <si>
    <t>Kapitālie</t>
  </si>
  <si>
    <t>Tīrie
aizdevumi</t>
  </si>
  <si>
    <t>Kopā</t>
  </si>
  <si>
    <t>Budžeta līdzekļu izmaiņas         (12-13)</t>
  </si>
  <si>
    <t>No komercbankām</t>
  </si>
  <si>
    <t>21.tabula</t>
  </si>
  <si>
    <t>Pašvaldību  budžeta ziedojumu un dāvinājumu  izpildes rādītāji</t>
  </si>
  <si>
    <t>Aizdevumi/ atmaksas</t>
  </si>
  <si>
    <t>Finansiālais deficīts (-), pārpalikums (+)   
    (6-7)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</si>
  <si>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</si>
  <si>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</si>
  <si>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</si>
  <si>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</si>
  <si>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</si>
  <si>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Izpilde % pret gada plānu  (3/2)</t>
  </si>
  <si>
    <t>Fiskālā bilance (1.-2.-3)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</si>
  <si>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</si>
  <si>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</si>
  <si>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</si>
  <si>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</si>
  <si>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</si>
  <si>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</si>
  <si>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</si>
  <si>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</si>
  <si>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</si>
  <si>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</si>
  <si>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</si>
  <si>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</si>
  <si>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</si>
  <si>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</si>
  <si>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</si>
  <si>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</si>
  <si>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</si>
  <si>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</si>
  <si>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</si>
  <si>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</si>
  <si>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</si>
  <si>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</si>
  <si>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</si>
  <si>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</si>
  <si>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</si>
  <si>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</si>
  <si>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</si>
  <si>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</si>
  <si>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</si>
  <si>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</si>
  <si>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</si>
  <si>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</si>
  <si>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</si>
  <si>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</si>
  <si>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</si>
  <si>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</si>
  <si>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Ierobežojumi kopbudžeta </t>
  </si>
  <si>
    <t>(milj. latu)</t>
  </si>
  <si>
    <t>1. janvāris - 31. marts, 2001 (indikatīvā robeža)</t>
  </si>
  <si>
    <t>1. janvāris - 30. septembris, 2001 : kontroles rādītājs</t>
  </si>
  <si>
    <t>1. janvāris - 31. decembris, 2001 : kontroles rādītājs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</si>
  <si>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</si>
  <si>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</si>
  <si>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</si>
  <si>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</si>
  <si>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</si>
  <si>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</si>
  <si>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>No 31. decembra, 2000 līdz:</t>
  </si>
  <si>
    <t xml:space="preserve"> Kopā       1-5 gadi</t>
  </si>
  <si>
    <t>31. martam, 2001 (indikatīvi)</t>
  </si>
  <si>
    <t xml:space="preserve">   52                52</t>
  </si>
  <si>
    <t xml:space="preserve">    0                 0</t>
  </si>
  <si>
    <t>30. jūnijam, 2001 : kontroles rādītājs</t>
  </si>
  <si>
    <t xml:space="preserve">  242               52</t>
  </si>
  <si>
    <t>30. septembrim, 2001 : kontroles rādītājs</t>
  </si>
  <si>
    <t xml:space="preserve">  300               52</t>
  </si>
  <si>
    <t>31. decembrim, 2001 : kontroles rādītājs</t>
  </si>
  <si>
    <t xml:space="preserve">  320               72</t>
  </si>
  <si>
    <t>III.</t>
  </si>
  <si>
    <t xml:space="preserve">  Ierobežojumi valdības ārējam parādam </t>
  </si>
  <si>
    <t xml:space="preserve">  ar termiņu līdz 1 gadam:</t>
  </si>
  <si>
    <t>IV.</t>
  </si>
  <si>
    <t>1. janvāris - 30. septembris, 2001 (indikatīvā robeža)</t>
  </si>
  <si>
    <t>1. janvāris - 31. decembris, 2001 (indikatīvā robeža)</t>
  </si>
  <si>
    <t>27.tabula</t>
  </si>
  <si>
    <t>Ministriju un centrālo valsts iestāžu ilgtermiņa valsts saistību limiti</t>
  </si>
  <si>
    <t>Ministriju un centrālo valsts iestāžu valsts ilgtermiņa saistību limiti</t>
  </si>
  <si>
    <t>2002., 2003. gadam un turpmākajiem gadiem valsts pamatbudžetā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</si>
  <si>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</si>
  <si>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</si>
  <si>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</si>
  <si>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</si>
  <si>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</si>
  <si>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</si>
  <si>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</si>
  <si>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</si>
  <si>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</si>
  <si>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</si>
  <si>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</si>
  <si>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</si>
  <si>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</si>
  <si>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28.tabula</t>
  </si>
  <si>
    <t>2002., 2003. gadam un turpmākajiem gadiem valsts speciālajā budžetā</t>
  </si>
  <si>
    <t>Valsts kases pārvaldnieks ________________________________________ (A.Veiss)</t>
  </si>
  <si>
    <t>29.tabula</t>
  </si>
  <si>
    <t>Programmas "Valsts aizsardzība, drošība un integrācija NATO" izpilde 
(saimnieciskais gads, pārskata periods)</t>
  </si>
  <si>
    <t>Izpilde  % pret gada plānu         (4/2)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</si>
  <si>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</si>
  <si>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</si>
  <si>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</si>
  <si>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</si>
  <si>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</si>
  <si>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</si>
  <si>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</si>
  <si>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</si>
  <si>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</si>
  <si>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</si>
  <si>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</si>
  <si>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</si>
  <si>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</si>
  <si>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</si>
  <si>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</si>
  <si>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</si>
  <si>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>32.tabula</t>
  </si>
  <si>
    <t xml:space="preserve">Valsts kases kontu atlikumi kredītiestādēs </t>
  </si>
  <si>
    <t>Iepriekšējā gada beigās</t>
  </si>
  <si>
    <t>Aizņēmums no pamatbudžeta *</t>
  </si>
  <si>
    <t>Izdevumi**</t>
  </si>
  <si>
    <t>]</t>
  </si>
  <si>
    <t xml:space="preserve">Ieņēmumi </t>
  </si>
  <si>
    <t xml:space="preserve">Uzturēšanas izdevumi </t>
  </si>
  <si>
    <t>Pārbaude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</si>
  <si>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</si>
  <si>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</si>
  <si>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</si>
  <si>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</si>
  <si>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</si>
  <si>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</si>
  <si>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</si>
  <si>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</si>
  <si>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</si>
  <si>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</si>
  <si>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</si>
  <si>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</si>
  <si>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</si>
  <si>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</si>
  <si>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</si>
  <si>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</si>
  <si>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</si>
  <si>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</si>
  <si>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</si>
  <si>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</si>
  <si>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</si>
  <si>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</si>
  <si>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</si>
  <si>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</si>
  <si>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</si>
  <si>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</si>
  <si>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</si>
  <si>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 xml:space="preserve">** konsolidēts par sociālās apdrošināšanas iekšējiem maksājumiem 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</si>
  <si>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</si>
  <si>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</si>
  <si>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</si>
  <si>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Rādītāji</t>
  </si>
  <si>
    <t>Konsolidētais
valsts budžets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</si>
  <si>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</si>
  <si>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</si>
  <si>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</si>
  <si>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</si>
  <si>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</si>
  <si>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</si>
  <si>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</si>
  <si>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</si>
  <si>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</si>
  <si>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</si>
  <si>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</si>
  <si>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</si>
  <si>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</si>
  <si>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</si>
  <si>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</si>
  <si>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</si>
  <si>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</si>
  <si>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</si>
  <si>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</si>
  <si>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</si>
  <si>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</si>
  <si>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</si>
  <si>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</si>
  <si>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</si>
  <si>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</si>
  <si>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</si>
  <si>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</si>
  <si>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</si>
  <si>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</si>
  <si>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</si>
  <si>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</si>
  <si>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</si>
  <si>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</si>
  <si>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</si>
  <si>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</si>
  <si>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</si>
  <si>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</si>
  <si>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</si>
  <si>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</si>
  <si>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</si>
  <si>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 xml:space="preserve">               - Pārējie nodokļi</t>
  </si>
  <si>
    <t xml:space="preserve">               Azartspēļu un izložu nodoklis</t>
  </si>
  <si>
    <t xml:space="preserve">             Dabas resursu nodoklis</t>
  </si>
  <si>
    <t xml:space="preserve">       Nenodokļu ieņēmumi</t>
  </si>
  <si>
    <t xml:space="preserve">       Maksas pakalpojumi un citi pašu ieņēmumi</t>
  </si>
  <si>
    <t xml:space="preserve">       Ārvalstu finansu palīdzība</t>
  </si>
  <si>
    <t xml:space="preserve">          naudas līdzekļu atlikumu izmaiņas</t>
  </si>
  <si>
    <t xml:space="preserve">          aizņēmumi no valsts pamatbudžeta</t>
  </si>
  <si>
    <t>Pārējie nodokļi</t>
  </si>
  <si>
    <t xml:space="preserve">    Azartspēļu un izložu nodoklis</t>
  </si>
  <si>
    <t xml:space="preserve">     Izložu un azartspēļu valsts nodeva</t>
  </si>
  <si>
    <t xml:space="preserve">           Izložu un azartspēļu valsts nodeva </t>
  </si>
  <si>
    <t xml:space="preserve">     Valsts nodeva par azartspēļu iekārtu marķēšanu</t>
  </si>
  <si>
    <t xml:space="preserve">     Pārskaitījums valsts pamatbudžetā sociālās
     apdrošināšanas iemaksu administrēšanai                         </t>
  </si>
  <si>
    <t xml:space="preserve">     VAS "Latvijas meži" fiksētais maksājums</t>
  </si>
  <si>
    <t xml:space="preserve">      Iemaksas no Dzelzceļa infrastruktūras fonda</t>
  </si>
  <si>
    <t xml:space="preserve">      Apdrošināšanas uzraudzības inspekcijas vienreizējā  iemaksa Finansu un kapitāla tirgus komisijas izveidei</t>
  </si>
  <si>
    <t xml:space="preserve">      Ieņēmumi no  valsts rezervēs esošo materiālo vērtību realizācijas</t>
  </si>
  <si>
    <t xml:space="preserve">Valsts kases pārvaldnieka v.i.                                                             </t>
  </si>
  <si>
    <t>V.Lindemanis</t>
  </si>
  <si>
    <t>47 Nacionālā radio un televīzijas padome</t>
  </si>
  <si>
    <t>naudas līdzekļu atlikumu izmaiņas palielinājums (-) vai samazinājums (+)</t>
  </si>
  <si>
    <t xml:space="preserve">    Atskaitījumi no ostas maksām</t>
  </si>
  <si>
    <t xml:space="preserve">Valsts kases pārvaldnieks                                                                           </t>
  </si>
  <si>
    <t>1. janvāris - 30. jūnijs, 2001 : kontroles rādītājs</t>
  </si>
  <si>
    <t xml:space="preserve">  nodokļu ieņēmumiem: </t>
  </si>
  <si>
    <t xml:space="preserve">1. janvāris - 30. jūnijs, 2001 (indikatīvā robeža) </t>
  </si>
  <si>
    <t>31.tabula</t>
  </si>
  <si>
    <t>Ārvalstu finansu palīdzības ( ISPA) un valsts budžeta līdzdalības maksājumi</t>
  </si>
  <si>
    <t>Projekta kods</t>
  </si>
  <si>
    <t xml:space="preserve">Projekts                                                                   Râdîtâji </t>
  </si>
  <si>
    <t>Finansēšanas plâns pârskata periodam</t>
  </si>
  <si>
    <t>Izpilde % pret gada plānu (5/3)</t>
  </si>
  <si>
    <t>Izdevumi - pavisam</t>
  </si>
  <si>
    <t xml:space="preserve"> Ārvalstu finansu palīdzība </t>
  </si>
  <si>
    <t>2000/LV/16/P/PT/004</t>
  </si>
  <si>
    <t>TRr04 Austrumu - Rietumu dzelzceļa koridora rekonstrukcija: Rēzeknes II pieņemšanas parka būvniecība</t>
  </si>
  <si>
    <t xml:space="preserve">Ārvalstu finansu palīdzība </t>
  </si>
  <si>
    <t>2000/LV/P/PT/003</t>
  </si>
  <si>
    <t>TRr12-01 Austrumu - Rietumu dzelzceļa koridora rekonstrukcija: pārmiju pārvadu nomaiņa</t>
  </si>
  <si>
    <t>2000/LV/16/P/PA/005</t>
  </si>
  <si>
    <t>Austrumu - Rietumu dzelzceļa koridora modernizācija: vilcienu kustības vadības sistēmas modernizācija (tehniskā palīdzība) un Austrumu - Rietumu dzelzceļa koridora modernizācija: sakarsušo bukšu atklāšanas sistēmas modernizācija (tehniskā palīdzība)</t>
  </si>
  <si>
    <t xml:space="preserve">TRm04 Uzlabojumi Via Baltica maršrutā un Rietumu - Austrumu koridorā </t>
  </si>
  <si>
    <t>2000/LV/16/P/PA/003</t>
  </si>
  <si>
    <t>Bīstamo atkritumu apsaimniekošanas sistēma - atkritumu apglabāšanas poligona izveide</t>
  </si>
  <si>
    <t>Eiropas Savienības finansētie pašvaldību projekti</t>
  </si>
  <si>
    <t>2000/LV/16/P/PE/003</t>
  </si>
  <si>
    <t>Ventspils ūdensaimniecības projekts</t>
  </si>
  <si>
    <t>2000/LV/16/P/PE/002</t>
  </si>
  <si>
    <t>Jelgavas ūdensaimniecības attīstības projekts</t>
  </si>
  <si>
    <t>2000/LV/16/P/PE/001</t>
  </si>
  <si>
    <t xml:space="preserve">Rīgas ūdens un apkārtējās vides projekta II fāze </t>
  </si>
  <si>
    <t>ISPA</t>
  </si>
  <si>
    <t>Malienas reģionālais sadzīves atkritumu apsaimniekošanas projekts</t>
  </si>
  <si>
    <t xml:space="preserve">Liepājas reģiona sadzīves atkritumu  apsaimniekošanas projekts </t>
  </si>
  <si>
    <t>200/LV/16/P/PE/004</t>
  </si>
  <si>
    <t>Cieto sadzīves atkritumu apsaimniekošanas sistēmas izveidošana Ventspils reģionā</t>
  </si>
  <si>
    <t>Sadzīves atkritumu apsaimniekošanas sistēmas izveide Ziemeļvidzemes reģionā</t>
  </si>
  <si>
    <t>Norēķinu kontu atlikumu izmaiņas</t>
  </si>
  <si>
    <t>Valsts kase/Pārskatu departaments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</si>
  <si>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</si>
  <si>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</si>
  <si>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</si>
  <si>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</si>
  <si>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</si>
  <si>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</si>
  <si>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</si>
  <si>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</si>
  <si>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</si>
  <si>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</si>
  <si>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</si>
  <si>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</si>
  <si>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</si>
  <si>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</si>
  <si>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</si>
  <si>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</si>
  <si>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</si>
  <si>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</si>
  <si>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</si>
  <si>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</si>
  <si>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</si>
  <si>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</si>
  <si>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</si>
  <si>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</si>
  <si>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</si>
  <si>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</si>
  <si>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</si>
  <si>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</si>
  <si>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</si>
  <si>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</si>
  <si>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</si>
  <si>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</si>
  <si>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</si>
  <si>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</si>
  <si>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</si>
  <si>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</si>
  <si>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</si>
  <si>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</si>
  <si>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</si>
  <si>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</t>
  </si>
  <si>
    <t xml:space="preserve">          ieņēmumi no valsts nekustāmā īpašuma pārdošanas</t>
  </si>
  <si>
    <t xml:space="preserve">          aizņēmumi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</si>
  <si>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</si>
  <si>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</si>
  <si>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</si>
  <si>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</si>
  <si>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</si>
  <si>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</si>
  <si>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</si>
  <si>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</si>
  <si>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</si>
  <si>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</si>
  <si>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</si>
  <si>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</si>
  <si>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</si>
  <si>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</si>
  <si>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</si>
  <si>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</si>
  <si>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</si>
  <si>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</si>
  <si>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</si>
  <si>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</si>
  <si>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</si>
  <si>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</si>
  <si>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</si>
  <si>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</si>
  <si>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</si>
  <si>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jūnija  mēneša  izpilde </t>
  </si>
  <si>
    <t xml:space="preserve">                t.sk.   pensijas 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</si>
  <si>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</si>
  <si>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</si>
  <si>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</si>
  <si>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</si>
  <si>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</si>
  <si>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</si>
  <si>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</si>
  <si>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</si>
  <si>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>Valsts kase / Pārskatu departaments</t>
  </si>
  <si>
    <t>1999.gada 15.oktobris</t>
  </si>
  <si>
    <t>2.tabula</t>
  </si>
  <si>
    <t>Valsts kases oficiālais mēneša pārskats</t>
  </si>
  <si>
    <t xml:space="preserve">Valsts pamatbudžeta ieņēmumi </t>
  </si>
  <si>
    <t xml:space="preserve">Rādītāji 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</si>
  <si>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</si>
  <si>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</si>
  <si>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</si>
  <si>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</si>
  <si>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</si>
  <si>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</si>
  <si>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</si>
  <si>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</si>
  <si>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</si>
  <si>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</si>
  <si>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</si>
  <si>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</si>
  <si>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</si>
  <si>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</si>
  <si>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</si>
  <si>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</si>
  <si>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</si>
  <si>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</si>
  <si>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</si>
  <si>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Valsts nodeva par jūras navigācijas pakalpojumiem (bāku nodeva)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</si>
  <si>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</si>
  <si>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</si>
  <si>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</si>
  <si>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</si>
  <si>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VAS "Latvijas meži" fiksētais maksājums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</si>
  <si>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</si>
  <si>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</si>
  <si>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>1.3. Pašu ieņēmumi</t>
  </si>
  <si>
    <t xml:space="preserve">   Budžeta iestāžu ieņēmumi no maksas pakalpojumiem           un citi pašu ieņēmumi</t>
  </si>
  <si>
    <t>1.4. Ārvalstu finansu palīdzība</t>
  </si>
  <si>
    <t>A.Veiss</t>
  </si>
  <si>
    <t>Valsts kase /Pārskatu departaments</t>
  </si>
  <si>
    <t>3.tabula</t>
  </si>
  <si>
    <t xml:space="preserve">Valsts kases oficiālais mēneša pārskats </t>
  </si>
  <si>
    <t xml:space="preserve">     Valsts pamatbudżeta ieņēmumi un  izdevumi pa ministrijām un citām centrālām valsts iestādēm </t>
  </si>
  <si>
    <t>kopā ar ārvalstu  finansu palīdzību</t>
  </si>
  <si>
    <t xml:space="preserve">Finansēšanas plāns pārskata periodam </t>
  </si>
  <si>
    <t>Izpilde % pret gada plānu (4/2)</t>
  </si>
  <si>
    <t>Izpilde % pret finansēšanas plānu pārskata periodam 
  (4/3)</t>
  </si>
  <si>
    <t>Ieņēmumi kopā</t>
  </si>
  <si>
    <t>Resursi izdevumu segšanai</t>
  </si>
  <si>
    <t>Dotācijas no vispārējiem ieņēmumiem</t>
  </si>
  <si>
    <t>Dotācijas īpašiem mērķiem</t>
  </si>
  <si>
    <t>Maksas pakalpojumi un citi pašu ieņēmumi</t>
  </si>
  <si>
    <t>Ārvalstu finansu palīdzība</t>
  </si>
  <si>
    <t xml:space="preserve">   Izdevumi - kopā </t>
  </si>
  <si>
    <t>Uzturēšanas izdevumi</t>
  </si>
  <si>
    <t>Izdevumi kapitālieguldījumiem</t>
  </si>
  <si>
    <t>Tīrie aizdevumi</t>
  </si>
  <si>
    <t>Fiskālā bilance</t>
  </si>
  <si>
    <t>1 Valsts prezidenta kanceleja</t>
  </si>
  <si>
    <t>Valsts prezidenta kanceleja</t>
  </si>
  <si>
    <t>Izdevumi kopā</t>
  </si>
  <si>
    <t>2 Saeima</t>
  </si>
  <si>
    <t>Saeima</t>
  </si>
  <si>
    <t>3 Ministru Kabinets</t>
  </si>
  <si>
    <t>Ministru Kabinets</t>
  </si>
  <si>
    <t>10 Aizsardzības ministrija</t>
  </si>
  <si>
    <t>Aizsardzības ministrija</t>
  </si>
  <si>
    <t>11 Ārlietu ministrija</t>
  </si>
  <si>
    <t>Ārlietu ministrija</t>
  </si>
  <si>
    <t>12 Ekonomikas ministrija</t>
  </si>
  <si>
    <t>Ekonomikas ministrija</t>
  </si>
  <si>
    <t>13 Finansu ministrija</t>
  </si>
  <si>
    <t>Finansu ministrija</t>
  </si>
  <si>
    <t>14 Iekšlietu ministrija</t>
  </si>
  <si>
    <t>Iekšlietu ministrija</t>
  </si>
  <si>
    <t>15 Izglītības un zinātnes ministrija</t>
  </si>
  <si>
    <t>Izglītības un zinātnes ministrija</t>
  </si>
  <si>
    <t>16 Zemkopības ministrija</t>
  </si>
  <si>
    <t>Zemkopības ministrija</t>
  </si>
  <si>
    <t>17 Satiksmes ministrija</t>
  </si>
  <si>
    <t>Satiksmes ministrija</t>
  </si>
  <si>
    <t>18 Labklājības ministrija</t>
  </si>
  <si>
    <t>Labklājības ministrija</t>
  </si>
  <si>
    <t>19 Tieslietu ministrija</t>
  </si>
  <si>
    <t>Tieslietu ministrija</t>
  </si>
  <si>
    <t>21 Vides aizsardzības un reģionālās attīstības ministrija</t>
  </si>
  <si>
    <t>Vides aizsardzības un reģionālās attīstības ministrija</t>
  </si>
  <si>
    <t>22 Kultūras ministrija</t>
  </si>
  <si>
    <t>Kultūras ministrija</t>
  </si>
  <si>
    <t>23 Valsts zemes dienests</t>
  </si>
  <si>
    <t>Valsts zemes dienests</t>
  </si>
  <si>
    <t>24 Valsts kontrole</t>
  </si>
  <si>
    <t>Valsts kontrole</t>
  </si>
  <si>
    <t>28 Augstākā tiesa</t>
  </si>
  <si>
    <t>Augstākā tiesa</t>
  </si>
  <si>
    <t>30 Satversmes tiesa</t>
  </si>
  <si>
    <t>Satversmes tiesa</t>
  </si>
  <si>
    <t>32 Prokuratūra</t>
  </si>
  <si>
    <t>Prokuratūra</t>
  </si>
  <si>
    <t>35 Centrālā vēlēšanu komisija</t>
  </si>
  <si>
    <t>Centrālā vēlēšanu komisija</t>
  </si>
  <si>
    <t>37 Centrālā zemes komisija</t>
  </si>
  <si>
    <t>Centrālā zemes komisija</t>
  </si>
  <si>
    <t>44 Satversmes aizsardzības birojs</t>
  </si>
  <si>
    <t>Satversmes aizsardzības birojs</t>
  </si>
  <si>
    <t>Radio un televīzija</t>
  </si>
  <si>
    <t>48 Valsts cilvēktiesību birojs</t>
  </si>
  <si>
    <t>Valsts cilvēktiesību birojs</t>
  </si>
  <si>
    <t>50 Īpašu uzdevumu ministra sadarbībai  ar starptautiskajām finansu institūcijām sekretariāts</t>
  </si>
  <si>
    <t>Īpašu uzdevumu ministra sadarbībai  ar starptautiskajām finansu institūcijām sekretariāts</t>
  </si>
  <si>
    <t>51 Īpašu uzdevumu ministra valsts reformu lietās  sekretariāts</t>
  </si>
  <si>
    <t>Īpašu uzdevumu ministra valsts reformu lietās  sekretariāts</t>
  </si>
  <si>
    <t>Sabiedrisko pakalpojumu regulēšanas komisija</t>
  </si>
  <si>
    <t>62 Mērķdotācijas pašvaldībām</t>
  </si>
  <si>
    <t>Mērķdotācijas pašvaldībām</t>
  </si>
  <si>
    <t>64 Dotācija pašvaldībām</t>
  </si>
  <si>
    <t>Dotācija pašvaldībām</t>
  </si>
  <si>
    <t xml:space="preserve">Valsts kases pārvaldnieks                           (paraksts)                                                 </t>
  </si>
  <si>
    <t>(paraksta atšifrējums)</t>
  </si>
  <si>
    <t>4.tabula</t>
  </si>
  <si>
    <t xml:space="preserve">           Valsts kases oficiālais mēneša pārskats</t>
  </si>
  <si>
    <t>Valsts pamatbudžeta ieņēmumi un izdevumi pēc ekonomiskās klasifikācijas</t>
  </si>
  <si>
    <t>Finansēšanas plāns pārskata periodam</t>
  </si>
  <si>
    <t>Izpilde % pret gada plānu      (4/2)</t>
  </si>
  <si>
    <t>Izpilde % pret finansēša-nas plānu pārskata periodam       (4/3)</t>
  </si>
  <si>
    <t xml:space="preserve">Pārskata mēneša  izpilde 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</si>
  <si>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</si>
  <si>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</si>
  <si>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</si>
  <si>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</si>
  <si>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</si>
  <si>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</si>
  <si>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</si>
  <si>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</si>
  <si>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</si>
  <si>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</si>
  <si>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</si>
  <si>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</si>
  <si>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</si>
  <si>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</si>
  <si>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</si>
  <si>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</si>
  <si>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</si>
  <si>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</si>
  <si>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</si>
  <si>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</si>
  <si>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</si>
  <si>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t.sk. dotācijas lauksaimniecībai</t>
  </si>
  <si>
    <t xml:space="preserve">     dotācijas iedzīvotājiem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</si>
  <si>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</si>
  <si>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</si>
  <si>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</si>
  <si>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</si>
  <si>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</si>
  <si>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</si>
  <si>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</si>
  <si>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</si>
  <si>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</si>
  <si>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</si>
  <si>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</si>
  <si>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</si>
  <si>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</si>
  <si>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</si>
  <si>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</si>
  <si>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</si>
  <si>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</si>
  <si>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</si>
  <si>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</si>
  <si>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>Finansēšana</t>
  </si>
  <si>
    <t xml:space="preserve">    ieņēmumi no valsts un pašvaldību īpašuma privatizācijas</t>
  </si>
  <si>
    <t xml:space="preserve">    aizņēmumi</t>
  </si>
  <si>
    <t xml:space="preserve">Valsts kases pārvaldnieks                                                                          </t>
  </si>
  <si>
    <t>2001.gada 15.februāris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</si>
  <si>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</si>
  <si>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</si>
  <si>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</si>
  <si>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</si>
  <si>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>(tūkst. latu)</t>
  </si>
  <si>
    <t>Valdības funkcijas kods</t>
  </si>
  <si>
    <t>Izpilde % pret gada plānu          (3/2)</t>
  </si>
  <si>
    <t>Izpilde % pret gada plānu          (4/3)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</si>
  <si>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</si>
  <si>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</si>
  <si>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</si>
  <si>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</si>
  <si>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</si>
  <si>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</si>
  <si>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</si>
  <si>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</si>
  <si>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</si>
  <si>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</si>
  <si>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</si>
  <si>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</si>
  <si>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</si>
  <si>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</si>
  <si>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</si>
  <si>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t.sk. tīrie aizdevumi</t>
  </si>
  <si>
    <t xml:space="preserve">Valsts kases pārvaldnieks                                                 </t>
  </si>
  <si>
    <t>A. Veiss</t>
  </si>
  <si>
    <t>6.tabula</t>
  </si>
  <si>
    <t xml:space="preserve"> Valsts kases oDiciālais mēneša pārskats</t>
  </si>
  <si>
    <t xml:space="preserve">Valsts speciālā budžeta ieņēmumi un izdevumi pa ministrijām </t>
  </si>
  <si>
    <t>latos</t>
  </si>
  <si>
    <t xml:space="preserve"> (tūkst.latu)</t>
  </si>
  <si>
    <t>Finansēšanas plāns</t>
  </si>
  <si>
    <t>Izpilde % pret gada plānu 
   (4/2)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</si>
  <si>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</si>
  <si>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</si>
  <si>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</si>
  <si>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</si>
  <si>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 xml:space="preserve">Aizņēmums no pamatbudžeta </t>
  </si>
  <si>
    <t>Centrālā dzīvojamo māju privatizācijas komisija</t>
  </si>
</sst>
</file>

<file path=xl/styles.xml><?xml version="1.0" encoding="utf-8"?>
<styleSheet xmlns="http://schemas.openxmlformats.org/spreadsheetml/2006/main">
  <numFmts count="6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\ ###\ ##0"/>
    <numFmt numFmtId="174" formatCode="#\ ###\ \ ##0"/>
    <numFmt numFmtId="175" formatCode="#,##0.0"/>
    <numFmt numFmtId="176" formatCode="0.0%"/>
    <numFmt numFmtId="177" formatCode="###,##0,"/>
    <numFmt numFmtId="178" formatCode="0.0"/>
    <numFmt numFmtId="179" formatCode="00.000"/>
    <numFmt numFmtId="180" formatCode="###,###,###"/>
    <numFmt numFmtId="181" formatCode="#,###%"/>
    <numFmt numFmtId="182" formatCode="###,###,##0"/>
    <numFmt numFmtId="183" formatCode="###0"/>
    <numFmt numFmtId="184" formatCode="0;[Red]0"/>
    <numFmt numFmtId="185" formatCode="#,##0.0\ _L_s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##.0%"/>
    <numFmt numFmtId="195" formatCode="##0,"/>
    <numFmt numFmtId="196" formatCode="&quot;Ls&quot;\ #,##0_);\(&quot;Ls&quot;\ #,##0\)"/>
    <numFmt numFmtId="197" formatCode="&quot;Ls&quot;\ #,##0_);[Red]\(&quot;Ls&quot;\ #,##0\)"/>
    <numFmt numFmtId="198" formatCode="&quot;Ls&quot;\ #,##0.00_);\(&quot;Ls&quot;\ #,##0.00\)"/>
    <numFmt numFmtId="199" formatCode="&quot;Ls&quot;\ #,##0.00_);[Red]\(&quot;Ls&quot;\ #,##0.00\)"/>
    <numFmt numFmtId="200" formatCode="_(&quot;Ls&quot;\ * #,##0_);_(&quot;Ls&quot;\ * \(#,##0\);_(&quot;Ls&quot;\ * &quot;-&quot;_);_(@_)"/>
    <numFmt numFmtId="201" formatCode="_(&quot;Ls&quot;\ * #,##0.00_);_(&quot;Ls&quot;\ * \(#,##0.00\);_(&quot;Ls&quot;\ * &quot;-&quot;??_);_(@_)"/>
    <numFmt numFmtId="202" formatCode="#,##0.000"/>
    <numFmt numFmtId="203" formatCode="###%"/>
    <numFmt numFmtId="204" formatCode="0.000"/>
    <numFmt numFmtId="205" formatCode="0.0000"/>
    <numFmt numFmtId="206" formatCode="0.000000"/>
    <numFmt numFmtId="207" formatCode="0.00000"/>
    <numFmt numFmtId="208" formatCode="0.0000000"/>
    <numFmt numFmtId="209" formatCode="#,###,###"/>
    <numFmt numFmtId="210" formatCode="#,###,###.0"/>
    <numFmt numFmtId="211" formatCode="0_ ;\-0\ "/>
    <numFmt numFmtId="212" formatCode="##,###,##0.00"/>
    <numFmt numFmtId="213" formatCode="#,##0&quot;р.&quot;;\-#,##0&quot;р.&quot;"/>
    <numFmt numFmtId="214" formatCode="#,##0&quot;р.&quot;;[Red]\-#,##0&quot;р.&quot;"/>
    <numFmt numFmtId="215" formatCode="#,##0.00&quot;р.&quot;;\-#,##0.00&quot;р.&quot;"/>
    <numFmt numFmtId="216" formatCode="#,##0.00&quot;р.&quot;;[Red]\-#,##0.00&quot;р.&quot;"/>
    <numFmt numFmtId="217" formatCode="_-* #,##0&quot;р.&quot;_-;\-* #,##0&quot;р.&quot;_-;_-* &quot;-&quot;&quot;р.&quot;_-;_-@_-"/>
    <numFmt numFmtId="218" formatCode="_-* #,##0_р_._-;\-* #,##0_р_._-;_-* &quot;-&quot;_р_._-;_-@_-"/>
    <numFmt numFmtId="219" formatCode="_-* #,##0.00&quot;р.&quot;_-;\-* #,##0.00&quot;р.&quot;_-;_-* &quot;-&quot;??&quot;р.&quot;_-;_-@_-"/>
    <numFmt numFmtId="220" formatCode="_-* #,##0.00_р_._-;\-* #,##0.00_р_._-;_-* &quot;-&quot;??_р_._-;_-@_-"/>
  </numFmts>
  <fonts count="3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60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2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8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/>
    </xf>
    <xf numFmtId="172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8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8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80" fontId="2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/>
    </xf>
    <xf numFmtId="181" fontId="7" fillId="0" borderId="1" xfId="21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178" fontId="10" fillId="0" borderId="1" xfId="21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181" fontId="2" fillId="0" borderId="1" xfId="21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8" fontId="1" fillId="0" borderId="1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80" fontId="8" fillId="0" borderId="1" xfId="0" applyNumberFormat="1" applyFont="1" applyBorder="1" applyAlignment="1">
      <alignment/>
    </xf>
    <xf numFmtId="182" fontId="8" fillId="0" borderId="1" xfId="0" applyNumberFormat="1" applyFont="1" applyBorder="1" applyAlignment="1">
      <alignment/>
    </xf>
    <xf numFmtId="178" fontId="8" fillId="0" borderId="1" xfId="21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80" fontId="12" fillId="0" borderId="1" xfId="0" applyNumberFormat="1" applyFont="1" applyBorder="1" applyAlignment="1">
      <alignment/>
    </xf>
    <xf numFmtId="178" fontId="12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78" fontId="2" fillId="0" borderId="1" xfId="21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10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2" fontId="1" fillId="0" borderId="1" xfId="21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78" fontId="10" fillId="0" borderId="1" xfId="21" applyNumberFormat="1" applyFont="1" applyFill="1" applyBorder="1" applyAlignment="1">
      <alignment/>
    </xf>
    <xf numFmtId="178" fontId="1" fillId="0" borderId="1" xfId="21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 shrinkToFit="1"/>
    </xf>
    <xf numFmtId="3" fontId="10" fillId="0" borderId="1" xfId="0" applyNumberFormat="1" applyFont="1" applyFill="1" applyBorder="1" applyAlignment="1">
      <alignment horizontal="right" wrapText="1" shrinkToFi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175" fontId="1" fillId="0" borderId="1" xfId="21" applyNumberFormat="1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75" fontId="0" fillId="0" borderId="1" xfId="0" applyNumberFormat="1" applyFont="1" applyBorder="1" applyAlignment="1">
      <alignment/>
    </xf>
    <xf numFmtId="175" fontId="10" fillId="0" borderId="1" xfId="21" applyNumberFormat="1" applyFont="1" applyBorder="1" applyAlignment="1">
      <alignment horizontal="right"/>
    </xf>
    <xf numFmtId="175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75" fontId="1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78" fontId="1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178" fontId="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right" wrapText="1"/>
    </xf>
    <xf numFmtId="3" fontId="4" fillId="0" borderId="1" xfId="21" applyNumberFormat="1" applyFont="1" applyBorder="1" applyAlignment="1">
      <alignment/>
    </xf>
    <xf numFmtId="184" fontId="5" fillId="0" borderId="1" xfId="21" applyNumberFormat="1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175" fontId="4" fillId="0" borderId="1" xfId="21" applyNumberFormat="1" applyFont="1" applyBorder="1" applyAlignment="1">
      <alignment/>
    </xf>
    <xf numFmtId="180" fontId="0" fillId="0" borderId="1" xfId="0" applyNumberFormat="1" applyFont="1" applyBorder="1" applyAlignment="1">
      <alignment horizontal="right" wrapText="1"/>
    </xf>
    <xf numFmtId="3" fontId="5" fillId="0" borderId="1" xfId="21" applyNumberFormat="1" applyFont="1" applyBorder="1" applyAlignment="1">
      <alignment/>
    </xf>
    <xf numFmtId="180" fontId="5" fillId="0" borderId="1" xfId="0" applyNumberFormat="1" applyFont="1" applyBorder="1" applyAlignment="1">
      <alignment horizontal="right" wrapText="1"/>
    </xf>
    <xf numFmtId="175" fontId="5" fillId="0" borderId="1" xfId="21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80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 applyProtection="1">
      <alignment horizontal="right" wrapText="1"/>
      <protection locked="0"/>
    </xf>
    <xf numFmtId="180" fontId="11" fillId="0" borderId="1" xfId="0" applyNumberFormat="1" applyFont="1" applyBorder="1" applyAlignment="1" applyProtection="1">
      <alignment horizontal="right" wrapText="1"/>
      <protection locked="0"/>
    </xf>
    <xf numFmtId="180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5" fontId="6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175" fontId="6" fillId="0" borderId="1" xfId="21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Font="1" applyBorder="1" applyAlignment="1">
      <alignment horizontal="right"/>
    </xf>
    <xf numFmtId="175" fontId="0" fillId="0" borderId="1" xfId="21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" xfId="0" applyFont="1" applyBorder="1" applyAlignment="1">
      <alignment/>
    </xf>
    <xf numFmtId="4" fontId="0" fillId="0" borderId="0" xfId="0" applyNumberFormat="1" applyAlignment="1">
      <alignment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wrapText="1"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right"/>
    </xf>
    <xf numFmtId="181" fontId="6" fillId="0" borderId="4" xfId="21" applyNumberFormat="1" applyFont="1" applyBorder="1" applyAlignment="1">
      <alignment/>
    </xf>
    <xf numFmtId="172" fontId="7" fillId="0" borderId="4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81" fontId="7" fillId="0" borderId="4" xfId="21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8" fontId="7" fillId="0" borderId="1" xfId="21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/>
    </xf>
    <xf numFmtId="181" fontId="10" fillId="0" borderId="4" xfId="21" applyNumberFormat="1" applyFont="1" applyBorder="1" applyAlignment="1">
      <alignment/>
    </xf>
    <xf numFmtId="172" fontId="10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2" fontId="1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172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19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Continuous" vertical="top" wrapText="1"/>
    </xf>
    <xf numFmtId="49" fontId="15" fillId="0" borderId="0" xfId="0" applyNumberFormat="1" applyFont="1" applyAlignment="1">
      <alignment horizontal="centerContinuous" vertical="top" wrapTex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justify" wrapText="1"/>
    </xf>
    <xf numFmtId="3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Continuous"/>
    </xf>
    <xf numFmtId="4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178" fontId="10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178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Continuous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9" fontId="6" fillId="0" borderId="1" xfId="21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178" fontId="7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8" fontId="2" fillId="0" borderId="2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10" fillId="0" borderId="4" xfId="0" applyFont="1" applyBorder="1" applyAlignment="1">
      <alignment horizontal="left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5" fontId="3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right"/>
    </xf>
    <xf numFmtId="175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horizontal="center" wrapText="1"/>
    </xf>
    <xf numFmtId="3" fontId="24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5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 wrapText="1"/>
    </xf>
    <xf numFmtId="175" fontId="6" fillId="0" borderId="1" xfId="21" applyNumberFormat="1" applyFont="1" applyBorder="1" applyAlignment="1">
      <alignment horizontal="right"/>
    </xf>
    <xf numFmtId="175" fontId="0" fillId="0" borderId="1" xfId="21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 wrapText="1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" fontId="21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Alignment="1" applyProtection="1">
      <alignment horizontal="centerContinuous" vertical="top" wrapText="1"/>
      <protection locked="0"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5" fontId="10" fillId="0" borderId="1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Border="1" applyAlignment="1">
      <alignment/>
    </xf>
    <xf numFmtId="172" fontId="6" fillId="0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78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22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Continuous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29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0" fillId="0" borderId="1" xfId="0" applyFont="1" applyBorder="1" applyAlignment="1">
      <alignment/>
    </xf>
    <xf numFmtId="0" fontId="15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Border="1" applyAlignment="1">
      <alignment horizontal="right" vertical="center" wrapText="1"/>
    </xf>
    <xf numFmtId="178" fontId="1" fillId="0" borderId="0" xfId="21" applyNumberFormat="1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1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21" fillId="0" borderId="4" xfId="0" applyFont="1" applyBorder="1" applyAlignment="1" applyProtection="1">
      <alignment horizontal="center" vertical="center"/>
      <protection locked="0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wrapText="1"/>
      <protection locked="0"/>
    </xf>
    <xf numFmtId="49" fontId="2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8" fontId="11" fillId="0" borderId="0" xfId="0" applyNumberFormat="1" applyFont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78" fontId="0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178" fontId="3" fillId="0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21" fillId="0" borderId="20" xfId="0" applyNumberFormat="1" applyFont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0" fillId="0" borderId="1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externalLink" Target="externalLinks/externalLink16.xml" /><Relationship Id="rId51" Type="http://schemas.openxmlformats.org/officeDocument/2006/relationships/externalLink" Target="externalLinks/externalLink17.xml" /><Relationship Id="rId52" Type="http://schemas.openxmlformats.org/officeDocument/2006/relationships/externalLink" Target="externalLinks/externalLink18.xml" /><Relationship Id="rId53" Type="http://schemas.openxmlformats.org/officeDocument/2006/relationships/externalLink" Target="externalLinks/externalLink19.xml" /><Relationship Id="rId54" Type="http://schemas.openxmlformats.org/officeDocument/2006/relationships/externalLink" Target="externalLinks/externalLink20.xml" /><Relationship Id="rId55" Type="http://schemas.openxmlformats.org/officeDocument/2006/relationships/externalLink" Target="externalLinks/externalLink21.xml" /><Relationship Id="rId56" Type="http://schemas.openxmlformats.org/officeDocument/2006/relationships/externalLink" Target="externalLinks/externalLink22.xml" /><Relationship Id="rId57" Type="http://schemas.openxmlformats.org/officeDocument/2006/relationships/externalLink" Target="externalLinks/externalLink23.xml" /><Relationship Id="rId58" Type="http://schemas.openxmlformats.org/officeDocument/2006/relationships/externalLink" Target="externalLinks/externalLink24.xml" /><Relationship Id="rId59" Type="http://schemas.openxmlformats.org/officeDocument/2006/relationships/externalLink" Target="externalLinks/externalLink25.xml" /><Relationship Id="rId60" Type="http://schemas.openxmlformats.org/officeDocument/2006/relationships/externalLink" Target="externalLinks/externalLink26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1.ta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ziedojdav_darb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0.ta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9.ta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8-SBU-vald.f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Darbam-spec.bu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7-SBU-EK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5.tabul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4.tabul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.tab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-konsolideta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kopbudzet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3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1-isp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9-NA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9.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6-%20SB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7ta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2-arv.fin.pa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</sheetNames>
    <sheetDataSet>
      <sheetData sheetId="2">
        <row r="9">
          <cell r="C9">
            <v>0</v>
          </cell>
        </row>
        <row r="15">
          <cell r="C15">
            <v>0</v>
          </cell>
        </row>
      </sheetData>
      <sheetData sheetId="7">
        <row r="13">
          <cell r="H13">
            <v>133275</v>
          </cell>
        </row>
        <row r="14">
          <cell r="H14">
            <v>1055</v>
          </cell>
        </row>
        <row r="15">
          <cell r="H15">
            <v>30945</v>
          </cell>
        </row>
        <row r="16">
          <cell r="H16">
            <v>16370</v>
          </cell>
        </row>
        <row r="17">
          <cell r="H17">
            <v>14575</v>
          </cell>
        </row>
        <row r="18">
          <cell r="H18">
            <v>1208</v>
          </cell>
        </row>
        <row r="19">
          <cell r="H19">
            <v>736</v>
          </cell>
        </row>
        <row r="21">
          <cell r="H21">
            <v>853</v>
          </cell>
        </row>
        <row r="23">
          <cell r="H23">
            <v>317</v>
          </cell>
        </row>
        <row r="24">
          <cell r="H24">
            <v>2276</v>
          </cell>
        </row>
        <row r="25">
          <cell r="H25">
            <v>174</v>
          </cell>
        </row>
        <row r="26">
          <cell r="H26">
            <v>8737</v>
          </cell>
        </row>
        <row r="27">
          <cell r="H27">
            <v>424</v>
          </cell>
        </row>
        <row r="28">
          <cell r="H28">
            <v>103</v>
          </cell>
        </row>
        <row r="29">
          <cell r="H29">
            <v>16947</v>
          </cell>
        </row>
        <row r="32">
          <cell r="H32">
            <v>4238</v>
          </cell>
        </row>
        <row r="33">
          <cell r="H33">
            <v>345</v>
          </cell>
        </row>
        <row r="34">
          <cell r="H34">
            <v>822</v>
          </cell>
        </row>
        <row r="36">
          <cell r="H36">
            <v>182</v>
          </cell>
        </row>
        <row r="37">
          <cell r="H37">
            <v>76526</v>
          </cell>
        </row>
        <row r="40">
          <cell r="H40">
            <v>22879</v>
          </cell>
        </row>
        <row r="42">
          <cell r="H42">
            <v>29</v>
          </cell>
        </row>
        <row r="43">
          <cell r="H43">
            <v>1033</v>
          </cell>
        </row>
      </sheetData>
      <sheetData sheetId="8">
        <row r="9">
          <cell r="G9">
            <v>442883</v>
          </cell>
          <cell r="H9">
            <v>334949</v>
          </cell>
        </row>
        <row r="11">
          <cell r="G11">
            <v>244966</v>
          </cell>
          <cell r="H11">
            <v>185904</v>
          </cell>
        </row>
        <row r="22">
          <cell r="G22">
            <v>18231</v>
          </cell>
          <cell r="H22">
            <v>13013</v>
          </cell>
        </row>
        <row r="29">
          <cell r="G29">
            <v>25321</v>
          </cell>
          <cell r="H29">
            <v>18802</v>
          </cell>
        </row>
        <row r="30">
          <cell r="G30">
            <v>154365</v>
          </cell>
          <cell r="H30">
            <v>117230</v>
          </cell>
        </row>
        <row r="31">
          <cell r="G31">
            <v>8719</v>
          </cell>
          <cell r="H31">
            <v>6146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"/>
      <sheetName val="Natalija"/>
      <sheetName val="darbam"/>
      <sheetName val="a"/>
    </sheetNames>
    <sheetDataSet>
      <sheetData sheetId="7">
        <row r="9">
          <cell r="D9">
            <v>2781464</v>
          </cell>
        </row>
        <row r="10">
          <cell r="D10">
            <v>293249</v>
          </cell>
        </row>
        <row r="11">
          <cell r="D11">
            <v>21604</v>
          </cell>
        </row>
        <row r="12">
          <cell r="D12">
            <v>162932</v>
          </cell>
        </row>
        <row r="13">
          <cell r="D13">
            <v>944386</v>
          </cell>
        </row>
        <row r="14">
          <cell r="D14">
            <v>502903</v>
          </cell>
        </row>
        <row r="15">
          <cell r="D15">
            <v>19331</v>
          </cell>
        </row>
        <row r="16">
          <cell r="D16">
            <v>52930</v>
          </cell>
        </row>
        <row r="17">
          <cell r="D17">
            <v>659115</v>
          </cell>
        </row>
        <row r="19">
          <cell r="D19">
            <v>66690</v>
          </cell>
        </row>
        <row r="22">
          <cell r="D22">
            <v>4729</v>
          </cell>
        </row>
        <row r="23">
          <cell r="D23">
            <v>53595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prīlis"/>
      <sheetName val="maijs"/>
      <sheetName val="jūnijs"/>
      <sheetName val="jūlijs"/>
      <sheetName val="septembris"/>
      <sheetName val="Sheet3"/>
      <sheetName val="augusts"/>
    </sheetNames>
    <sheetDataSet>
      <sheetData sheetId="4">
        <row r="5">
          <cell r="B5">
            <v>2417871</v>
          </cell>
        </row>
        <row r="6">
          <cell r="B6">
            <v>448816</v>
          </cell>
        </row>
        <row r="7">
          <cell r="B7">
            <v>53595</v>
          </cell>
        </row>
        <row r="16">
          <cell r="B16">
            <v>434762</v>
          </cell>
        </row>
        <row r="17">
          <cell r="B17">
            <v>60555</v>
          </cell>
        </row>
        <row r="18">
          <cell r="B18">
            <v>1996071.84</v>
          </cell>
        </row>
        <row r="19">
          <cell r="B19">
            <v>1710734.84</v>
          </cell>
        </row>
        <row r="20">
          <cell r="B20">
            <v>285337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436942</v>
          </cell>
        </row>
        <row r="26">
          <cell r="B26">
            <v>12300</v>
          </cell>
        </row>
        <row r="27">
          <cell r="B27">
            <v>300</v>
          </cell>
        </row>
        <row r="28">
          <cell r="B28">
            <v>0</v>
          </cell>
        </row>
        <row r="29">
          <cell r="B29">
            <v>253647</v>
          </cell>
        </row>
        <row r="30">
          <cell r="B30">
            <v>170695</v>
          </cell>
        </row>
        <row r="31">
          <cell r="B31">
            <v>262155</v>
          </cell>
        </row>
        <row r="32">
          <cell r="B32">
            <v>262155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febr"/>
      <sheetName val="marts"/>
      <sheetName val="aprīlis"/>
      <sheetName val="maijs"/>
      <sheetName val="jūnijs"/>
      <sheetName val="jūlijs"/>
      <sheetName val="augusts"/>
      <sheetName val="septembris"/>
      <sheetName val="Sheet1"/>
      <sheetName val="Sheet3"/>
      <sheetName val="Natalija"/>
      <sheetName val="darbam"/>
    </sheetNames>
    <sheetDataSet>
      <sheetData sheetId="8">
        <row r="10">
          <cell r="C10">
            <v>2290557</v>
          </cell>
        </row>
        <row r="11">
          <cell r="C11">
            <v>423990</v>
          </cell>
        </row>
        <row r="12">
          <cell r="C12">
            <v>53595</v>
          </cell>
        </row>
        <row r="13">
          <cell r="C13">
            <v>2781464</v>
          </cell>
        </row>
        <row r="14">
          <cell r="C14">
            <v>2552499</v>
          </cell>
        </row>
        <row r="15">
          <cell r="C15">
            <v>2186441</v>
          </cell>
        </row>
        <row r="16">
          <cell r="C16">
            <v>386907</v>
          </cell>
        </row>
        <row r="17">
          <cell r="C17">
            <v>53548</v>
          </cell>
        </row>
        <row r="18">
          <cell r="C18">
            <v>1745986</v>
          </cell>
        </row>
        <row r="19">
          <cell r="C19">
            <v>1491367</v>
          </cell>
        </row>
        <row r="20">
          <cell r="C20">
            <v>254619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366058</v>
          </cell>
        </row>
        <row r="26">
          <cell r="C26">
            <v>12300</v>
          </cell>
        </row>
        <row r="27">
          <cell r="C27">
            <v>300</v>
          </cell>
        </row>
        <row r="28">
          <cell r="C28">
            <v>0</v>
          </cell>
        </row>
        <row r="29">
          <cell r="C29">
            <v>192592</v>
          </cell>
        </row>
        <row r="30">
          <cell r="C30">
            <v>160866</v>
          </cell>
        </row>
        <row r="31">
          <cell r="C31">
            <v>228965</v>
          </cell>
        </row>
        <row r="32">
          <cell r="C32">
            <v>228965</v>
          </cell>
        </row>
        <row r="33">
          <cell r="C33">
            <v>0</v>
          </cell>
        </row>
        <row r="34">
          <cell r="C34">
            <v>-13322</v>
          </cell>
        </row>
        <row r="35">
          <cell r="C35">
            <v>13322</v>
          </cell>
        </row>
        <row r="36">
          <cell r="C36">
            <v>13322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marts"/>
      <sheetName val="aprīlis"/>
      <sheetName val="maijs"/>
      <sheetName val="jūnijs"/>
      <sheetName val="jūlijs"/>
      <sheetName val="augusts"/>
      <sheetName val="septembris"/>
      <sheetName val="Sheet2"/>
      <sheetName val="Sheet1"/>
      <sheetName val="Natalija"/>
      <sheetName val="darbam"/>
    </sheetNames>
    <sheetDataSet>
      <sheetData sheetId="7">
        <row r="21">
          <cell r="C21">
            <v>14138</v>
          </cell>
        </row>
        <row r="24">
          <cell r="C24">
            <v>13</v>
          </cell>
        </row>
        <row r="26">
          <cell r="C26">
            <v>18922</v>
          </cell>
        </row>
        <row r="29">
          <cell r="C29">
            <v>24260</v>
          </cell>
        </row>
        <row r="31">
          <cell r="C31">
            <v>3011</v>
          </cell>
        </row>
        <row r="32">
          <cell r="C32">
            <v>17954</v>
          </cell>
        </row>
        <row r="34">
          <cell r="C34">
            <v>5168</v>
          </cell>
        </row>
        <row r="36">
          <cell r="C36">
            <v>5168</v>
          </cell>
        </row>
        <row r="39">
          <cell r="C39">
            <v>123238</v>
          </cell>
        </row>
        <row r="41">
          <cell r="C41">
            <v>66384</v>
          </cell>
        </row>
        <row r="44">
          <cell r="C44">
            <v>5472</v>
          </cell>
        </row>
        <row r="46">
          <cell r="C46">
            <v>42057</v>
          </cell>
        </row>
        <row r="47">
          <cell r="C47">
            <v>140</v>
          </cell>
        </row>
        <row r="49">
          <cell r="C49">
            <v>139000</v>
          </cell>
        </row>
        <row r="51">
          <cell r="C51">
            <v>81921</v>
          </cell>
        </row>
        <row r="52">
          <cell r="C52">
            <v>68135</v>
          </cell>
        </row>
        <row r="54">
          <cell r="C54">
            <v>707164</v>
          </cell>
        </row>
        <row r="56">
          <cell r="C56">
            <v>681499</v>
          </cell>
        </row>
        <row r="57">
          <cell r="C57">
            <v>44059</v>
          </cell>
        </row>
        <row r="59">
          <cell r="C59">
            <v>153110</v>
          </cell>
        </row>
        <row r="61">
          <cell r="C61">
            <v>153307</v>
          </cell>
        </row>
        <row r="62">
          <cell r="C62">
            <v>31184</v>
          </cell>
        </row>
        <row r="64">
          <cell r="C64">
            <v>0</v>
          </cell>
        </row>
        <row r="69">
          <cell r="C69">
            <v>498558</v>
          </cell>
        </row>
        <row r="71">
          <cell r="C71">
            <v>615106</v>
          </cell>
        </row>
        <row r="72">
          <cell r="C72">
            <v>12460</v>
          </cell>
        </row>
        <row r="74">
          <cell r="C74">
            <v>72261</v>
          </cell>
        </row>
        <row r="76">
          <cell r="C76">
            <v>53380</v>
          </cell>
        </row>
        <row r="77">
          <cell r="C77">
            <v>1045</v>
          </cell>
        </row>
        <row r="79">
          <cell r="C79">
            <v>19935</v>
          </cell>
        </row>
        <row r="81">
          <cell r="C81">
            <v>49645</v>
          </cell>
        </row>
        <row r="82">
          <cell r="C82">
            <v>8965</v>
          </cell>
        </row>
        <row r="84">
          <cell r="C84">
            <v>916560</v>
          </cell>
        </row>
        <row r="86">
          <cell r="C86">
            <v>662369</v>
          </cell>
        </row>
        <row r="87">
          <cell r="C87">
            <v>44229</v>
          </cell>
        </row>
        <row r="139">
          <cell r="C139">
            <v>84095</v>
          </cell>
        </row>
        <row r="141">
          <cell r="C141">
            <v>81854</v>
          </cell>
        </row>
        <row r="144">
          <cell r="C144">
            <v>19307</v>
          </cell>
        </row>
        <row r="146">
          <cell r="C146">
            <v>23739</v>
          </cell>
        </row>
        <row r="147">
          <cell r="C147">
            <v>794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Sheet1"/>
      <sheetName val="Sheet3"/>
    </sheetNames>
    <sheetDataSet>
      <sheetData sheetId="7">
        <row r="9">
          <cell r="D9">
            <v>482807834</v>
          </cell>
        </row>
        <row r="10">
          <cell r="D10">
            <v>84852</v>
          </cell>
          <cell r="J10">
            <v>85</v>
          </cell>
        </row>
        <row r="13">
          <cell r="D13">
            <v>4599526</v>
          </cell>
          <cell r="J13">
            <v>4600</v>
          </cell>
        </row>
        <row r="14">
          <cell r="D14">
            <v>3577876</v>
          </cell>
          <cell r="J14">
            <v>3578</v>
          </cell>
        </row>
        <row r="15">
          <cell r="D15">
            <v>93461417</v>
          </cell>
          <cell r="J15">
            <v>93461</v>
          </cell>
        </row>
        <row r="16">
          <cell r="D16">
            <v>334853959</v>
          </cell>
          <cell r="J16">
            <v>334854</v>
          </cell>
        </row>
        <row r="17">
          <cell r="D17">
            <v>3189985</v>
          </cell>
          <cell r="J17">
            <v>3190</v>
          </cell>
        </row>
        <row r="18">
          <cell r="D18">
            <v>2228162</v>
          </cell>
          <cell r="J18">
            <v>2228</v>
          </cell>
        </row>
        <row r="20">
          <cell r="D20">
            <v>368025</v>
          </cell>
          <cell r="J20">
            <v>368</v>
          </cell>
        </row>
        <row r="22">
          <cell r="D22">
            <v>42366710</v>
          </cell>
          <cell r="J22">
            <v>42367</v>
          </cell>
        </row>
        <row r="23">
          <cell r="D23">
            <v>1655198</v>
          </cell>
          <cell r="J23">
            <v>1655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Sheet1"/>
    </sheetNames>
    <sheetDataSet>
      <sheetData sheetId="8">
        <row r="6">
          <cell r="F6">
            <v>622735</v>
          </cell>
          <cell r="G6">
            <v>1618900</v>
          </cell>
          <cell r="K6">
            <v>1384622</v>
          </cell>
          <cell r="N6">
            <v>1193655</v>
          </cell>
          <cell r="O6">
            <v>1040885</v>
          </cell>
          <cell r="P6">
            <v>34634</v>
          </cell>
          <cell r="X6">
            <v>1237550</v>
          </cell>
        </row>
        <row r="7">
          <cell r="C7">
            <v>371766527</v>
          </cell>
          <cell r="D7">
            <v>104114054</v>
          </cell>
          <cell r="E7">
            <v>4014186</v>
          </cell>
          <cell r="F7">
            <v>464493</v>
          </cell>
          <cell r="G7">
            <v>555423</v>
          </cell>
          <cell r="I7">
            <v>45446569</v>
          </cell>
          <cell r="K7">
            <v>1285852</v>
          </cell>
          <cell r="L7">
            <v>392024</v>
          </cell>
          <cell r="N7">
            <v>1178155</v>
          </cell>
          <cell r="O7">
            <v>1049997</v>
          </cell>
          <cell r="P7">
            <v>93401</v>
          </cell>
          <cell r="Q7">
            <v>1343542</v>
          </cell>
          <cell r="W7">
            <v>540361</v>
          </cell>
          <cell r="X7">
            <v>29817</v>
          </cell>
        </row>
        <row r="8">
          <cell r="C8">
            <v>370600160</v>
          </cell>
          <cell r="D8">
            <v>102428511</v>
          </cell>
          <cell r="E8">
            <v>3579691</v>
          </cell>
          <cell r="F8">
            <v>463034</v>
          </cell>
          <cell r="G8">
            <v>425000</v>
          </cell>
          <cell r="I8">
            <v>34107477</v>
          </cell>
          <cell r="K8">
            <v>1272490</v>
          </cell>
          <cell r="L8">
            <v>324024</v>
          </cell>
          <cell r="N8">
            <v>963428</v>
          </cell>
          <cell r="O8">
            <v>1049005</v>
          </cell>
          <cell r="P8">
            <v>93231</v>
          </cell>
          <cell r="Q8">
            <v>1343542</v>
          </cell>
          <cell r="W8">
            <v>540361</v>
          </cell>
        </row>
        <row r="9">
          <cell r="Z9">
            <v>21433974</v>
          </cell>
        </row>
        <row r="10">
          <cell r="Z10">
            <v>1024470</v>
          </cell>
        </row>
        <row r="11">
          <cell r="Z11">
            <v>258022</v>
          </cell>
        </row>
        <row r="12">
          <cell r="Z12">
            <v>16932264</v>
          </cell>
        </row>
        <row r="15">
          <cell r="I15">
            <v>2387010</v>
          </cell>
          <cell r="N15">
            <v>200000</v>
          </cell>
          <cell r="P15">
            <v>5449</v>
          </cell>
          <cell r="Z15">
            <v>3219218</v>
          </cell>
        </row>
        <row r="16">
          <cell r="Z16">
            <v>7085692</v>
          </cell>
        </row>
        <row r="17">
          <cell r="Z17">
            <v>5196484</v>
          </cell>
        </row>
        <row r="18">
          <cell r="Z18">
            <v>1889208</v>
          </cell>
        </row>
        <row r="20">
          <cell r="Z20">
            <v>4048775</v>
          </cell>
        </row>
        <row r="21">
          <cell r="Z21">
            <v>12347152</v>
          </cell>
        </row>
        <row r="23">
          <cell r="Z23">
            <v>115592692</v>
          </cell>
        </row>
        <row r="29">
          <cell r="Z29">
            <v>335502</v>
          </cell>
        </row>
        <row r="30">
          <cell r="Z30">
            <v>326869</v>
          </cell>
        </row>
        <row r="31">
          <cell r="C31">
            <v>1166367</v>
          </cell>
          <cell r="D31">
            <v>1685543</v>
          </cell>
          <cell r="E31">
            <v>434495</v>
          </cell>
          <cell r="F31">
            <v>1459</v>
          </cell>
          <cell r="G31">
            <v>130423</v>
          </cell>
          <cell r="I31">
            <v>11339092</v>
          </cell>
          <cell r="K31">
            <v>13362</v>
          </cell>
          <cell r="L31">
            <v>68000</v>
          </cell>
          <cell r="N31">
            <v>214727</v>
          </cell>
          <cell r="O31">
            <v>992</v>
          </cell>
          <cell r="P31">
            <v>170</v>
          </cell>
        </row>
        <row r="32">
          <cell r="Z32">
            <v>7416197</v>
          </cell>
        </row>
        <row r="33">
          <cell r="Z33">
            <v>7638433</v>
          </cell>
        </row>
        <row r="34">
          <cell r="O34">
            <v>4112528</v>
          </cell>
          <cell r="Z34">
            <v>4112528</v>
          </cell>
        </row>
        <row r="35">
          <cell r="Z35">
            <v>4283269</v>
          </cell>
        </row>
        <row r="36">
          <cell r="Z36">
            <v>-170741</v>
          </cell>
        </row>
        <row r="40">
          <cell r="C40">
            <v>11690755</v>
          </cell>
          <cell r="Z40">
            <v>11690755</v>
          </cell>
        </row>
        <row r="44">
          <cell r="C44">
            <v>579830</v>
          </cell>
          <cell r="D44">
            <v>913020</v>
          </cell>
          <cell r="I44">
            <v>7917600</v>
          </cell>
          <cell r="O44">
            <v>4284226</v>
          </cell>
          <cell r="P44">
            <v>27435</v>
          </cell>
          <cell r="Z44">
            <v>13722111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dotiedzivotaj"/>
    </sheetNames>
    <sheetDataSet>
      <sheetData sheetId="7">
        <row r="11">
          <cell r="D11">
            <v>462290781</v>
          </cell>
          <cell r="K11">
            <v>462290</v>
          </cell>
        </row>
        <row r="12">
          <cell r="K12">
            <v>0</v>
          </cell>
        </row>
        <row r="13">
          <cell r="D13">
            <v>1962477</v>
          </cell>
          <cell r="K13">
            <v>1962</v>
          </cell>
        </row>
        <row r="14">
          <cell r="D14">
            <v>1885739</v>
          </cell>
          <cell r="K14">
            <v>1886</v>
          </cell>
        </row>
        <row r="16">
          <cell r="K16">
            <v>465709</v>
          </cell>
        </row>
        <row r="17">
          <cell r="D17">
            <v>19827598</v>
          </cell>
          <cell r="K17">
            <v>19827</v>
          </cell>
        </row>
        <row r="18">
          <cell r="D18">
            <v>909738</v>
          </cell>
          <cell r="K18">
            <v>910</v>
          </cell>
        </row>
        <row r="19">
          <cell r="D19">
            <v>231787</v>
          </cell>
          <cell r="K19">
            <v>232</v>
          </cell>
        </row>
        <row r="20">
          <cell r="D20">
            <v>15424352</v>
          </cell>
          <cell r="K20">
            <v>15423</v>
          </cell>
        </row>
        <row r="21">
          <cell r="D21">
            <v>3261721</v>
          </cell>
          <cell r="K21">
            <v>3262</v>
          </cell>
        </row>
        <row r="22">
          <cell r="D22">
            <v>6769972</v>
          </cell>
          <cell r="K22">
            <v>6770</v>
          </cell>
        </row>
        <row r="23">
          <cell r="D23">
            <v>5195882</v>
          </cell>
          <cell r="K23">
            <v>5196</v>
          </cell>
        </row>
        <row r="24">
          <cell r="D24">
            <v>1574090</v>
          </cell>
          <cell r="K24">
            <v>1574</v>
          </cell>
        </row>
        <row r="25">
          <cell r="D25">
            <v>439111165</v>
          </cell>
          <cell r="K25">
            <v>439112</v>
          </cell>
        </row>
        <row r="26">
          <cell r="D26">
            <v>4289982</v>
          </cell>
          <cell r="K26">
            <v>4290</v>
          </cell>
        </row>
        <row r="27">
          <cell r="D27">
            <v>2638352</v>
          </cell>
          <cell r="K27">
            <v>2638</v>
          </cell>
        </row>
        <row r="28">
          <cell r="D28">
            <v>10972352</v>
          </cell>
          <cell r="K28">
            <v>10972</v>
          </cell>
        </row>
        <row r="29">
          <cell r="D29">
            <v>7539156</v>
          </cell>
          <cell r="K29">
            <v>7539</v>
          </cell>
        </row>
        <row r="30">
          <cell r="D30">
            <v>3433196</v>
          </cell>
          <cell r="K30">
            <v>3433</v>
          </cell>
        </row>
        <row r="31">
          <cell r="D31">
            <v>1771332</v>
          </cell>
          <cell r="K31">
            <v>1771</v>
          </cell>
        </row>
        <row r="32">
          <cell r="D32">
            <v>1661864</v>
          </cell>
          <cell r="K32">
            <v>1662</v>
          </cell>
        </row>
        <row r="33">
          <cell r="D33">
            <v>0</v>
          </cell>
          <cell r="K33">
            <v>0</v>
          </cell>
        </row>
        <row r="34">
          <cell r="D34">
            <v>102322810</v>
          </cell>
          <cell r="K34">
            <v>102323</v>
          </cell>
        </row>
        <row r="35">
          <cell r="D35">
            <v>320564300</v>
          </cell>
          <cell r="K35">
            <v>320565</v>
          </cell>
        </row>
        <row r="36">
          <cell r="D36">
            <v>294967605</v>
          </cell>
          <cell r="K36">
            <v>294968</v>
          </cell>
        </row>
        <row r="37">
          <cell r="D37">
            <v>24286925</v>
          </cell>
          <cell r="K37">
            <v>24287</v>
          </cell>
        </row>
        <row r="38">
          <cell r="D38">
            <v>546187</v>
          </cell>
          <cell r="K38">
            <v>546</v>
          </cell>
        </row>
        <row r="39">
          <cell r="D39">
            <v>763583</v>
          </cell>
          <cell r="K39">
            <v>764</v>
          </cell>
        </row>
        <row r="40">
          <cell r="D40">
            <v>160921</v>
          </cell>
          <cell r="K40">
            <v>161</v>
          </cell>
        </row>
        <row r="41">
          <cell r="D41">
            <v>800800</v>
          </cell>
          <cell r="K41">
            <v>801</v>
          </cell>
        </row>
        <row r="42">
          <cell r="D42">
            <v>13521223</v>
          </cell>
        </row>
        <row r="43">
          <cell r="D43">
            <v>6732020</v>
          </cell>
          <cell r="K43">
            <v>6732</v>
          </cell>
        </row>
        <row r="44">
          <cell r="D44">
            <v>6789203</v>
          </cell>
          <cell r="K44">
            <v>6789</v>
          </cell>
        </row>
        <row r="45">
          <cell r="D45">
            <v>3577876</v>
          </cell>
          <cell r="K45">
            <v>3578</v>
          </cell>
        </row>
        <row r="46">
          <cell r="D46">
            <v>3709097</v>
          </cell>
          <cell r="K46">
            <v>3709</v>
          </cell>
        </row>
        <row r="47">
          <cell r="D47">
            <v>131221</v>
          </cell>
          <cell r="K47">
            <v>131</v>
          </cell>
        </row>
        <row r="49">
          <cell r="D49">
            <v>16668837</v>
          </cell>
        </row>
        <row r="50">
          <cell r="D50">
            <v>26436112</v>
          </cell>
          <cell r="K50">
            <v>26437</v>
          </cell>
        </row>
        <row r="51">
          <cell r="D51">
            <v>-9767275</v>
          </cell>
          <cell r="K51">
            <v>-9767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marts"/>
      <sheetName val="aprīlis"/>
      <sheetName val="jūnijs"/>
      <sheetName val="maijs"/>
      <sheetName val="jūlijs"/>
      <sheetName val="augusts"/>
      <sheetName val="septembris"/>
    </sheetNames>
    <sheetDataSet>
      <sheetData sheetId="8">
        <row r="11">
          <cell r="D11">
            <v>52073180.5</v>
          </cell>
          <cell r="K11">
            <v>52073</v>
          </cell>
        </row>
        <row r="12">
          <cell r="D12">
            <v>30770615.74</v>
          </cell>
          <cell r="K12">
            <v>30770</v>
          </cell>
        </row>
        <row r="13">
          <cell r="D13">
            <v>71583621.22</v>
          </cell>
          <cell r="K13">
            <v>71583</v>
          </cell>
        </row>
        <row r="14">
          <cell r="D14">
            <v>60630480.72</v>
          </cell>
          <cell r="K14">
            <v>60631</v>
          </cell>
        </row>
        <row r="15">
          <cell r="D15">
            <v>46965759.85</v>
          </cell>
          <cell r="K15">
            <v>46966</v>
          </cell>
        </row>
        <row r="16">
          <cell r="D16">
            <v>55547589.87</v>
          </cell>
          <cell r="K16">
            <v>55548</v>
          </cell>
        </row>
        <row r="17">
          <cell r="D17">
            <v>5112672.66</v>
          </cell>
          <cell r="K17">
            <v>5113</v>
          </cell>
        </row>
        <row r="18">
          <cell r="D18">
            <v>15887283.78</v>
          </cell>
          <cell r="K18">
            <v>15887</v>
          </cell>
        </row>
        <row r="19">
          <cell r="D19">
            <v>119890.43</v>
          </cell>
          <cell r="K19">
            <v>120</v>
          </cell>
        </row>
        <row r="20">
          <cell r="D20">
            <v>42369465.01</v>
          </cell>
          <cell r="K20">
            <v>42369</v>
          </cell>
        </row>
        <row r="21">
          <cell r="D21">
            <v>553875.18</v>
          </cell>
          <cell r="K21">
            <v>554</v>
          </cell>
        </row>
        <row r="22">
          <cell r="D22">
            <v>6512736.54</v>
          </cell>
          <cell r="K22">
            <v>6513</v>
          </cell>
        </row>
        <row r="23">
          <cell r="D23">
            <v>12096695.37</v>
          </cell>
          <cell r="K23">
            <v>12097</v>
          </cell>
        </row>
        <row r="24">
          <cell r="D24">
            <v>130827466</v>
          </cell>
          <cell r="K24">
            <v>130827</v>
          </cell>
        </row>
        <row r="25">
          <cell r="D25">
            <v>23142496</v>
          </cell>
          <cell r="K25">
            <v>23142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aizd_atm"/>
      <sheetName val="marts"/>
      <sheetName val="aprīlis"/>
      <sheetName val="maijs"/>
      <sheetName val="jūlijs"/>
      <sheetName val="Sheet1"/>
      <sheetName val="jūnijs"/>
      <sheetName val="augusts"/>
      <sheetName val="aug"/>
      <sheetName val="septembris"/>
      <sheetName val="sept"/>
    </sheetNames>
    <sheetDataSet>
      <sheetData sheetId="13">
        <row r="12">
          <cell r="D12">
            <v>475868109</v>
          </cell>
          <cell r="K12">
            <v>475868</v>
          </cell>
        </row>
        <row r="13">
          <cell r="D13">
            <v>1285135.93</v>
          </cell>
          <cell r="K13">
            <v>1285</v>
          </cell>
        </row>
        <row r="14">
          <cell r="D14">
            <v>39889516.76</v>
          </cell>
          <cell r="K14">
            <v>39890</v>
          </cell>
        </row>
        <row r="15">
          <cell r="D15">
            <v>10447588.47</v>
          </cell>
          <cell r="K15">
            <v>10447</v>
          </cell>
        </row>
        <row r="16">
          <cell r="D16">
            <v>507908837.33</v>
          </cell>
          <cell r="K16">
            <v>507909</v>
          </cell>
        </row>
        <row r="17">
          <cell r="D17">
            <v>473556908.90999997</v>
          </cell>
          <cell r="K17">
            <v>473557</v>
          </cell>
        </row>
        <row r="18">
          <cell r="D18">
            <v>233291231.29</v>
          </cell>
          <cell r="K18">
            <v>233291</v>
          </cell>
        </row>
        <row r="19">
          <cell r="D19">
            <v>110801617.35</v>
          </cell>
          <cell r="K19">
            <v>110802</v>
          </cell>
        </row>
        <row r="20">
          <cell r="D20">
            <v>27485590.51</v>
          </cell>
          <cell r="K20">
            <v>27486</v>
          </cell>
        </row>
        <row r="21">
          <cell r="D21">
            <v>95004023.43</v>
          </cell>
          <cell r="K21">
            <v>95003</v>
          </cell>
        </row>
        <row r="22">
          <cell r="D22">
            <v>28863509.42</v>
          </cell>
          <cell r="K22">
            <v>28864</v>
          </cell>
        </row>
        <row r="23">
          <cell r="D23">
            <v>13643531.38</v>
          </cell>
          <cell r="K23">
            <v>13644</v>
          </cell>
        </row>
        <row r="24">
          <cell r="D24">
            <v>15091774.97</v>
          </cell>
          <cell r="K24">
            <v>15092</v>
          </cell>
        </row>
        <row r="25">
          <cell r="D25">
            <v>128203.07</v>
          </cell>
          <cell r="K25">
            <v>128</v>
          </cell>
        </row>
        <row r="26">
          <cell r="D26">
            <v>211402168.20000002</v>
          </cell>
          <cell r="K26">
            <v>211402</v>
          </cell>
        </row>
        <row r="27">
          <cell r="D27">
            <v>18388777.37</v>
          </cell>
          <cell r="K27">
            <v>18389</v>
          </cell>
        </row>
        <row r="28">
          <cell r="D28">
            <v>67733421</v>
          </cell>
          <cell r="K28">
            <v>67733</v>
          </cell>
        </row>
        <row r="29">
          <cell r="D29">
            <v>4950797</v>
          </cell>
          <cell r="K29">
            <v>4951</v>
          </cell>
        </row>
        <row r="30">
          <cell r="D30">
            <v>19951283.95</v>
          </cell>
          <cell r="K30">
            <v>19951</v>
          </cell>
        </row>
        <row r="32">
          <cell r="D32">
            <v>50770783.84</v>
          </cell>
          <cell r="K32">
            <v>50771</v>
          </cell>
        </row>
        <row r="33">
          <cell r="D33">
            <v>1402147.61</v>
          </cell>
          <cell r="K33">
            <v>1402</v>
          </cell>
        </row>
        <row r="34">
          <cell r="D34">
            <v>37680603.61</v>
          </cell>
          <cell r="K34">
            <v>37681</v>
          </cell>
        </row>
        <row r="35">
          <cell r="D35">
            <v>4309824.42</v>
          </cell>
          <cell r="K35">
            <v>4310</v>
          </cell>
        </row>
        <row r="36">
          <cell r="D36">
            <v>7378208.2</v>
          </cell>
          <cell r="K36">
            <v>7378</v>
          </cell>
        </row>
        <row r="37">
          <cell r="D37">
            <v>5490783.04</v>
          </cell>
          <cell r="K37">
            <v>5491</v>
          </cell>
        </row>
        <row r="38">
          <cell r="D38">
            <v>44116322</v>
          </cell>
          <cell r="K38">
            <v>44116</v>
          </cell>
        </row>
        <row r="39">
          <cell r="D39">
            <v>44116322</v>
          </cell>
          <cell r="K39">
            <v>44116</v>
          </cell>
        </row>
        <row r="41">
          <cell r="D41">
            <v>34351928.42</v>
          </cell>
          <cell r="K41">
            <v>34352</v>
          </cell>
        </row>
        <row r="42">
          <cell r="D42">
            <v>9628104.51</v>
          </cell>
          <cell r="K42">
            <v>9628</v>
          </cell>
        </row>
        <row r="43">
          <cell r="D43">
            <v>24723823.91</v>
          </cell>
          <cell r="K43">
            <v>24724</v>
          </cell>
        </row>
        <row r="44">
          <cell r="D44">
            <v>645180</v>
          </cell>
          <cell r="K44">
            <v>645</v>
          </cell>
        </row>
        <row r="45">
          <cell r="D45">
            <v>5450235</v>
          </cell>
          <cell r="K45">
            <v>5450</v>
          </cell>
        </row>
        <row r="46">
          <cell r="D46">
            <v>23142496</v>
          </cell>
          <cell r="K46">
            <v>23142</v>
          </cell>
        </row>
        <row r="47">
          <cell r="D47">
            <v>48311807</v>
          </cell>
          <cell r="K47">
            <v>48311</v>
          </cell>
        </row>
        <row r="48">
          <cell r="D48">
            <v>28436112</v>
          </cell>
          <cell r="K48">
            <v>28436</v>
          </cell>
        </row>
        <row r="49">
          <cell r="D49">
            <v>25169311</v>
          </cell>
          <cell r="K49">
            <v>25169</v>
          </cell>
        </row>
        <row r="50">
          <cell r="D50">
            <v>5139594</v>
          </cell>
          <cell r="K50">
            <v>5140</v>
          </cell>
        </row>
        <row r="51">
          <cell r="D51">
            <v>-35172104</v>
          </cell>
          <cell r="K51">
            <v>-35172</v>
          </cell>
        </row>
        <row r="52">
          <cell r="D52">
            <v>35172104</v>
          </cell>
          <cell r="K52">
            <v>35172</v>
          </cell>
        </row>
        <row r="53">
          <cell r="D53">
            <v>8855000</v>
          </cell>
          <cell r="K53">
            <v>8855</v>
          </cell>
        </row>
        <row r="54">
          <cell r="D54">
            <v>606042.71</v>
          </cell>
          <cell r="K54">
            <v>606</v>
          </cell>
        </row>
        <row r="55">
          <cell r="D55">
            <v>25282548</v>
          </cell>
          <cell r="K55">
            <v>25282</v>
          </cell>
        </row>
        <row r="56">
          <cell r="D56">
            <v>428513</v>
          </cell>
          <cell r="K56">
            <v>429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maijs (2)"/>
      <sheetName val="aprīlis"/>
      <sheetName val="maijs"/>
      <sheetName val="jūnijs"/>
      <sheetName val="jūlijs"/>
      <sheetName val="augusts"/>
      <sheetName val="septembris"/>
      <sheetName val="Sheet1"/>
    </sheetNames>
    <sheetDataSet>
      <sheetData sheetId="9">
        <row r="12">
          <cell r="D12">
            <v>67558089.48</v>
          </cell>
          <cell r="K12">
            <v>67558</v>
          </cell>
        </row>
        <row r="13">
          <cell r="D13">
            <v>317212657.32000005</v>
          </cell>
          <cell r="K13">
            <v>317211</v>
          </cell>
        </row>
        <row r="14">
          <cell r="D14">
            <v>232293195.34</v>
          </cell>
          <cell r="K14">
            <v>232293</v>
          </cell>
        </row>
        <row r="15">
          <cell r="D15">
            <v>74981992.26</v>
          </cell>
          <cell r="K15">
            <v>74981</v>
          </cell>
        </row>
        <row r="16">
          <cell r="D16">
            <v>9937469.72</v>
          </cell>
          <cell r="K16">
            <v>9937</v>
          </cell>
        </row>
        <row r="17">
          <cell r="D17">
            <v>2661772.15</v>
          </cell>
          <cell r="K17">
            <v>2662</v>
          </cell>
        </row>
        <row r="18">
          <cell r="D18">
            <v>2661772.15</v>
          </cell>
          <cell r="K18">
            <v>2662</v>
          </cell>
        </row>
        <row r="19">
          <cell r="D19">
            <v>3630991.1</v>
          </cell>
          <cell r="K19">
            <v>3631</v>
          </cell>
        </row>
        <row r="20">
          <cell r="D20">
            <v>-185448.23</v>
          </cell>
          <cell r="K20">
            <v>-185</v>
          </cell>
        </row>
        <row r="21">
          <cell r="D21">
            <v>47866033.96</v>
          </cell>
          <cell r="K21">
            <v>47867</v>
          </cell>
        </row>
        <row r="22">
          <cell r="D22">
            <v>5467071.01</v>
          </cell>
          <cell r="K22">
            <v>5467</v>
          </cell>
        </row>
        <row r="23">
          <cell r="D23">
            <v>11752623.48</v>
          </cell>
          <cell r="K23">
            <v>11753</v>
          </cell>
        </row>
        <row r="24">
          <cell r="D24">
            <v>11614114.23</v>
          </cell>
          <cell r="K24">
            <v>11614</v>
          </cell>
        </row>
        <row r="25">
          <cell r="D25">
            <v>600810.84</v>
          </cell>
          <cell r="K25">
            <v>601</v>
          </cell>
        </row>
        <row r="26">
          <cell r="D26">
            <v>353974.16</v>
          </cell>
          <cell r="K26">
            <v>354</v>
          </cell>
        </row>
        <row r="27">
          <cell r="D27">
            <v>2609202.22</v>
          </cell>
          <cell r="K27">
            <v>2609</v>
          </cell>
        </row>
        <row r="28">
          <cell r="D28">
            <v>1713897.3</v>
          </cell>
          <cell r="K28">
            <v>1714</v>
          </cell>
        </row>
        <row r="29">
          <cell r="D29">
            <v>400555.13</v>
          </cell>
          <cell r="K29">
            <v>401</v>
          </cell>
        </row>
        <row r="30">
          <cell r="D30">
            <v>185215</v>
          </cell>
          <cell r="K30">
            <v>185</v>
          </cell>
        </row>
        <row r="31">
          <cell r="D31">
            <v>4970252.64</v>
          </cell>
          <cell r="K31">
            <v>4970</v>
          </cell>
        </row>
        <row r="32">
          <cell r="D32">
            <v>10497985.38</v>
          </cell>
          <cell r="K32">
            <v>10499</v>
          </cell>
        </row>
        <row r="33">
          <cell r="D33">
            <v>800800</v>
          </cell>
          <cell r="K33">
            <v>801</v>
          </cell>
        </row>
        <row r="34">
          <cell r="D34">
            <v>4746000</v>
          </cell>
          <cell r="K34">
            <v>4746</v>
          </cell>
        </row>
        <row r="35">
          <cell r="D35">
            <v>138644</v>
          </cell>
          <cell r="K35">
            <v>139</v>
          </cell>
        </row>
        <row r="36">
          <cell r="D36">
            <v>100000</v>
          </cell>
          <cell r="K36">
            <v>100</v>
          </cell>
        </row>
        <row r="38">
          <cell r="D38">
            <v>39889516.76</v>
          </cell>
          <cell r="K38">
            <v>39890</v>
          </cell>
        </row>
        <row r="39">
          <cell r="D39">
            <v>39889516.76</v>
          </cell>
          <cell r="K39">
            <v>39890</v>
          </cell>
        </row>
        <row r="40">
          <cell r="D40">
            <v>17060167.89</v>
          </cell>
          <cell r="K40">
            <v>17060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</sheetNames>
    <sheetDataSet>
      <sheetData sheetId="2">
        <row r="9">
          <cell r="C9">
            <v>0</v>
          </cell>
        </row>
        <row r="32">
          <cell r="C32">
            <v>0</v>
          </cell>
        </row>
      </sheetData>
      <sheetData sheetId="7">
        <row r="9">
          <cell r="H9">
            <v>302049</v>
          </cell>
        </row>
        <row r="13">
          <cell r="H13">
            <v>105664</v>
          </cell>
        </row>
        <row r="14">
          <cell r="H14">
            <v>26861</v>
          </cell>
        </row>
        <row r="15">
          <cell r="H15">
            <v>70272</v>
          </cell>
        </row>
        <row r="16">
          <cell r="H16">
            <v>68365</v>
          </cell>
        </row>
        <row r="17">
          <cell r="H17">
            <v>1907</v>
          </cell>
        </row>
        <row r="18">
          <cell r="H18">
            <v>2897</v>
          </cell>
        </row>
        <row r="20">
          <cell r="H20">
            <v>173</v>
          </cell>
        </row>
        <row r="21">
          <cell r="H21">
            <v>3253</v>
          </cell>
        </row>
        <row r="22">
          <cell r="H22">
            <v>18015</v>
          </cell>
        </row>
        <row r="23">
          <cell r="H23">
            <v>14288</v>
          </cell>
        </row>
        <row r="24">
          <cell r="H24">
            <v>11330</v>
          </cell>
        </row>
        <row r="25">
          <cell r="H25">
            <v>5818</v>
          </cell>
        </row>
        <row r="27">
          <cell r="H27">
            <v>12396</v>
          </cell>
        </row>
        <row r="28">
          <cell r="H28">
            <v>41879</v>
          </cell>
        </row>
        <row r="30">
          <cell r="H30">
            <v>97</v>
          </cell>
        </row>
        <row r="31">
          <cell r="H31">
            <v>841</v>
          </cell>
        </row>
        <row r="32">
          <cell r="H32">
            <v>-10053</v>
          </cell>
        </row>
      </sheetData>
      <sheetData sheetId="8">
        <row r="11">
          <cell r="G11">
            <v>398904</v>
          </cell>
          <cell r="H11">
            <v>285428</v>
          </cell>
        </row>
        <row r="27">
          <cell r="H27">
            <v>15828</v>
          </cell>
        </row>
        <row r="28">
          <cell r="H28">
            <v>47196</v>
          </cell>
        </row>
        <row r="30">
          <cell r="G30">
            <v>107</v>
          </cell>
          <cell r="H30">
            <v>154</v>
          </cell>
        </row>
        <row r="31">
          <cell r="G31">
            <v>830</v>
          </cell>
          <cell r="H31">
            <v>976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7">
        <row r="10">
          <cell r="H10">
            <v>916455</v>
          </cell>
        </row>
        <row r="11">
          <cell r="H11">
            <v>495879</v>
          </cell>
        </row>
        <row r="12">
          <cell r="H12">
            <v>391062</v>
          </cell>
        </row>
        <row r="13">
          <cell r="H13">
            <v>67558</v>
          </cell>
        </row>
        <row r="14">
          <cell r="H14">
            <v>67558</v>
          </cell>
        </row>
        <row r="15">
          <cell r="H15">
            <v>317211</v>
          </cell>
        </row>
        <row r="16">
          <cell r="H16">
            <v>232293</v>
          </cell>
        </row>
        <row r="17">
          <cell r="H17">
            <v>74981</v>
          </cell>
        </row>
        <row r="18">
          <cell r="H18">
            <v>9937</v>
          </cell>
        </row>
        <row r="19">
          <cell r="H19">
            <v>2662</v>
          </cell>
        </row>
        <row r="20">
          <cell r="H20">
            <v>2662</v>
          </cell>
        </row>
        <row r="21">
          <cell r="H21">
            <v>3631</v>
          </cell>
        </row>
        <row r="22">
          <cell r="H22">
            <v>47867</v>
          </cell>
        </row>
        <row r="23">
          <cell r="H23">
            <v>39890</v>
          </cell>
        </row>
        <row r="24">
          <cell r="H24">
            <v>17060</v>
          </cell>
        </row>
        <row r="25">
          <cell r="H25">
            <v>801</v>
          </cell>
        </row>
        <row r="26">
          <cell r="H26">
            <v>495078</v>
          </cell>
        </row>
        <row r="27">
          <cell r="H27">
            <v>466138</v>
          </cell>
        </row>
        <row r="28">
          <cell r="H28">
            <v>403018</v>
          </cell>
        </row>
        <row r="29">
          <cell r="H29">
            <v>318172</v>
          </cell>
        </row>
        <row r="30">
          <cell r="H30">
            <v>28053</v>
          </cell>
        </row>
        <row r="31">
          <cell r="H31">
            <v>51761</v>
          </cell>
        </row>
        <row r="32">
          <cell r="H32">
            <v>5032</v>
          </cell>
        </row>
        <row r="33">
          <cell r="H33">
            <v>59272</v>
          </cell>
        </row>
        <row r="34">
          <cell r="H34">
            <v>1962</v>
          </cell>
        </row>
        <row r="35">
          <cell r="H35">
            <v>1886</v>
          </cell>
        </row>
        <row r="36">
          <cell r="H36">
            <v>44761</v>
          </cell>
        </row>
        <row r="37">
          <cell r="H37">
            <v>421377</v>
          </cell>
        </row>
        <row r="38">
          <cell r="H38">
            <v>941577</v>
          </cell>
        </row>
        <row r="39">
          <cell r="H39">
            <v>894349</v>
          </cell>
        </row>
        <row r="40">
          <cell r="H40">
            <v>16360</v>
          </cell>
        </row>
        <row r="41">
          <cell r="H41">
            <v>30868</v>
          </cell>
        </row>
        <row r="42">
          <cell r="H42">
            <v>-25122</v>
          </cell>
        </row>
        <row r="43">
          <cell r="H43">
            <v>3424</v>
          </cell>
        </row>
        <row r="44">
          <cell r="H44">
            <v>945001</v>
          </cell>
        </row>
        <row r="45">
          <cell r="H45">
            <v>-28546</v>
          </cell>
        </row>
        <row r="47">
          <cell r="H47">
            <v>8855</v>
          </cell>
        </row>
        <row r="48">
          <cell r="H48">
            <v>606</v>
          </cell>
        </row>
        <row r="49">
          <cell r="H49">
            <v>78435</v>
          </cell>
        </row>
        <row r="50">
          <cell r="H50">
            <v>-59350</v>
          </cell>
        </row>
        <row r="51">
          <cell r="H51">
            <v>507909</v>
          </cell>
        </row>
        <row r="52">
          <cell r="H52">
            <v>44761</v>
          </cell>
        </row>
        <row r="53">
          <cell r="H53">
            <v>463148</v>
          </cell>
        </row>
        <row r="54">
          <cell r="H54">
            <v>473557</v>
          </cell>
        </row>
        <row r="55">
          <cell r="H55">
            <v>44116</v>
          </cell>
        </row>
        <row r="56">
          <cell r="H56">
            <v>429441</v>
          </cell>
        </row>
        <row r="57">
          <cell r="H57">
            <v>9628</v>
          </cell>
        </row>
        <row r="58">
          <cell r="H58">
            <v>9628</v>
          </cell>
        </row>
        <row r="59">
          <cell r="H59">
            <v>24724</v>
          </cell>
        </row>
        <row r="60">
          <cell r="H60">
            <v>645</v>
          </cell>
        </row>
        <row r="61">
          <cell r="H61">
            <v>24079</v>
          </cell>
        </row>
        <row r="62">
          <cell r="H62">
            <v>-12030</v>
          </cell>
        </row>
        <row r="63">
          <cell r="H63">
            <v>-154</v>
          </cell>
        </row>
        <row r="64">
          <cell r="H64">
            <v>23142</v>
          </cell>
        </row>
        <row r="65">
          <cell r="H65">
            <v>23296</v>
          </cell>
        </row>
        <row r="66">
          <cell r="H66">
            <v>-154</v>
          </cell>
        </row>
        <row r="67">
          <cell r="H67">
            <v>-35172</v>
          </cell>
        </row>
        <row r="69">
          <cell r="H69">
            <v>8855</v>
          </cell>
        </row>
        <row r="70">
          <cell r="H70">
            <v>606</v>
          </cell>
        </row>
        <row r="71">
          <cell r="H71">
            <v>25282</v>
          </cell>
        </row>
        <row r="72">
          <cell r="H72">
            <v>429</v>
          </cell>
        </row>
        <row r="73">
          <cell r="H73">
            <v>479230</v>
          </cell>
        </row>
        <row r="74">
          <cell r="H74">
            <v>801</v>
          </cell>
        </row>
        <row r="75">
          <cell r="H75">
            <v>478429</v>
          </cell>
        </row>
        <row r="76">
          <cell r="H76">
            <v>465709</v>
          </cell>
        </row>
        <row r="77">
          <cell r="H77">
            <v>801</v>
          </cell>
        </row>
        <row r="78">
          <cell r="H78">
            <v>464908</v>
          </cell>
        </row>
        <row r="79">
          <cell r="H79">
            <v>6732</v>
          </cell>
        </row>
        <row r="80">
          <cell r="H80">
            <v>6732</v>
          </cell>
        </row>
        <row r="81">
          <cell r="H81">
            <v>6789</v>
          </cell>
        </row>
        <row r="82">
          <cell r="H82">
            <v>6789</v>
          </cell>
        </row>
        <row r="83">
          <cell r="H83">
            <v>-13092</v>
          </cell>
        </row>
        <row r="84">
          <cell r="H84">
            <v>3578</v>
          </cell>
        </row>
        <row r="85">
          <cell r="H85">
            <v>3578</v>
          </cell>
        </row>
        <row r="86">
          <cell r="H86">
            <v>3578</v>
          </cell>
        </row>
        <row r="87">
          <cell r="H87">
            <v>-16670</v>
          </cell>
        </row>
        <row r="89">
          <cell r="H89">
            <v>26437</v>
          </cell>
        </row>
        <row r="90">
          <cell r="H90">
            <v>-9767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7">
        <row r="11">
          <cell r="D11">
            <v>1220928</v>
          </cell>
        </row>
        <row r="12">
          <cell r="D12">
            <v>78248</v>
          </cell>
        </row>
        <row r="13">
          <cell r="D13">
            <v>9310</v>
          </cell>
        </row>
        <row r="14">
          <cell r="D14">
            <v>1133370</v>
          </cell>
        </row>
        <row r="15">
          <cell r="D15">
            <v>1261221</v>
          </cell>
        </row>
        <row r="16">
          <cell r="D16">
            <v>78248</v>
          </cell>
        </row>
        <row r="17">
          <cell r="D17">
            <v>9310</v>
          </cell>
        </row>
        <row r="18">
          <cell r="D18">
            <v>1173663</v>
          </cell>
        </row>
        <row r="19">
          <cell r="D19">
            <v>-40293</v>
          </cell>
        </row>
        <row r="20">
          <cell r="D20">
            <v>-3286</v>
          </cell>
        </row>
        <row r="21">
          <cell r="D21">
            <v>24199</v>
          </cell>
        </row>
        <row r="22">
          <cell r="D22">
            <v>16533</v>
          </cell>
        </row>
        <row r="23">
          <cell r="D23">
            <v>7666</v>
          </cell>
        </row>
        <row r="24">
          <cell r="D24">
            <v>24215</v>
          </cell>
        </row>
        <row r="25">
          <cell r="D25">
            <v>13263</v>
          </cell>
        </row>
        <row r="26">
          <cell r="D26">
            <v>10952</v>
          </cell>
        </row>
        <row r="27">
          <cell r="D27">
            <v>-37007</v>
          </cell>
        </row>
        <row r="28">
          <cell r="D28">
            <v>37007</v>
          </cell>
        </row>
        <row r="29">
          <cell r="D29">
            <v>38857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3270</v>
          </cell>
        </row>
        <row r="33">
          <cell r="D33">
            <v>-3270</v>
          </cell>
        </row>
        <row r="35">
          <cell r="D35">
            <v>-26320</v>
          </cell>
        </row>
        <row r="36">
          <cell r="D36">
            <v>-21971</v>
          </cell>
        </row>
        <row r="37">
          <cell r="D37">
            <v>14215</v>
          </cell>
        </row>
        <row r="38">
          <cell r="D38">
            <v>-4536</v>
          </cell>
        </row>
        <row r="39">
          <cell r="D39">
            <v>-14028</v>
          </cell>
        </row>
        <row r="40">
          <cell r="D40">
            <v>-20104</v>
          </cell>
        </row>
        <row r="41">
          <cell r="D41">
            <v>-33</v>
          </cell>
        </row>
        <row r="42">
          <cell r="D42">
            <v>-51891</v>
          </cell>
        </row>
        <row r="43">
          <cell r="D43">
            <v>-20813</v>
          </cell>
        </row>
        <row r="44">
          <cell r="D44">
            <v>-189</v>
          </cell>
        </row>
        <row r="45">
          <cell r="D45">
            <v>52822</v>
          </cell>
        </row>
        <row r="46">
          <cell r="D46">
            <v>85281</v>
          </cell>
        </row>
        <row r="47">
          <cell r="D47">
            <v>17251</v>
          </cell>
        </row>
        <row r="48">
          <cell r="D48">
            <v>41060</v>
          </cell>
        </row>
        <row r="49">
          <cell r="D49">
            <v>26970</v>
          </cell>
        </row>
        <row r="50">
          <cell r="D50">
            <v>-1850</v>
          </cell>
        </row>
        <row r="51">
          <cell r="D51">
            <v>-1419</v>
          </cell>
        </row>
        <row r="52">
          <cell r="D52">
            <v>-431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</sheetNames>
    <sheetDataSet>
      <sheetData sheetId="7">
        <row r="9">
          <cell r="C9">
            <v>2901</v>
          </cell>
        </row>
        <row r="10">
          <cell r="C10">
            <v>2894</v>
          </cell>
        </row>
        <row r="11">
          <cell r="C11">
            <v>139</v>
          </cell>
        </row>
        <row r="13">
          <cell r="C13">
            <v>7</v>
          </cell>
        </row>
        <row r="14">
          <cell r="C14">
            <v>576</v>
          </cell>
        </row>
        <row r="15">
          <cell r="C15">
            <v>11</v>
          </cell>
        </row>
        <row r="16">
          <cell r="C16">
            <v>108</v>
          </cell>
        </row>
        <row r="17">
          <cell r="C17">
            <v>1937</v>
          </cell>
        </row>
        <row r="18">
          <cell r="C18">
            <v>751</v>
          </cell>
        </row>
        <row r="19">
          <cell r="C19">
            <v>-14</v>
          </cell>
        </row>
        <row r="23">
          <cell r="C23">
            <v>129</v>
          </cell>
        </row>
        <row r="27">
          <cell r="C27">
            <v>2</v>
          </cell>
        </row>
        <row r="28">
          <cell r="C28">
            <v>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</sheetNames>
    <sheetDataSet>
      <sheetData sheetId="7">
        <row r="9">
          <cell r="C9">
            <v>3737</v>
          </cell>
        </row>
        <row r="10">
          <cell r="C10">
            <v>3048</v>
          </cell>
        </row>
        <row r="11">
          <cell r="C11">
            <v>689</v>
          </cell>
        </row>
        <row r="13">
          <cell r="C13">
            <v>3754</v>
          </cell>
        </row>
        <row r="14">
          <cell r="C14">
            <v>1965</v>
          </cell>
        </row>
        <row r="15">
          <cell r="C15">
            <v>1816</v>
          </cell>
        </row>
        <row r="16">
          <cell r="C16">
            <v>222</v>
          </cell>
        </row>
        <row r="17">
          <cell r="C17">
            <v>52</v>
          </cell>
        </row>
        <row r="18">
          <cell r="C18">
            <v>1542</v>
          </cell>
        </row>
        <row r="19">
          <cell r="C19">
            <v>1443</v>
          </cell>
        </row>
        <row r="20">
          <cell r="C20">
            <v>99</v>
          </cell>
        </row>
        <row r="25">
          <cell r="C25">
            <v>149</v>
          </cell>
        </row>
        <row r="29">
          <cell r="C29">
            <v>116</v>
          </cell>
        </row>
        <row r="30">
          <cell r="C30">
            <v>33</v>
          </cell>
        </row>
        <row r="31">
          <cell r="C31">
            <v>1789</v>
          </cell>
        </row>
        <row r="32">
          <cell r="C32">
            <v>1331</v>
          </cell>
        </row>
        <row r="33">
          <cell r="C33">
            <v>458</v>
          </cell>
        </row>
        <row r="34">
          <cell r="C34">
            <v>-853</v>
          </cell>
        </row>
        <row r="36">
          <cell r="C36">
            <v>856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</sheetNames>
    <sheetDataSet>
      <sheetData sheetId="7">
        <row r="11">
          <cell r="C11">
            <v>167017</v>
          </cell>
        </row>
        <row r="12">
          <cell r="C12">
            <v>12031</v>
          </cell>
        </row>
        <row r="13">
          <cell r="C13">
            <v>16947</v>
          </cell>
        </row>
        <row r="14">
          <cell r="C14">
            <v>106054</v>
          </cell>
        </row>
        <row r="15">
          <cell r="C15">
            <v>5405</v>
          </cell>
        </row>
        <row r="16">
          <cell r="C16">
            <v>18015</v>
          </cell>
        </row>
        <row r="18">
          <cell r="C18">
            <v>27128</v>
          </cell>
        </row>
        <row r="19">
          <cell r="C19">
            <v>27128</v>
          </cell>
        </row>
        <row r="20">
          <cell r="C20">
            <v>7790</v>
          </cell>
        </row>
        <row r="31">
          <cell r="C31">
            <v>7790</v>
          </cell>
        </row>
        <row r="32">
          <cell r="C32">
            <v>3270</v>
          </cell>
        </row>
        <row r="33">
          <cell r="C33">
            <v>1494</v>
          </cell>
        </row>
        <row r="35">
          <cell r="C35">
            <v>23420</v>
          </cell>
        </row>
        <row r="37">
          <cell r="C37">
            <v>258571</v>
          </cell>
        </row>
        <row r="38">
          <cell r="C38">
            <v>23420</v>
          </cell>
        </row>
        <row r="40">
          <cell r="C40">
            <v>12396</v>
          </cell>
        </row>
        <row r="41">
          <cell r="C41">
            <v>41879</v>
          </cell>
        </row>
        <row r="44">
          <cell r="C44">
            <v>97</v>
          </cell>
        </row>
        <row r="45">
          <cell r="C45">
            <v>841</v>
          </cell>
        </row>
        <row r="48">
          <cell r="C48">
            <v>18138</v>
          </cell>
        </row>
        <row r="49">
          <cell r="C49">
            <v>4327</v>
          </cell>
        </row>
        <row r="50">
          <cell r="C50">
            <v>1217</v>
          </cell>
        </row>
        <row r="53">
          <cell r="C53">
            <v>515</v>
          </cell>
        </row>
        <row r="54">
          <cell r="C54">
            <v>2358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ūlijs"/>
      <sheetName val="Augusts"/>
      <sheetName val="Septembris"/>
    </sheetNames>
    <sheetDataSet>
      <sheetData sheetId="1">
        <row r="20">
          <cell r="G20">
            <v>0</v>
          </cell>
        </row>
        <row r="24">
          <cell r="E24">
            <v>0</v>
          </cell>
        </row>
        <row r="28">
          <cell r="G28">
            <v>18</v>
          </cell>
        </row>
        <row r="33">
          <cell r="E33">
            <v>256</v>
          </cell>
        </row>
        <row r="35">
          <cell r="E35">
            <v>226</v>
          </cell>
        </row>
        <row r="42">
          <cell r="E42">
            <v>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7">
        <row r="9">
          <cell r="C9">
            <v>35647516</v>
          </cell>
          <cell r="H9">
            <v>35647</v>
          </cell>
        </row>
        <row r="10">
          <cell r="C10">
            <v>30964830</v>
          </cell>
          <cell r="H10">
            <v>30965</v>
          </cell>
        </row>
        <row r="11">
          <cell r="C11">
            <v>212076</v>
          </cell>
          <cell r="H11">
            <v>212</v>
          </cell>
        </row>
        <row r="12">
          <cell r="C12">
            <v>38120</v>
          </cell>
          <cell r="H12">
            <v>38</v>
          </cell>
        </row>
        <row r="13">
          <cell r="C13">
            <v>173956</v>
          </cell>
          <cell r="H13">
            <v>174</v>
          </cell>
        </row>
        <row r="14">
          <cell r="C14">
            <v>580234</v>
          </cell>
          <cell r="H14">
            <v>580</v>
          </cell>
        </row>
        <row r="15">
          <cell r="C15">
            <v>89646</v>
          </cell>
          <cell r="H15">
            <v>89</v>
          </cell>
        </row>
        <row r="16">
          <cell r="C16">
            <v>40857</v>
          </cell>
          <cell r="H16">
            <v>41</v>
          </cell>
        </row>
        <row r="17">
          <cell r="C17">
            <v>353731</v>
          </cell>
          <cell r="H17">
            <v>354</v>
          </cell>
        </row>
        <row r="18">
          <cell r="C18">
            <v>96000</v>
          </cell>
          <cell r="H18">
            <v>96</v>
          </cell>
        </row>
        <row r="19">
          <cell r="C19">
            <v>216202</v>
          </cell>
          <cell r="H19">
            <v>216</v>
          </cell>
        </row>
        <row r="20">
          <cell r="C20">
            <v>216202</v>
          </cell>
          <cell r="H20">
            <v>216</v>
          </cell>
        </row>
        <row r="21">
          <cell r="C21">
            <v>275000</v>
          </cell>
          <cell r="H21">
            <v>275</v>
          </cell>
        </row>
        <row r="22">
          <cell r="C22">
            <v>275000</v>
          </cell>
          <cell r="H22">
            <v>275</v>
          </cell>
        </row>
        <row r="23">
          <cell r="C23">
            <v>2243062</v>
          </cell>
          <cell r="H23">
            <v>2243</v>
          </cell>
        </row>
        <row r="24">
          <cell r="C24">
            <v>806709</v>
          </cell>
          <cell r="H24">
            <v>807</v>
          </cell>
        </row>
        <row r="25">
          <cell r="C25">
            <v>807629</v>
          </cell>
          <cell r="H25">
            <v>807</v>
          </cell>
        </row>
        <row r="26">
          <cell r="C26">
            <v>37983</v>
          </cell>
          <cell r="H26">
            <v>38</v>
          </cell>
        </row>
        <row r="27">
          <cell r="C27">
            <v>160951</v>
          </cell>
          <cell r="H27">
            <v>161</v>
          </cell>
        </row>
        <row r="28">
          <cell r="C28">
            <v>86963</v>
          </cell>
          <cell r="H28">
            <v>87</v>
          </cell>
        </row>
        <row r="29">
          <cell r="C29">
            <v>342827</v>
          </cell>
          <cell r="H29">
            <v>343</v>
          </cell>
        </row>
        <row r="30">
          <cell r="C30">
            <v>1156112</v>
          </cell>
          <cell r="H30">
            <v>1156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</sheetNames>
    <sheetDataSet>
      <sheetData sheetId="7">
        <row r="11">
          <cell r="H11">
            <v>37286</v>
          </cell>
        </row>
        <row r="12">
          <cell r="H12">
            <v>85</v>
          </cell>
        </row>
        <row r="13">
          <cell r="H13">
            <v>4031</v>
          </cell>
        </row>
        <row r="14">
          <cell r="H14">
            <v>133210</v>
          </cell>
        </row>
        <row r="15">
          <cell r="H15">
            <v>4208</v>
          </cell>
        </row>
        <row r="16">
          <cell r="H16">
            <v>24168</v>
          </cell>
        </row>
        <row r="17">
          <cell r="H17">
            <v>47486</v>
          </cell>
        </row>
        <row r="18">
          <cell r="H18">
            <v>23412</v>
          </cell>
        </row>
        <row r="19">
          <cell r="H19">
            <v>570</v>
          </cell>
        </row>
        <row r="20">
          <cell r="H20">
            <v>976</v>
          </cell>
        </row>
        <row r="21">
          <cell r="H21">
            <v>37</v>
          </cell>
        </row>
        <row r="22">
          <cell r="H22">
            <v>7782</v>
          </cell>
        </row>
        <row r="23">
          <cell r="H23">
            <v>934</v>
          </cell>
        </row>
        <row r="24">
          <cell r="H24">
            <v>2377</v>
          </cell>
        </row>
        <row r="25">
          <cell r="H25">
            <v>434</v>
          </cell>
        </row>
        <row r="26">
          <cell r="H26">
            <v>22</v>
          </cell>
        </row>
        <row r="27">
          <cell r="H27">
            <v>1251</v>
          </cell>
        </row>
        <row r="31">
          <cell r="H31">
            <v>4837</v>
          </cell>
        </row>
        <row r="32">
          <cell r="H32">
            <v>457</v>
          </cell>
        </row>
        <row r="33">
          <cell r="H33">
            <v>524</v>
          </cell>
        </row>
        <row r="35">
          <cell r="H35">
            <v>18015</v>
          </cell>
        </row>
      </sheetData>
      <sheetData sheetId="8">
        <row r="34">
          <cell r="G34">
            <v>27208</v>
          </cell>
          <cell r="H34">
            <v>20298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darbam"/>
      <sheetName val="Sheet1"/>
      <sheetName val="februāris"/>
    </sheetNames>
    <sheetDataSet>
      <sheetData sheetId="0">
        <row r="66">
          <cell r="C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</sheetNames>
    <sheetDataSet>
      <sheetData sheetId="6">
        <row r="160">
          <cell r="D160">
            <v>12.26</v>
          </cell>
        </row>
      </sheetData>
      <sheetData sheetId="7">
        <row r="23">
          <cell r="D23">
            <v>837006</v>
          </cell>
          <cell r="L23">
            <v>837</v>
          </cell>
        </row>
        <row r="25">
          <cell r="D25">
            <v>798126.15</v>
          </cell>
          <cell r="L25">
            <v>798</v>
          </cell>
        </row>
        <row r="26">
          <cell r="D26">
            <v>34790.76</v>
          </cell>
          <cell r="L26">
            <v>35</v>
          </cell>
        </row>
        <row r="29">
          <cell r="D29">
            <v>4586880</v>
          </cell>
          <cell r="L29">
            <v>4587</v>
          </cell>
        </row>
        <row r="30">
          <cell r="D30">
            <v>225177.7</v>
          </cell>
          <cell r="L30">
            <v>225</v>
          </cell>
        </row>
        <row r="32">
          <cell r="D32">
            <v>3577671.81</v>
          </cell>
          <cell r="L32">
            <v>3578</v>
          </cell>
        </row>
        <row r="33">
          <cell r="D33">
            <v>805880.79</v>
          </cell>
          <cell r="L33">
            <v>806</v>
          </cell>
        </row>
        <row r="36">
          <cell r="D36">
            <v>1948777</v>
          </cell>
          <cell r="L36">
            <v>1949</v>
          </cell>
        </row>
        <row r="37">
          <cell r="D37">
            <v>188232.31</v>
          </cell>
          <cell r="L37">
            <v>188</v>
          </cell>
        </row>
        <row r="38">
          <cell r="D38">
            <v>21711</v>
          </cell>
          <cell r="L38">
            <v>22</v>
          </cell>
        </row>
        <row r="40">
          <cell r="D40">
            <v>2040870.94</v>
          </cell>
          <cell r="L40">
            <v>2041</v>
          </cell>
        </row>
        <row r="41">
          <cell r="D41">
            <v>74290.18</v>
          </cell>
          <cell r="L41">
            <v>74</v>
          </cell>
        </row>
        <row r="44">
          <cell r="D44">
            <v>31187016</v>
          </cell>
          <cell r="L44">
            <v>31187</v>
          </cell>
        </row>
        <row r="45">
          <cell r="D45">
            <v>1105394.4</v>
          </cell>
          <cell r="L45">
            <v>1106</v>
          </cell>
        </row>
        <row r="47">
          <cell r="D47">
            <v>28131468.97</v>
          </cell>
          <cell r="L47">
            <v>28132</v>
          </cell>
        </row>
        <row r="48">
          <cell r="D48">
            <v>2833360.97</v>
          </cell>
          <cell r="L48">
            <v>2833</v>
          </cell>
        </row>
        <row r="51">
          <cell r="D51">
            <v>7412347</v>
          </cell>
          <cell r="L51">
            <v>7412</v>
          </cell>
        </row>
        <row r="52">
          <cell r="D52">
            <v>108991.43</v>
          </cell>
          <cell r="L52">
            <v>109</v>
          </cell>
        </row>
        <row r="54">
          <cell r="D54">
            <v>6833587.79</v>
          </cell>
          <cell r="L54">
            <v>6834</v>
          </cell>
        </row>
        <row r="55">
          <cell r="D55">
            <v>242653.35</v>
          </cell>
          <cell r="L55">
            <v>242</v>
          </cell>
        </row>
        <row r="58">
          <cell r="D58">
            <v>4433352</v>
          </cell>
          <cell r="L58">
            <v>4433</v>
          </cell>
        </row>
        <row r="59">
          <cell r="D59">
            <v>11722.22</v>
          </cell>
          <cell r="L59">
            <v>12</v>
          </cell>
        </row>
        <row r="60">
          <cell r="D60">
            <v>664989.3</v>
          </cell>
          <cell r="L60">
            <v>665</v>
          </cell>
        </row>
        <row r="61">
          <cell r="D61">
            <v>996691</v>
          </cell>
          <cell r="L61">
            <v>996</v>
          </cell>
        </row>
        <row r="63">
          <cell r="D63">
            <v>5464518.27</v>
          </cell>
          <cell r="L63">
            <v>5465</v>
          </cell>
        </row>
        <row r="64">
          <cell r="D64">
            <v>242846.84</v>
          </cell>
          <cell r="L64">
            <v>243</v>
          </cell>
        </row>
        <row r="67">
          <cell r="D67">
            <v>57712819</v>
          </cell>
          <cell r="L67">
            <v>57713</v>
          </cell>
        </row>
        <row r="68">
          <cell r="D68">
            <v>406463.35</v>
          </cell>
          <cell r="L68">
            <v>406</v>
          </cell>
        </row>
        <row r="69">
          <cell r="D69">
            <v>2674600.1</v>
          </cell>
          <cell r="L69">
            <v>2675</v>
          </cell>
        </row>
        <row r="70">
          <cell r="D70">
            <v>880992</v>
          </cell>
          <cell r="L70">
            <v>881</v>
          </cell>
        </row>
        <row r="72">
          <cell r="D72">
            <v>55732424.73</v>
          </cell>
          <cell r="L72">
            <v>55732</v>
          </cell>
        </row>
        <row r="73">
          <cell r="D73">
            <v>3473834.51</v>
          </cell>
          <cell r="L73">
            <v>3474</v>
          </cell>
        </row>
        <row r="74">
          <cell r="D74">
            <v>23142496</v>
          </cell>
          <cell r="L74">
            <v>23142</v>
          </cell>
        </row>
        <row r="75">
          <cell r="D75">
            <v>-20673880.78999999</v>
          </cell>
          <cell r="L75">
            <v>-20673</v>
          </cell>
        </row>
        <row r="78">
          <cell r="D78">
            <v>50900059</v>
          </cell>
          <cell r="L78">
            <v>50900</v>
          </cell>
        </row>
        <row r="79">
          <cell r="D79">
            <v>4537953.81</v>
          </cell>
          <cell r="L79">
            <v>4538</v>
          </cell>
        </row>
        <row r="80">
          <cell r="D80">
            <v>275028</v>
          </cell>
          <cell r="L80">
            <v>275</v>
          </cell>
        </row>
        <row r="82">
          <cell r="D82">
            <v>48349182.47</v>
          </cell>
          <cell r="L82">
            <v>48349</v>
          </cell>
        </row>
        <row r="83">
          <cell r="D83">
            <v>5859063.61</v>
          </cell>
          <cell r="L83">
            <v>5859</v>
          </cell>
        </row>
        <row r="86">
          <cell r="D86">
            <v>36802593</v>
          </cell>
          <cell r="L86">
            <v>36802</v>
          </cell>
        </row>
        <row r="87">
          <cell r="D87">
            <v>866950.36</v>
          </cell>
          <cell r="L87">
            <v>867</v>
          </cell>
        </row>
        <row r="88">
          <cell r="D88">
            <v>14009414.41</v>
          </cell>
          <cell r="L88">
            <v>14010</v>
          </cell>
        </row>
        <row r="89">
          <cell r="D89">
            <v>2415783</v>
          </cell>
          <cell r="L89">
            <v>2415</v>
          </cell>
        </row>
        <row r="91">
          <cell r="D91">
            <v>46442459</v>
          </cell>
          <cell r="L91">
            <v>46443</v>
          </cell>
        </row>
        <row r="92">
          <cell r="D92">
            <v>3082499.22</v>
          </cell>
          <cell r="L92">
            <v>3082</v>
          </cell>
        </row>
        <row r="95">
          <cell r="D95">
            <v>36105317</v>
          </cell>
          <cell r="L95">
            <v>36105</v>
          </cell>
        </row>
        <row r="96">
          <cell r="D96">
            <v>5044777.35</v>
          </cell>
          <cell r="L96">
            <v>5045</v>
          </cell>
        </row>
        <row r="97">
          <cell r="D97">
            <v>612376</v>
          </cell>
          <cell r="L97">
            <v>612</v>
          </cell>
        </row>
        <row r="99">
          <cell r="D99">
            <v>37777126.12</v>
          </cell>
          <cell r="L99">
            <v>37777</v>
          </cell>
        </row>
        <row r="100">
          <cell r="D100">
            <v>2654608.47</v>
          </cell>
          <cell r="L100">
            <v>2655</v>
          </cell>
        </row>
        <row r="103">
          <cell r="D103">
            <v>5922655</v>
          </cell>
          <cell r="L103">
            <v>5923</v>
          </cell>
        </row>
        <row r="104">
          <cell r="D104">
            <v>8910.88</v>
          </cell>
          <cell r="L104">
            <v>9</v>
          </cell>
        </row>
        <row r="105">
          <cell r="D105">
            <v>1404935</v>
          </cell>
          <cell r="L105">
            <v>1405</v>
          </cell>
        </row>
        <row r="107">
          <cell r="D107">
            <v>4650150.24</v>
          </cell>
          <cell r="L107">
            <v>4650</v>
          </cell>
        </row>
        <row r="108">
          <cell r="D108">
            <v>1734229.63</v>
          </cell>
          <cell r="L108">
            <v>1734</v>
          </cell>
        </row>
        <row r="111">
          <cell r="D111">
            <v>105788568</v>
          </cell>
          <cell r="L111">
            <v>105788</v>
          </cell>
        </row>
        <row r="113">
          <cell r="D113">
            <v>2790070.53</v>
          </cell>
          <cell r="L113">
            <v>2790</v>
          </cell>
        </row>
        <row r="114">
          <cell r="D114">
            <v>303698</v>
          </cell>
          <cell r="L114">
            <v>304</v>
          </cell>
        </row>
        <row r="116">
          <cell r="D116">
            <v>106682398.44</v>
          </cell>
          <cell r="L116">
            <v>106682</v>
          </cell>
        </row>
        <row r="117">
          <cell r="D117">
            <v>1622894.54</v>
          </cell>
          <cell r="L117">
            <v>1623</v>
          </cell>
        </row>
        <row r="120">
          <cell r="D120">
            <v>16868135</v>
          </cell>
          <cell r="L120">
            <v>16868</v>
          </cell>
        </row>
        <row r="121">
          <cell r="D121">
            <v>588444.66</v>
          </cell>
          <cell r="L121">
            <v>588</v>
          </cell>
        </row>
        <row r="122">
          <cell r="D122">
            <v>529888</v>
          </cell>
          <cell r="L122">
            <v>530</v>
          </cell>
        </row>
        <row r="124">
          <cell r="D124">
            <v>15075563.33</v>
          </cell>
          <cell r="L124">
            <v>15076</v>
          </cell>
        </row>
        <row r="125">
          <cell r="D125">
            <v>2421832.73</v>
          </cell>
          <cell r="L125">
            <v>2422</v>
          </cell>
        </row>
        <row r="128">
          <cell r="D128">
            <v>4778694</v>
          </cell>
          <cell r="L128">
            <v>4779</v>
          </cell>
        </row>
        <row r="129">
          <cell r="D129">
            <v>876614.19</v>
          </cell>
          <cell r="L129">
            <v>877</v>
          </cell>
        </row>
        <row r="130">
          <cell r="D130">
            <v>1995927</v>
          </cell>
          <cell r="L130">
            <v>1996</v>
          </cell>
        </row>
        <row r="132">
          <cell r="D132">
            <v>4488473.84</v>
          </cell>
          <cell r="L132">
            <v>4489</v>
          </cell>
        </row>
        <row r="133">
          <cell r="D133">
            <v>2607220.1</v>
          </cell>
          <cell r="L133">
            <v>2607</v>
          </cell>
        </row>
        <row r="136">
          <cell r="D136">
            <v>11818446</v>
          </cell>
          <cell r="L136">
            <v>11818</v>
          </cell>
        </row>
        <row r="137">
          <cell r="D137">
            <v>1664389.23</v>
          </cell>
          <cell r="L137">
            <v>1664</v>
          </cell>
        </row>
        <row r="138">
          <cell r="D138">
            <v>70627</v>
          </cell>
          <cell r="L138">
            <v>71</v>
          </cell>
        </row>
        <row r="140">
          <cell r="D140">
            <v>12804363.22</v>
          </cell>
          <cell r="L140">
            <v>12804</v>
          </cell>
        </row>
        <row r="141">
          <cell r="D141">
            <v>364959.63</v>
          </cell>
          <cell r="L141">
            <v>365</v>
          </cell>
        </row>
        <row r="144">
          <cell r="D144">
            <v>3567711</v>
          </cell>
          <cell r="L144">
            <v>3568</v>
          </cell>
        </row>
        <row r="145">
          <cell r="D145">
            <v>5386316.95</v>
          </cell>
          <cell r="L145">
            <v>5386</v>
          </cell>
        </row>
        <row r="147">
          <cell r="D147">
            <v>8530153.95</v>
          </cell>
          <cell r="L147">
            <v>8530</v>
          </cell>
        </row>
        <row r="148">
          <cell r="D148">
            <v>355886.86</v>
          </cell>
          <cell r="L148">
            <v>356</v>
          </cell>
        </row>
        <row r="151">
          <cell r="D151">
            <v>786508</v>
          </cell>
          <cell r="L151">
            <v>787</v>
          </cell>
        </row>
        <row r="152">
          <cell r="D152">
            <v>275.67</v>
          </cell>
        </row>
        <row r="155">
          <cell r="D155">
            <v>761267.42</v>
          </cell>
          <cell r="L155">
            <v>761</v>
          </cell>
        </row>
        <row r="156">
          <cell r="D156">
            <v>6682.82</v>
          </cell>
          <cell r="L156">
            <v>7</v>
          </cell>
        </row>
        <row r="159">
          <cell r="D159">
            <v>490626</v>
          </cell>
          <cell r="L159">
            <v>491</v>
          </cell>
        </row>
        <row r="162">
          <cell r="D162">
            <v>490597.97</v>
          </cell>
          <cell r="L162">
            <v>491</v>
          </cell>
        </row>
        <row r="165">
          <cell r="D165">
            <v>202427</v>
          </cell>
          <cell r="L165">
            <v>203</v>
          </cell>
        </row>
        <row r="166">
          <cell r="D166">
            <v>1728.38</v>
          </cell>
          <cell r="L166">
            <v>2</v>
          </cell>
        </row>
        <row r="168">
          <cell r="D168">
            <v>196262.45</v>
          </cell>
          <cell r="L168">
            <v>196</v>
          </cell>
        </row>
        <row r="169">
          <cell r="D169">
            <v>8779.56</v>
          </cell>
          <cell r="L169">
            <v>9</v>
          </cell>
        </row>
        <row r="172">
          <cell r="D172">
            <v>4181618</v>
          </cell>
          <cell r="L172">
            <v>4182</v>
          </cell>
        </row>
        <row r="173">
          <cell r="D173">
            <v>11044.91</v>
          </cell>
          <cell r="L173">
            <v>11</v>
          </cell>
        </row>
        <row r="175">
          <cell r="D175">
            <v>4090299.65</v>
          </cell>
          <cell r="L175">
            <v>4090</v>
          </cell>
        </row>
        <row r="176">
          <cell r="D176">
            <v>69826.26</v>
          </cell>
          <cell r="L176">
            <v>70</v>
          </cell>
        </row>
        <row r="179">
          <cell r="D179">
            <v>202476</v>
          </cell>
          <cell r="L179">
            <v>202</v>
          </cell>
        </row>
        <row r="181">
          <cell r="D181">
            <v>149567.81</v>
          </cell>
          <cell r="L181">
            <v>150</v>
          </cell>
        </row>
        <row r="182">
          <cell r="D182">
            <v>13557.23</v>
          </cell>
          <cell r="L182">
            <v>13</v>
          </cell>
        </row>
        <row r="185">
          <cell r="D185">
            <v>33404</v>
          </cell>
          <cell r="L185">
            <v>33</v>
          </cell>
        </row>
        <row r="187">
          <cell r="D187">
            <v>30317.09</v>
          </cell>
          <cell r="L187">
            <v>30</v>
          </cell>
        </row>
        <row r="190">
          <cell r="D190">
            <v>1280017</v>
          </cell>
          <cell r="L190">
            <v>1280</v>
          </cell>
        </row>
        <row r="193">
          <cell r="D193">
            <v>1156112.39</v>
          </cell>
          <cell r="L193">
            <v>1156</v>
          </cell>
        </row>
        <row r="196">
          <cell r="D196">
            <v>4575213</v>
          </cell>
          <cell r="L196">
            <v>4575</v>
          </cell>
        </row>
        <row r="197">
          <cell r="D197">
            <v>2170</v>
          </cell>
          <cell r="L197">
            <v>2</v>
          </cell>
        </row>
        <row r="199">
          <cell r="D199">
            <v>4377217.75</v>
          </cell>
          <cell r="L199">
            <v>4377</v>
          </cell>
        </row>
        <row r="200">
          <cell r="D200">
            <v>189811.51</v>
          </cell>
          <cell r="L200">
            <v>190</v>
          </cell>
        </row>
        <row r="203">
          <cell r="D203">
            <v>64127</v>
          </cell>
          <cell r="L203">
            <v>64</v>
          </cell>
        </row>
        <row r="205">
          <cell r="D205">
            <v>64127</v>
          </cell>
          <cell r="L205">
            <v>64</v>
          </cell>
        </row>
        <row r="208">
          <cell r="D208">
            <v>704053</v>
          </cell>
          <cell r="L208">
            <v>704</v>
          </cell>
        </row>
        <row r="210">
          <cell r="D210">
            <v>620407</v>
          </cell>
          <cell r="L210">
            <v>620</v>
          </cell>
        </row>
        <row r="212">
          <cell r="D212">
            <v>1197109.49</v>
          </cell>
          <cell r="L212">
            <v>1197</v>
          </cell>
        </row>
        <row r="213">
          <cell r="D213">
            <v>2443.66</v>
          </cell>
          <cell r="L213">
            <v>2</v>
          </cell>
        </row>
        <row r="216">
          <cell r="D216">
            <v>846791</v>
          </cell>
          <cell r="L216">
            <v>847</v>
          </cell>
        </row>
        <row r="217">
          <cell r="D217">
            <v>20.55</v>
          </cell>
        </row>
        <row r="218">
          <cell r="D218">
            <v>319527</v>
          </cell>
          <cell r="L218">
            <v>320</v>
          </cell>
        </row>
        <row r="220">
          <cell r="D220">
            <v>868377.47</v>
          </cell>
          <cell r="L220">
            <v>868</v>
          </cell>
        </row>
        <row r="221">
          <cell r="D221">
            <v>199739.93</v>
          </cell>
          <cell r="L221">
            <v>200</v>
          </cell>
        </row>
        <row r="231">
          <cell r="D231">
            <v>76595804</v>
          </cell>
          <cell r="L231">
            <v>76596</v>
          </cell>
        </row>
        <row r="233">
          <cell r="D233">
            <v>67733421</v>
          </cell>
          <cell r="L233">
            <v>67733</v>
          </cell>
        </row>
        <row r="234">
          <cell r="D234">
            <v>5450235.26</v>
          </cell>
          <cell r="L234">
            <v>5451</v>
          </cell>
        </row>
        <row r="237">
          <cell r="D237">
            <v>5234670</v>
          </cell>
          <cell r="L237">
            <v>5235</v>
          </cell>
        </row>
        <row r="239">
          <cell r="D239">
            <v>5063692.15</v>
          </cell>
          <cell r="L239">
            <v>5064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</sheetNames>
    <sheetDataSet>
      <sheetData sheetId="7">
        <row r="21">
          <cell r="D21">
            <v>1260308</v>
          </cell>
          <cell r="J21">
            <v>1260</v>
          </cell>
        </row>
        <row r="23">
          <cell r="D23">
            <v>1135044</v>
          </cell>
          <cell r="J23">
            <v>1135</v>
          </cell>
        </row>
        <row r="25">
          <cell r="D25">
            <v>13254</v>
          </cell>
          <cell r="J25">
            <v>13</v>
          </cell>
        </row>
        <row r="30">
          <cell r="D30">
            <v>993173</v>
          </cell>
          <cell r="J30">
            <v>993</v>
          </cell>
        </row>
        <row r="31">
          <cell r="D31">
            <v>163626</v>
          </cell>
          <cell r="J31">
            <v>164</v>
          </cell>
        </row>
        <row r="32">
          <cell r="D32">
            <v>98603</v>
          </cell>
          <cell r="J32">
            <v>99</v>
          </cell>
        </row>
        <row r="33">
          <cell r="D33">
            <v>118241</v>
          </cell>
          <cell r="J33">
            <v>118</v>
          </cell>
        </row>
        <row r="34">
          <cell r="D34">
            <v>84210</v>
          </cell>
          <cell r="J34">
            <v>84</v>
          </cell>
        </row>
        <row r="35">
          <cell r="D35">
            <v>141062</v>
          </cell>
          <cell r="J35">
            <v>141</v>
          </cell>
        </row>
        <row r="36">
          <cell r="D36">
            <v>178123</v>
          </cell>
          <cell r="J36">
            <v>178</v>
          </cell>
        </row>
        <row r="38">
          <cell r="D38">
            <v>477083</v>
          </cell>
          <cell r="J38">
            <v>477</v>
          </cell>
        </row>
        <row r="41">
          <cell r="D41">
            <v>1237550</v>
          </cell>
          <cell r="J41">
            <v>1238</v>
          </cell>
        </row>
        <row r="43">
          <cell r="D43">
            <v>29817</v>
          </cell>
          <cell r="J43">
            <v>30</v>
          </cell>
        </row>
        <row r="47">
          <cell r="D47">
            <v>14139</v>
          </cell>
          <cell r="J47">
            <v>14</v>
          </cell>
        </row>
        <row r="48">
          <cell r="D48">
            <v>97141</v>
          </cell>
          <cell r="J48">
            <v>97</v>
          </cell>
        </row>
        <row r="52">
          <cell r="D52">
            <v>1102990</v>
          </cell>
          <cell r="J52">
            <v>1103</v>
          </cell>
        </row>
        <row r="54">
          <cell r="D54">
            <v>878387</v>
          </cell>
          <cell r="J54">
            <v>878</v>
          </cell>
        </row>
        <row r="55">
          <cell r="D55">
            <v>200000</v>
          </cell>
          <cell r="J55">
            <v>200</v>
          </cell>
        </row>
        <row r="56">
          <cell r="D56">
            <v>164636</v>
          </cell>
          <cell r="J56">
            <v>165</v>
          </cell>
        </row>
        <row r="59">
          <cell r="D59">
            <v>1028868</v>
          </cell>
          <cell r="J59">
            <v>1029</v>
          </cell>
        </row>
        <row r="60">
          <cell r="J60">
            <v>0</v>
          </cell>
        </row>
        <row r="62">
          <cell r="D62">
            <v>1020658</v>
          </cell>
          <cell r="J62">
            <v>1021</v>
          </cell>
        </row>
        <row r="63">
          <cell r="D63">
            <v>133301</v>
          </cell>
          <cell r="J63">
            <v>133</v>
          </cell>
        </row>
        <row r="64">
          <cell r="D64">
            <v>992</v>
          </cell>
          <cell r="J64">
            <v>1</v>
          </cell>
        </row>
        <row r="65">
          <cell r="D65">
            <v>3577876</v>
          </cell>
          <cell r="J65">
            <v>3578</v>
          </cell>
        </row>
        <row r="67">
          <cell r="D67">
            <v>3726564</v>
          </cell>
          <cell r="J67">
            <v>3727</v>
          </cell>
        </row>
        <row r="71">
          <cell r="D71">
            <v>269969</v>
          </cell>
          <cell r="J71">
            <v>270</v>
          </cell>
        </row>
        <row r="72">
          <cell r="D72">
            <v>139748</v>
          </cell>
          <cell r="J72">
            <v>140</v>
          </cell>
        </row>
        <row r="74">
          <cell r="D74">
            <v>300025</v>
          </cell>
          <cell r="J74">
            <v>300</v>
          </cell>
        </row>
        <row r="75">
          <cell r="D75">
            <v>68000</v>
          </cell>
          <cell r="J75">
            <v>68</v>
          </cell>
        </row>
        <row r="79">
          <cell r="D79">
            <v>6371473</v>
          </cell>
          <cell r="J79">
            <v>6371</v>
          </cell>
        </row>
        <row r="80">
          <cell r="D80">
            <v>26620094</v>
          </cell>
          <cell r="J80">
            <v>26620</v>
          </cell>
        </row>
        <row r="81">
          <cell r="D81">
            <v>64049</v>
          </cell>
          <cell r="J81">
            <v>64</v>
          </cell>
        </row>
        <row r="82">
          <cell r="D82">
            <v>1729829</v>
          </cell>
          <cell r="J82">
            <v>1730</v>
          </cell>
        </row>
        <row r="84">
          <cell r="D84">
            <v>31162263</v>
          </cell>
          <cell r="J84">
            <v>31162</v>
          </cell>
        </row>
        <row r="85">
          <cell r="D85">
            <v>2297890</v>
          </cell>
          <cell r="J85">
            <v>2298</v>
          </cell>
        </row>
        <row r="86">
          <cell r="D86">
            <v>10241005</v>
          </cell>
          <cell r="J86">
            <v>10241</v>
          </cell>
        </row>
        <row r="88">
          <cell r="D88">
            <v>7537600</v>
          </cell>
          <cell r="J88">
            <v>7538</v>
          </cell>
        </row>
        <row r="91">
          <cell r="D91">
            <v>562130</v>
          </cell>
          <cell r="J91">
            <v>562</v>
          </cell>
        </row>
        <row r="93">
          <cell r="D93">
            <v>443578</v>
          </cell>
          <cell r="J93">
            <v>444</v>
          </cell>
        </row>
        <row r="94">
          <cell r="D94">
            <v>1459</v>
          </cell>
          <cell r="J94">
            <v>2</v>
          </cell>
        </row>
        <row r="97">
          <cell r="D97">
            <v>1477207</v>
          </cell>
          <cell r="J97">
            <v>1477</v>
          </cell>
        </row>
        <row r="99">
          <cell r="D99">
            <v>425000</v>
          </cell>
          <cell r="J99">
            <v>425</v>
          </cell>
        </row>
        <row r="100">
          <cell r="D100">
            <v>93405</v>
          </cell>
          <cell r="J100">
            <v>93</v>
          </cell>
        </row>
        <row r="104">
          <cell r="D104">
            <v>51760794</v>
          </cell>
          <cell r="J104">
            <v>51761</v>
          </cell>
        </row>
        <row r="105">
          <cell r="D105">
            <v>38307582</v>
          </cell>
          <cell r="J105">
            <v>38307</v>
          </cell>
        </row>
        <row r="106">
          <cell r="D106">
            <v>1780682</v>
          </cell>
          <cell r="J106">
            <v>1781</v>
          </cell>
        </row>
        <row r="107">
          <cell r="J107">
            <v>0</v>
          </cell>
        </row>
        <row r="109">
          <cell r="D109">
            <v>91815007</v>
          </cell>
          <cell r="J109">
            <v>91815</v>
          </cell>
        </row>
        <row r="110">
          <cell r="D110">
            <v>625081</v>
          </cell>
          <cell r="J110">
            <v>625</v>
          </cell>
        </row>
        <row r="111">
          <cell r="D111">
            <v>1646410</v>
          </cell>
          <cell r="J111">
            <v>1646</v>
          </cell>
        </row>
        <row r="113">
          <cell r="D113">
            <v>909555</v>
          </cell>
          <cell r="J113">
            <v>910</v>
          </cell>
        </row>
        <row r="116">
          <cell r="D116">
            <v>318172310</v>
          </cell>
          <cell r="J116">
            <v>318172</v>
          </cell>
        </row>
        <row r="117">
          <cell r="D117">
            <v>4322062</v>
          </cell>
          <cell r="J117">
            <v>4322</v>
          </cell>
        </row>
        <row r="118">
          <cell r="D118">
            <v>1304813</v>
          </cell>
          <cell r="J118">
            <v>1305</v>
          </cell>
        </row>
        <row r="119">
          <cell r="D119">
            <v>334853959</v>
          </cell>
          <cell r="J119">
            <v>334854</v>
          </cell>
        </row>
        <row r="120">
          <cell r="D120">
            <v>333852979</v>
          </cell>
          <cell r="J120">
            <v>333853</v>
          </cell>
        </row>
        <row r="121">
          <cell r="D121">
            <v>0</v>
          </cell>
        </row>
        <row r="122">
          <cell r="D122">
            <v>1000980</v>
          </cell>
          <cell r="J122">
            <v>1001</v>
          </cell>
        </row>
        <row r="123">
          <cell r="D123">
            <v>-11054774</v>
          </cell>
          <cell r="J123">
            <v>-11055</v>
          </cell>
        </row>
        <row r="124">
          <cell r="D124">
            <v>14234958</v>
          </cell>
          <cell r="J124">
            <v>14235</v>
          </cell>
        </row>
        <row r="127">
          <cell r="D127">
            <v>245506483</v>
          </cell>
          <cell r="J127">
            <v>245506</v>
          </cell>
        </row>
        <row r="128">
          <cell r="D128">
            <v>2566318</v>
          </cell>
          <cell r="J128">
            <v>2566</v>
          </cell>
        </row>
        <row r="129">
          <cell r="D129">
            <v>13169803</v>
          </cell>
          <cell r="J129">
            <v>13170</v>
          </cell>
        </row>
        <row r="131">
          <cell r="D131">
            <v>268818495</v>
          </cell>
          <cell r="J131">
            <v>268818</v>
          </cell>
        </row>
        <row r="133">
          <cell r="D133">
            <v>7579124</v>
          </cell>
          <cell r="J133">
            <v>7579</v>
          </cell>
        </row>
        <row r="136">
          <cell r="D136">
            <v>19439063</v>
          </cell>
          <cell r="J136">
            <v>19439</v>
          </cell>
        </row>
        <row r="137">
          <cell r="D137">
            <v>280304</v>
          </cell>
          <cell r="J137">
            <v>280</v>
          </cell>
        </row>
        <row r="138">
          <cell r="D138">
            <v>2389130</v>
          </cell>
          <cell r="J138">
            <v>2390</v>
          </cell>
        </row>
        <row r="139">
          <cell r="D139">
            <v>19347329</v>
          </cell>
          <cell r="J139">
            <v>19347</v>
          </cell>
        </row>
        <row r="140">
          <cell r="D140">
            <v>19347329</v>
          </cell>
          <cell r="J140">
            <v>19347</v>
          </cell>
        </row>
        <row r="141">
          <cell r="D141">
            <v>2761168</v>
          </cell>
          <cell r="J141">
            <v>2762</v>
          </cell>
        </row>
        <row r="144">
          <cell r="D144">
            <v>835069</v>
          </cell>
          <cell r="J144">
            <v>834</v>
          </cell>
        </row>
        <row r="145">
          <cell r="D145">
            <v>827194</v>
          </cell>
          <cell r="J145">
            <v>826</v>
          </cell>
        </row>
        <row r="146">
          <cell r="D146">
            <v>7875</v>
          </cell>
          <cell r="J146">
            <v>8</v>
          </cell>
        </row>
        <row r="147">
          <cell r="D147">
            <v>654950</v>
          </cell>
          <cell r="J147">
            <v>655</v>
          </cell>
        </row>
        <row r="148">
          <cell r="D148">
            <v>654950</v>
          </cell>
          <cell r="J148">
            <v>655</v>
          </cell>
        </row>
        <row r="149">
          <cell r="D149">
            <v>180119</v>
          </cell>
          <cell r="J149">
            <v>179</v>
          </cell>
        </row>
        <row r="151">
          <cell r="D151">
            <v>52708906</v>
          </cell>
          <cell r="J151">
            <v>52709</v>
          </cell>
        </row>
        <row r="152">
          <cell r="D152">
            <v>52399570</v>
          </cell>
          <cell r="J152">
            <v>52400</v>
          </cell>
        </row>
        <row r="153">
          <cell r="D153">
            <v>309336</v>
          </cell>
          <cell r="J153">
            <v>309</v>
          </cell>
        </row>
        <row r="154">
          <cell r="D154">
            <v>58814204</v>
          </cell>
          <cell r="J154">
            <v>58814</v>
          </cell>
        </row>
        <row r="155">
          <cell r="D155">
            <v>58814204</v>
          </cell>
          <cell r="J155">
            <v>58814</v>
          </cell>
        </row>
        <row r="156">
          <cell r="D156">
            <v>-6105298</v>
          </cell>
          <cell r="J156">
            <v>-6105</v>
          </cell>
        </row>
        <row r="157">
          <cell r="D157">
            <v>6105471</v>
          </cell>
          <cell r="J157">
            <v>6105</v>
          </cell>
        </row>
        <row r="159">
          <cell r="D159">
            <v>6353841</v>
          </cell>
          <cell r="J159">
            <v>6353</v>
          </cell>
        </row>
        <row r="160">
          <cell r="D160">
            <v>1475440</v>
          </cell>
          <cell r="J160">
            <v>1475</v>
          </cell>
        </row>
        <row r="161">
          <cell r="D161">
            <v>4878401</v>
          </cell>
          <cell r="J161">
            <v>4878</v>
          </cell>
        </row>
        <row r="162">
          <cell r="D162">
            <v>6668712</v>
          </cell>
          <cell r="J162">
            <v>6669</v>
          </cell>
        </row>
        <row r="163">
          <cell r="D163">
            <v>5667733</v>
          </cell>
          <cell r="J163">
            <v>5668</v>
          </cell>
        </row>
        <row r="165">
          <cell r="D165">
            <v>1000979</v>
          </cell>
          <cell r="J165">
            <v>1001</v>
          </cell>
        </row>
        <row r="166">
          <cell r="D166">
            <v>-314871</v>
          </cell>
          <cell r="J166">
            <v>-316</v>
          </cell>
        </row>
        <row r="167">
          <cell r="D167">
            <v>550363</v>
          </cell>
          <cell r="J167">
            <v>550</v>
          </cell>
        </row>
        <row r="170">
          <cell r="D170">
            <v>5526184</v>
          </cell>
          <cell r="J170">
            <v>5526</v>
          </cell>
        </row>
        <row r="171">
          <cell r="D171">
            <v>5032488</v>
          </cell>
          <cell r="J171">
            <v>5032</v>
          </cell>
        </row>
        <row r="172">
          <cell r="D172">
            <v>242527</v>
          </cell>
          <cell r="J172">
            <v>243</v>
          </cell>
        </row>
        <row r="173">
          <cell r="D173">
            <v>95259</v>
          </cell>
          <cell r="J173">
            <v>95</v>
          </cell>
        </row>
        <row r="174">
          <cell r="D174">
            <v>155910</v>
          </cell>
          <cell r="J174">
            <v>156</v>
          </cell>
        </row>
        <row r="175">
          <cell r="D175">
            <v>3189985</v>
          </cell>
          <cell r="J175">
            <v>3190</v>
          </cell>
        </row>
        <row r="176">
          <cell r="D176">
            <v>2899073</v>
          </cell>
          <cell r="J176">
            <v>2899</v>
          </cell>
        </row>
        <row r="177">
          <cell r="D177">
            <v>290912</v>
          </cell>
          <cell r="J177">
            <v>291</v>
          </cell>
        </row>
        <row r="180">
          <cell r="D180">
            <v>1189550</v>
          </cell>
          <cell r="J180">
            <v>1190</v>
          </cell>
        </row>
        <row r="181">
          <cell r="D181">
            <v>758633</v>
          </cell>
          <cell r="J181">
            <v>759</v>
          </cell>
        </row>
        <row r="182">
          <cell r="D182">
            <v>430917</v>
          </cell>
          <cell r="J182">
            <v>431</v>
          </cell>
        </row>
        <row r="183">
          <cell r="D183">
            <v>1185139</v>
          </cell>
          <cell r="J183">
            <v>1185</v>
          </cell>
        </row>
        <row r="184">
          <cell r="D184">
            <v>1185139</v>
          </cell>
          <cell r="J184">
            <v>1185</v>
          </cell>
        </row>
        <row r="186">
          <cell r="D186">
            <v>22487</v>
          </cell>
          <cell r="J186">
            <v>22</v>
          </cell>
        </row>
        <row r="187">
          <cell r="D187">
            <v>22487</v>
          </cell>
          <cell r="J187">
            <v>22</v>
          </cell>
        </row>
        <row r="188">
          <cell r="D188">
            <v>84852</v>
          </cell>
          <cell r="J188">
            <v>85</v>
          </cell>
        </row>
        <row r="189">
          <cell r="D189">
            <v>84682</v>
          </cell>
          <cell r="J189">
            <v>85</v>
          </cell>
        </row>
        <row r="190">
          <cell r="D190">
            <v>5449</v>
          </cell>
          <cell r="J190">
            <v>5</v>
          </cell>
        </row>
        <row r="191">
          <cell r="D191">
            <v>170</v>
          </cell>
          <cell r="J191">
            <v>0</v>
          </cell>
        </row>
        <row r="192">
          <cell r="D192">
            <v>-62365</v>
          </cell>
          <cell r="J192">
            <v>-63</v>
          </cell>
        </row>
        <row r="193">
          <cell r="D193">
            <v>27435</v>
          </cell>
          <cell r="J193">
            <v>27</v>
          </cell>
        </row>
      </sheetData>
      <sheetData sheetId="8">
        <row r="20">
          <cell r="D20">
            <v>1384622</v>
          </cell>
        </row>
        <row r="28">
          <cell r="D28">
            <v>2080125</v>
          </cell>
        </row>
        <row r="40">
          <cell r="D40">
            <v>1237550</v>
          </cell>
        </row>
        <row r="45">
          <cell r="D45">
            <v>117372</v>
          </cell>
        </row>
        <row r="51">
          <cell r="D51">
            <v>1193655</v>
          </cell>
        </row>
        <row r="58">
          <cell r="D58">
            <v>1040885</v>
          </cell>
        </row>
        <row r="70">
          <cell r="D70">
            <v>430794</v>
          </cell>
        </row>
        <row r="79">
          <cell r="D79">
            <v>7010450</v>
          </cell>
        </row>
        <row r="80">
          <cell r="D80">
            <v>30591546</v>
          </cell>
        </row>
        <row r="81">
          <cell r="D81">
            <v>78315</v>
          </cell>
        </row>
        <row r="82">
          <cell r="D82">
            <v>1729829</v>
          </cell>
        </row>
        <row r="90">
          <cell r="D90">
            <v>622735</v>
          </cell>
        </row>
        <row r="96">
          <cell r="D96">
            <v>1618900</v>
          </cell>
        </row>
        <row r="104">
          <cell r="D104">
            <v>57867715</v>
          </cell>
        </row>
        <row r="105">
          <cell r="D105">
            <v>43038463</v>
          </cell>
        </row>
        <row r="106">
          <cell r="D106">
            <v>1903962</v>
          </cell>
        </row>
        <row r="115">
          <cell r="D115">
            <v>362457919</v>
          </cell>
        </row>
        <row r="171">
          <cell r="D171">
            <v>5597693</v>
          </cell>
        </row>
        <row r="172">
          <cell r="D172">
            <v>273300</v>
          </cell>
        </row>
        <row r="173">
          <cell r="D173">
            <v>103396</v>
          </cell>
        </row>
        <row r="174">
          <cell r="D174">
            <v>155910</v>
          </cell>
        </row>
        <row r="180">
          <cell r="D180">
            <v>1341317</v>
          </cell>
        </row>
        <row r="187">
          <cell r="D187">
            <v>34634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</sheetNames>
    <sheetDataSet>
      <sheetData sheetId="7">
        <row r="9">
          <cell r="C9">
            <v>27128</v>
          </cell>
        </row>
        <row r="10">
          <cell r="C10">
            <v>7790</v>
          </cell>
        </row>
        <row r="11">
          <cell r="C11">
            <v>1339</v>
          </cell>
        </row>
        <row r="12">
          <cell r="C12">
            <v>7772</v>
          </cell>
        </row>
        <row r="13">
          <cell r="C13">
            <v>1723</v>
          </cell>
        </row>
        <row r="14">
          <cell r="C14">
            <v>8504</v>
          </cell>
        </row>
        <row r="16">
          <cell r="C16">
            <v>4454</v>
          </cell>
        </row>
        <row r="17">
          <cell r="C17">
            <v>1127</v>
          </cell>
        </row>
        <row r="18">
          <cell r="C18">
            <v>6709</v>
          </cell>
        </row>
        <row r="19">
          <cell r="C19">
            <v>1721</v>
          </cell>
        </row>
        <row r="20">
          <cell r="C20">
            <v>7828</v>
          </cell>
        </row>
      </sheetData>
      <sheetData sheetId="8">
        <row r="9">
          <cell r="B9">
            <v>38186</v>
          </cell>
          <cell r="C9">
            <v>30580</v>
          </cell>
        </row>
        <row r="10">
          <cell r="B10">
            <v>9349</v>
          </cell>
          <cell r="C10">
            <v>9198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</sheetNames>
    <sheetDataSet>
      <sheetData sheetId="7">
        <row r="10">
          <cell r="C10">
            <v>27128</v>
          </cell>
        </row>
        <row r="11">
          <cell r="C11">
            <v>23682</v>
          </cell>
        </row>
        <row r="12">
          <cell r="C12">
            <v>18138</v>
          </cell>
        </row>
        <row r="13">
          <cell r="C13">
            <v>11642</v>
          </cell>
        </row>
        <row r="14">
          <cell r="C14">
            <v>1562</v>
          </cell>
        </row>
        <row r="15">
          <cell r="C15">
            <v>373</v>
          </cell>
        </row>
        <row r="16">
          <cell r="C16">
            <v>9707</v>
          </cell>
        </row>
        <row r="17">
          <cell r="C17">
            <v>9610</v>
          </cell>
        </row>
        <row r="18">
          <cell r="C18">
            <v>97</v>
          </cell>
        </row>
        <row r="19">
          <cell r="C19">
            <v>48</v>
          </cell>
        </row>
        <row r="20">
          <cell r="C20">
            <v>6448</v>
          </cell>
        </row>
        <row r="21">
          <cell r="C21">
            <v>279</v>
          </cell>
        </row>
        <row r="22">
          <cell r="C22">
            <v>598</v>
          </cell>
        </row>
        <row r="23">
          <cell r="C23">
            <v>69</v>
          </cell>
        </row>
        <row r="24">
          <cell r="C24">
            <v>3409</v>
          </cell>
        </row>
        <row r="25">
          <cell r="C25">
            <v>1592</v>
          </cell>
        </row>
        <row r="26">
          <cell r="C26">
            <v>501</v>
          </cell>
        </row>
        <row r="27">
          <cell r="C27">
            <v>5544</v>
          </cell>
        </row>
        <row r="28">
          <cell r="C28">
            <v>4327</v>
          </cell>
        </row>
        <row r="29">
          <cell r="C29">
            <v>1217</v>
          </cell>
        </row>
        <row r="30">
          <cell r="C30">
            <v>-1843</v>
          </cell>
        </row>
        <row r="31">
          <cell r="C31">
            <v>515</v>
          </cell>
        </row>
        <row r="32">
          <cell r="C32">
            <v>2358</v>
          </cell>
        </row>
        <row r="33">
          <cell r="C33">
            <v>5289</v>
          </cell>
        </row>
      </sheetData>
      <sheetData sheetId="8">
        <row r="12">
          <cell r="B12">
            <v>40489</v>
          </cell>
          <cell r="C12">
            <v>20776</v>
          </cell>
        </row>
        <row r="28">
          <cell r="B28">
            <v>8362</v>
          </cell>
          <cell r="C28">
            <v>5391</v>
          </cell>
        </row>
        <row r="29">
          <cell r="B29">
            <v>3098</v>
          </cell>
          <cell r="C29">
            <v>1365</v>
          </cell>
        </row>
        <row r="31">
          <cell r="B31">
            <v>974</v>
          </cell>
          <cell r="C31">
            <v>636</v>
          </cell>
        </row>
        <row r="32">
          <cell r="B32">
            <v>2637</v>
          </cell>
          <cell r="C32">
            <v>2322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7">
        <row r="8">
          <cell r="D8">
            <v>13524815</v>
          </cell>
          <cell r="K8">
            <v>13525</v>
          </cell>
        </row>
        <row r="9">
          <cell r="D9">
            <v>10447590</v>
          </cell>
          <cell r="K9">
            <v>10447</v>
          </cell>
        </row>
        <row r="10">
          <cell r="D10">
            <v>5510909</v>
          </cell>
          <cell r="K10">
            <v>5511</v>
          </cell>
        </row>
        <row r="11">
          <cell r="D11">
            <v>4936681</v>
          </cell>
          <cell r="K11">
            <v>4936</v>
          </cell>
        </row>
        <row r="12">
          <cell r="D12">
            <v>3077225</v>
          </cell>
          <cell r="K12">
            <v>3078</v>
          </cell>
        </row>
        <row r="13">
          <cell r="D13">
            <v>2083516</v>
          </cell>
          <cell r="K13">
            <v>2084</v>
          </cell>
        </row>
        <row r="14">
          <cell r="D14">
            <v>993709</v>
          </cell>
          <cell r="K14">
            <v>994</v>
          </cell>
        </row>
        <row r="15">
          <cell r="D15">
            <v>0</v>
          </cell>
          <cell r="K15">
            <v>0</v>
          </cell>
        </row>
        <row r="16">
          <cell r="D16">
            <v>0</v>
          </cell>
          <cell r="K16">
            <v>0</v>
          </cell>
        </row>
        <row r="17">
          <cell r="K17">
            <v>0</v>
          </cell>
        </row>
        <row r="18">
          <cell r="D18">
            <v>39149</v>
          </cell>
          <cell r="K18">
            <v>39</v>
          </cell>
        </row>
        <row r="19">
          <cell r="D19">
            <v>21711</v>
          </cell>
          <cell r="K19">
            <v>22</v>
          </cell>
        </row>
        <row r="20">
          <cell r="D20">
            <v>21711</v>
          </cell>
          <cell r="K20">
            <v>22</v>
          </cell>
        </row>
        <row r="21">
          <cell r="D21">
            <v>17438</v>
          </cell>
          <cell r="K21">
            <v>17</v>
          </cell>
        </row>
        <row r="22">
          <cell r="D22">
            <v>17438</v>
          </cell>
          <cell r="K22">
            <v>17</v>
          </cell>
        </row>
        <row r="23">
          <cell r="D23">
            <v>0</v>
          </cell>
          <cell r="K23">
            <v>0</v>
          </cell>
        </row>
        <row r="24">
          <cell r="D24">
            <v>0</v>
          </cell>
          <cell r="K24">
            <v>0</v>
          </cell>
        </row>
        <row r="25">
          <cell r="K25">
            <v>0</v>
          </cell>
        </row>
        <row r="26">
          <cell r="D26">
            <v>1005171</v>
          </cell>
          <cell r="K26">
            <v>1004</v>
          </cell>
        </row>
        <row r="27">
          <cell r="D27">
            <v>996691</v>
          </cell>
          <cell r="K27">
            <v>996</v>
          </cell>
        </row>
        <row r="28">
          <cell r="D28">
            <v>920267</v>
          </cell>
          <cell r="K28">
            <v>920</v>
          </cell>
        </row>
        <row r="29">
          <cell r="D29">
            <v>76424</v>
          </cell>
          <cell r="K29">
            <v>76</v>
          </cell>
        </row>
        <row r="30">
          <cell r="D30">
            <v>8480</v>
          </cell>
          <cell r="K30">
            <v>8</v>
          </cell>
        </row>
        <row r="31">
          <cell r="D31">
            <v>8480</v>
          </cell>
          <cell r="K31">
            <v>8</v>
          </cell>
        </row>
        <row r="32">
          <cell r="D32">
            <v>1081429</v>
          </cell>
          <cell r="K32">
            <v>1082</v>
          </cell>
        </row>
        <row r="33">
          <cell r="D33">
            <v>880992</v>
          </cell>
          <cell r="K33">
            <v>881</v>
          </cell>
        </row>
        <row r="34">
          <cell r="D34">
            <v>289000</v>
          </cell>
          <cell r="K34">
            <v>289</v>
          </cell>
        </row>
        <row r="35">
          <cell r="D35">
            <v>591992</v>
          </cell>
          <cell r="K35">
            <v>592</v>
          </cell>
        </row>
        <row r="36">
          <cell r="D36">
            <v>200437</v>
          </cell>
          <cell r="K36">
            <v>201</v>
          </cell>
        </row>
        <row r="37">
          <cell r="D37">
            <v>2453</v>
          </cell>
          <cell r="K37">
            <v>3</v>
          </cell>
        </row>
        <row r="38">
          <cell r="D38">
            <v>197984</v>
          </cell>
          <cell r="K38">
            <v>198</v>
          </cell>
        </row>
        <row r="39">
          <cell r="D39">
            <v>291048</v>
          </cell>
          <cell r="K39">
            <v>291</v>
          </cell>
        </row>
        <row r="40">
          <cell r="D40">
            <v>275028</v>
          </cell>
          <cell r="K40">
            <v>275</v>
          </cell>
        </row>
        <row r="41">
          <cell r="D41">
            <v>47596</v>
          </cell>
          <cell r="K41">
            <v>48</v>
          </cell>
        </row>
        <row r="42">
          <cell r="D42">
            <v>227432</v>
          </cell>
          <cell r="K42">
            <v>227</v>
          </cell>
        </row>
        <row r="43">
          <cell r="D43">
            <v>16020</v>
          </cell>
          <cell r="K43">
            <v>16</v>
          </cell>
        </row>
        <row r="44">
          <cell r="K44">
            <v>0</v>
          </cell>
        </row>
        <row r="45">
          <cell r="D45">
            <v>16020</v>
          </cell>
          <cell r="K45">
            <v>16</v>
          </cell>
        </row>
        <row r="46">
          <cell r="D46">
            <v>4221789</v>
          </cell>
          <cell r="K46">
            <v>4221</v>
          </cell>
        </row>
        <row r="47">
          <cell r="D47">
            <v>2415783</v>
          </cell>
          <cell r="K47">
            <v>2415</v>
          </cell>
        </row>
        <row r="48">
          <cell r="D48">
            <v>2340389</v>
          </cell>
          <cell r="K48">
            <v>2340</v>
          </cell>
        </row>
        <row r="49">
          <cell r="D49">
            <v>75394</v>
          </cell>
          <cell r="K49">
            <v>75</v>
          </cell>
        </row>
        <row r="50">
          <cell r="D50">
            <v>1806006</v>
          </cell>
          <cell r="K50">
            <v>1806</v>
          </cell>
        </row>
        <row r="51">
          <cell r="D51">
            <v>1806006</v>
          </cell>
          <cell r="K51">
            <v>1806</v>
          </cell>
        </row>
        <row r="52">
          <cell r="D52">
            <v>767796</v>
          </cell>
          <cell r="K52">
            <v>768</v>
          </cell>
        </row>
        <row r="53">
          <cell r="D53">
            <v>612376</v>
          </cell>
          <cell r="K53">
            <v>612</v>
          </cell>
        </row>
        <row r="54">
          <cell r="D54">
            <v>139547</v>
          </cell>
          <cell r="K54">
            <v>139</v>
          </cell>
        </row>
        <row r="55">
          <cell r="D55">
            <v>472829</v>
          </cell>
          <cell r="K55">
            <v>473</v>
          </cell>
        </row>
        <row r="56">
          <cell r="D56">
            <v>155420</v>
          </cell>
          <cell r="K56">
            <v>156</v>
          </cell>
        </row>
        <row r="57">
          <cell r="D57">
            <v>10510</v>
          </cell>
          <cell r="K57">
            <v>11</v>
          </cell>
        </row>
        <row r="58">
          <cell r="D58">
            <v>144910</v>
          </cell>
          <cell r="K58">
            <v>145</v>
          </cell>
        </row>
        <row r="59">
          <cell r="D59">
            <v>1905761</v>
          </cell>
          <cell r="K59">
            <v>1906</v>
          </cell>
        </row>
        <row r="60">
          <cell r="D60">
            <v>1404935</v>
          </cell>
          <cell r="K60">
            <v>1405</v>
          </cell>
        </row>
        <row r="61">
          <cell r="D61">
            <v>260315</v>
          </cell>
          <cell r="K61">
            <v>260</v>
          </cell>
        </row>
        <row r="62">
          <cell r="D62">
            <v>1144620</v>
          </cell>
          <cell r="K62">
            <v>1145</v>
          </cell>
        </row>
        <row r="63">
          <cell r="D63">
            <v>500826</v>
          </cell>
          <cell r="K63">
            <v>501</v>
          </cell>
        </row>
        <row r="64">
          <cell r="D64">
            <v>500826</v>
          </cell>
          <cell r="K64">
            <v>501</v>
          </cell>
        </row>
        <row r="65">
          <cell r="D65">
            <v>454246</v>
          </cell>
          <cell r="K65">
            <v>455</v>
          </cell>
        </row>
        <row r="66">
          <cell r="D66">
            <v>303698</v>
          </cell>
          <cell r="K66">
            <v>304</v>
          </cell>
        </row>
        <row r="67">
          <cell r="D67">
            <v>303698</v>
          </cell>
          <cell r="K67">
            <v>304</v>
          </cell>
        </row>
        <row r="68">
          <cell r="K68">
            <v>0</v>
          </cell>
        </row>
        <row r="69">
          <cell r="D69">
            <v>150548</v>
          </cell>
          <cell r="K69">
            <v>151</v>
          </cell>
        </row>
        <row r="70">
          <cell r="D70">
            <v>126537</v>
          </cell>
          <cell r="K70">
            <v>127</v>
          </cell>
        </row>
        <row r="71">
          <cell r="D71">
            <v>24011</v>
          </cell>
          <cell r="K71">
            <v>24</v>
          </cell>
        </row>
        <row r="72">
          <cell r="D72">
            <v>650664</v>
          </cell>
          <cell r="K72">
            <v>651</v>
          </cell>
        </row>
        <row r="73">
          <cell r="D73">
            <v>529888</v>
          </cell>
          <cell r="K73">
            <v>530</v>
          </cell>
        </row>
        <row r="74">
          <cell r="D74">
            <v>173188</v>
          </cell>
          <cell r="K74">
            <v>173</v>
          </cell>
        </row>
        <row r="75">
          <cell r="D75">
            <v>356700</v>
          </cell>
          <cell r="K75">
            <v>357</v>
          </cell>
        </row>
        <row r="76">
          <cell r="D76">
            <v>120776</v>
          </cell>
          <cell r="K76">
            <v>121</v>
          </cell>
        </row>
        <row r="77">
          <cell r="D77">
            <v>22893</v>
          </cell>
          <cell r="K77">
            <v>23</v>
          </cell>
        </row>
        <row r="78">
          <cell r="D78">
            <v>97883</v>
          </cell>
          <cell r="K78">
            <v>98</v>
          </cell>
        </row>
        <row r="79">
          <cell r="D79">
            <v>2001319</v>
          </cell>
          <cell r="K79">
            <v>2001</v>
          </cell>
        </row>
        <row r="80">
          <cell r="D80">
            <v>1995927</v>
          </cell>
          <cell r="K80">
            <v>1996</v>
          </cell>
        </row>
        <row r="81">
          <cell r="D81">
            <v>4637</v>
          </cell>
          <cell r="K81">
            <v>5</v>
          </cell>
        </row>
        <row r="82">
          <cell r="D82">
            <v>1991290</v>
          </cell>
          <cell r="K82">
            <v>1991</v>
          </cell>
        </row>
        <row r="83">
          <cell r="D83">
            <v>5392</v>
          </cell>
          <cell r="K83">
            <v>5</v>
          </cell>
        </row>
        <row r="85">
          <cell r="D85">
            <v>5392</v>
          </cell>
          <cell r="K85">
            <v>5</v>
          </cell>
        </row>
        <row r="86">
          <cell r="D86">
            <v>70627</v>
          </cell>
          <cell r="K86">
            <v>71</v>
          </cell>
        </row>
        <row r="87">
          <cell r="D87">
            <v>70627</v>
          </cell>
          <cell r="K87">
            <v>71</v>
          </cell>
        </row>
        <row r="88">
          <cell r="D88">
            <v>70627</v>
          </cell>
          <cell r="K88">
            <v>71</v>
          </cell>
        </row>
        <row r="89">
          <cell r="D89">
            <v>0</v>
          </cell>
          <cell r="K89">
            <v>0</v>
          </cell>
        </row>
        <row r="90">
          <cell r="K90">
            <v>0</v>
          </cell>
        </row>
        <row r="91">
          <cell r="D91">
            <v>16683</v>
          </cell>
          <cell r="K91">
            <v>17</v>
          </cell>
        </row>
        <row r="92">
          <cell r="D92">
            <v>0</v>
          </cell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D95">
            <v>16683</v>
          </cell>
          <cell r="K95">
            <v>17</v>
          </cell>
        </row>
        <row r="96">
          <cell r="D96">
            <v>10000</v>
          </cell>
          <cell r="K96">
            <v>10</v>
          </cell>
        </row>
        <row r="97">
          <cell r="D97">
            <v>6683</v>
          </cell>
          <cell r="K97">
            <v>7</v>
          </cell>
        </row>
        <row r="98">
          <cell r="D98">
            <v>699606</v>
          </cell>
          <cell r="K98">
            <v>699</v>
          </cell>
        </row>
        <row r="99">
          <cell r="D99">
            <v>620407</v>
          </cell>
          <cell r="K99">
            <v>620</v>
          </cell>
        </row>
        <row r="100">
          <cell r="D100">
            <v>620407</v>
          </cell>
          <cell r="K100">
            <v>620</v>
          </cell>
        </row>
        <row r="101">
          <cell r="K101">
            <v>0</v>
          </cell>
        </row>
        <row r="102">
          <cell r="D102">
            <v>79199</v>
          </cell>
          <cell r="K102">
            <v>79</v>
          </cell>
        </row>
        <row r="103">
          <cell r="D103">
            <v>79199</v>
          </cell>
          <cell r="K103">
            <v>79</v>
          </cell>
        </row>
        <row r="104">
          <cell r="D104">
            <v>319527</v>
          </cell>
          <cell r="K104">
            <v>320</v>
          </cell>
        </row>
        <row r="105">
          <cell r="D105">
            <v>319527</v>
          </cell>
          <cell r="K105">
            <v>320</v>
          </cell>
        </row>
        <row r="106">
          <cell r="D106">
            <v>319527</v>
          </cell>
          <cell r="K106">
            <v>320</v>
          </cell>
        </row>
        <row r="107">
          <cell r="D107">
            <v>0</v>
          </cell>
          <cell r="K107">
            <v>0</v>
          </cell>
        </row>
        <row r="108">
          <cell r="K108">
            <v>0</v>
          </cell>
        </row>
        <row r="109">
          <cell r="D109">
            <v>2494876</v>
          </cell>
          <cell r="K109">
            <v>2495</v>
          </cell>
        </row>
        <row r="110">
          <cell r="D110">
            <v>1885739</v>
          </cell>
          <cell r="K110">
            <v>1886</v>
          </cell>
        </row>
        <row r="111">
          <cell r="D111">
            <v>363629</v>
          </cell>
          <cell r="K111">
            <v>364</v>
          </cell>
        </row>
        <row r="112">
          <cell r="D112">
            <v>1522110</v>
          </cell>
          <cell r="K112">
            <v>1522</v>
          </cell>
        </row>
        <row r="113">
          <cell r="D113">
            <v>609137</v>
          </cell>
          <cell r="K113">
            <v>609</v>
          </cell>
        </row>
        <row r="114">
          <cell r="D114">
            <v>0</v>
          </cell>
          <cell r="K114">
            <v>0</v>
          </cell>
        </row>
        <row r="115">
          <cell r="D115">
            <v>609137</v>
          </cell>
          <cell r="K115">
            <v>609</v>
          </cell>
        </row>
        <row r="116">
          <cell r="D116">
            <v>2338966</v>
          </cell>
          <cell r="K116">
            <v>2339</v>
          </cell>
        </row>
        <row r="117">
          <cell r="D117">
            <v>1729829</v>
          </cell>
          <cell r="K117">
            <v>1730</v>
          </cell>
        </row>
        <row r="118">
          <cell r="D118">
            <v>207719</v>
          </cell>
          <cell r="K118">
            <v>208</v>
          </cell>
        </row>
        <row r="119">
          <cell r="D119">
            <v>1522110</v>
          </cell>
          <cell r="K119">
            <v>1522</v>
          </cell>
        </row>
        <row r="120">
          <cell r="D120">
            <v>609137</v>
          </cell>
          <cell r="K120">
            <v>609</v>
          </cell>
        </row>
        <row r="121">
          <cell r="D121">
            <v>609137</v>
          </cell>
          <cell r="K121">
            <v>609</v>
          </cell>
        </row>
        <row r="122">
          <cell r="D122">
            <v>0</v>
          </cell>
          <cell r="K122">
            <v>0</v>
          </cell>
        </row>
        <row r="123">
          <cell r="D123">
            <v>0</v>
          </cell>
          <cell r="K123">
            <v>0</v>
          </cell>
        </row>
        <row r="124">
          <cell r="K124">
            <v>0</v>
          </cell>
        </row>
        <row r="125">
          <cell r="D125">
            <v>0</v>
          </cell>
          <cell r="K125">
            <v>0</v>
          </cell>
        </row>
        <row r="126">
          <cell r="K126">
            <v>0</v>
          </cell>
        </row>
        <row r="127">
          <cell r="D127">
            <v>155910</v>
          </cell>
          <cell r="K127">
            <v>156</v>
          </cell>
        </row>
        <row r="128">
          <cell r="D128">
            <v>155910</v>
          </cell>
          <cell r="K128">
            <v>156</v>
          </cell>
        </row>
        <row r="129">
          <cell r="D129">
            <v>155910</v>
          </cell>
          <cell r="K129">
            <v>156</v>
          </cell>
        </row>
        <row r="130">
          <cell r="D130">
            <v>0</v>
          </cell>
          <cell r="K130">
            <v>0</v>
          </cell>
        </row>
        <row r="131">
          <cell r="K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30">
      <selection activeCell="A38" sqref="A38"/>
    </sheetView>
  </sheetViews>
  <sheetFormatPr defaultColWidth="9.140625" defaultRowHeight="12.75"/>
  <cols>
    <col min="1" max="1" width="43.421875" style="1" customWidth="1"/>
    <col min="2" max="2" width="11.8515625" style="1" customWidth="1"/>
    <col min="3" max="3" width="13.421875" style="1" customWidth="1"/>
    <col min="4" max="4" width="11.421875" style="1" customWidth="1"/>
    <col min="5" max="5" width="12.7109375" style="1" customWidth="1"/>
  </cols>
  <sheetData>
    <row r="1" ht="12.75">
      <c r="E1" s="2"/>
    </row>
    <row r="2" spans="1:5" ht="12.75">
      <c r="A2" s="843" t="s">
        <v>641</v>
      </c>
      <c r="B2" s="843"/>
      <c r="C2" s="843"/>
      <c r="E2" s="2"/>
    </row>
    <row r="3" ht="12.75">
      <c r="E3" s="2"/>
    </row>
    <row r="4" spans="1:5" ht="11.25" customHeight="1">
      <c r="A4" s="4"/>
      <c r="B4" s="4"/>
      <c r="C4" s="4"/>
      <c r="D4" s="4"/>
      <c r="E4" s="4"/>
    </row>
    <row r="5" spans="1:5" s="5" customFormat="1" ht="15.75" customHeight="1">
      <c r="A5" s="844" t="s">
        <v>642</v>
      </c>
      <c r="B5" s="844"/>
      <c r="C5" s="844"/>
      <c r="D5" s="844"/>
      <c r="E5" s="844"/>
    </row>
    <row r="6" spans="1:5" s="5" customFormat="1" ht="14.25">
      <c r="A6" s="844"/>
      <c r="B6" s="844"/>
      <c r="C6" s="844"/>
      <c r="D6" s="844"/>
      <c r="E6" s="844"/>
    </row>
    <row r="7" spans="1:5" s="5" customFormat="1" ht="14.25">
      <c r="A7" s="845" t="s">
        <v>132</v>
      </c>
      <c r="B7" s="845"/>
      <c r="C7" s="845"/>
      <c r="D7" s="845"/>
      <c r="E7" s="845"/>
    </row>
    <row r="8" ht="10.5" customHeight="1"/>
    <row r="9" spans="1:5" ht="12.75">
      <c r="A9" s="7"/>
      <c r="E9" s="2" t="s">
        <v>643</v>
      </c>
    </row>
    <row r="10" spans="1:5" ht="31.5" customHeight="1">
      <c r="A10" s="8" t="s">
        <v>644</v>
      </c>
      <c r="B10" s="9" t="s">
        <v>645</v>
      </c>
      <c r="C10" s="9" t="s">
        <v>646</v>
      </c>
      <c r="D10" s="9" t="s">
        <v>647</v>
      </c>
      <c r="E10" s="9" t="s">
        <v>99</v>
      </c>
    </row>
    <row r="11" spans="1:5" ht="12.75">
      <c r="A11" s="10" t="s">
        <v>648</v>
      </c>
      <c r="B11" s="11">
        <v>1027618</v>
      </c>
      <c r="C11" s="12">
        <v>333735</v>
      </c>
      <c r="D11" s="11">
        <f>B11+C11</f>
        <v>1361353</v>
      </c>
      <c r="E11" s="11">
        <f>D11-'[21]Augusts'!D11</f>
        <v>140425</v>
      </c>
    </row>
    <row r="12" spans="1:5" ht="22.5">
      <c r="A12" s="13" t="s">
        <v>649</v>
      </c>
      <c r="B12" s="14" t="s">
        <v>650</v>
      </c>
      <c r="C12" s="14" t="s">
        <v>650</v>
      </c>
      <c r="D12" s="15">
        <f>80806+5662</f>
        <v>86468</v>
      </c>
      <c r="E12" s="15">
        <f>D12-'[21]Augusts'!D12</f>
        <v>8220</v>
      </c>
    </row>
    <row r="13" spans="1:5" ht="22.5">
      <c r="A13" s="13" t="s">
        <v>651</v>
      </c>
      <c r="B13" s="14" t="s">
        <v>650</v>
      </c>
      <c r="C13" s="14" t="s">
        <v>650</v>
      </c>
      <c r="D13" s="15">
        <f>8713+1772</f>
        <v>10485</v>
      </c>
      <c r="E13" s="15">
        <f>D13-'[21]Augusts'!D13</f>
        <v>1175</v>
      </c>
    </row>
    <row r="14" spans="1:5" ht="12.75">
      <c r="A14" s="16" t="s">
        <v>652</v>
      </c>
      <c r="B14" s="17" t="s">
        <v>650</v>
      </c>
      <c r="C14" s="17" t="s">
        <v>650</v>
      </c>
      <c r="D14" s="11">
        <f>D11-D12-D13</f>
        <v>1264400</v>
      </c>
      <c r="E14" s="11">
        <f>D14-'[21]Augusts'!D14</f>
        <v>131030</v>
      </c>
    </row>
    <row r="15" spans="1:5" ht="12.75">
      <c r="A15" s="10" t="s">
        <v>653</v>
      </c>
      <c r="B15" s="11">
        <v>1054093</v>
      </c>
      <c r="C15" s="12">
        <v>353925</v>
      </c>
      <c r="D15" s="11">
        <f>B15+C15</f>
        <v>1408018</v>
      </c>
      <c r="E15" s="11">
        <f>D15-'[21]Augusts'!D15</f>
        <v>146797</v>
      </c>
    </row>
    <row r="16" spans="1:5" ht="22.5">
      <c r="A16" s="13" t="s">
        <v>654</v>
      </c>
      <c r="B16" s="14" t="s">
        <v>650</v>
      </c>
      <c r="C16" s="14" t="s">
        <v>650</v>
      </c>
      <c r="D16" s="15">
        <f>80806+5662</f>
        <v>86468</v>
      </c>
      <c r="E16" s="15">
        <f>D16-'[21]Augusts'!D16</f>
        <v>8220</v>
      </c>
    </row>
    <row r="17" spans="1:5" ht="22.5">
      <c r="A17" s="13" t="s">
        <v>655</v>
      </c>
      <c r="B17" s="14" t="s">
        <v>650</v>
      </c>
      <c r="C17" s="14" t="s">
        <v>650</v>
      </c>
      <c r="D17" s="15">
        <f>8713+1772</f>
        <v>10485</v>
      </c>
      <c r="E17" s="15">
        <f>D17-'[21]Augusts'!D17</f>
        <v>1175</v>
      </c>
    </row>
    <row r="18" spans="1:5" ht="12.75">
      <c r="A18" s="16" t="s">
        <v>656</v>
      </c>
      <c r="B18" s="17" t="s">
        <v>650</v>
      </c>
      <c r="C18" s="17" t="s">
        <v>650</v>
      </c>
      <c r="D18" s="11">
        <f>D15-D16-D17</f>
        <v>1311065</v>
      </c>
      <c r="E18" s="11">
        <f>D18-'[21]Augusts'!D18</f>
        <v>137402</v>
      </c>
    </row>
    <row r="19" spans="1:5" ht="12.75">
      <c r="A19" s="16" t="s">
        <v>657</v>
      </c>
      <c r="B19" s="11">
        <f>B11-B15</f>
        <v>-26475</v>
      </c>
      <c r="C19" s="12">
        <f>C11-C15</f>
        <v>-20190</v>
      </c>
      <c r="D19" s="11">
        <f>D14-D18</f>
        <v>-46665</v>
      </c>
      <c r="E19" s="11">
        <f>D19-'[21]Augusts'!D19</f>
        <v>-6372</v>
      </c>
    </row>
    <row r="20" spans="1:5" ht="12.75">
      <c r="A20" s="18" t="s">
        <v>658</v>
      </c>
      <c r="B20" s="12">
        <f>B21-B24</f>
        <v>5217</v>
      </c>
      <c r="C20" s="12">
        <f>C21-C24</f>
        <v>-3381</v>
      </c>
      <c r="D20" s="12">
        <f>D23-D26</f>
        <v>-3040</v>
      </c>
      <c r="E20" s="12">
        <f>D20-'[21]Augusts'!D20</f>
        <v>246</v>
      </c>
    </row>
    <row r="21" spans="1:5" ht="12.75">
      <c r="A21" s="19" t="s">
        <v>659</v>
      </c>
      <c r="B21" s="20">
        <v>27696</v>
      </c>
      <c r="C21" s="21">
        <v>790</v>
      </c>
      <c r="D21" s="20">
        <f>B21+C21</f>
        <v>28486</v>
      </c>
      <c r="E21" s="20">
        <f>D21-'[21]Augusts'!D21</f>
        <v>4287</v>
      </c>
    </row>
    <row r="22" spans="1:5" ht="22.5">
      <c r="A22" s="13" t="s">
        <v>660</v>
      </c>
      <c r="B22" s="14" t="s">
        <v>650</v>
      </c>
      <c r="C22" s="14" t="s">
        <v>650</v>
      </c>
      <c r="D22" s="15">
        <v>20008</v>
      </c>
      <c r="E22" s="15">
        <f>D22-'[21]Augusts'!D22</f>
        <v>3475</v>
      </c>
    </row>
    <row r="23" spans="1:5" ht="12.75">
      <c r="A23" s="18" t="s">
        <v>661</v>
      </c>
      <c r="B23" s="17" t="s">
        <v>650</v>
      </c>
      <c r="C23" s="17" t="s">
        <v>650</v>
      </c>
      <c r="D23" s="11">
        <f>D21-D22</f>
        <v>8478</v>
      </c>
      <c r="E23" s="11">
        <f>D23-'[21]Augusts'!D23</f>
        <v>812</v>
      </c>
    </row>
    <row r="24" spans="1:5" ht="12.75">
      <c r="A24" s="19" t="s">
        <v>662</v>
      </c>
      <c r="B24" s="20">
        <v>22479</v>
      </c>
      <c r="C24" s="21">
        <v>4171</v>
      </c>
      <c r="D24" s="20">
        <f>B24+C24</f>
        <v>26650</v>
      </c>
      <c r="E24" s="20">
        <f>D24-'[21]Augusts'!D24</f>
        <v>2435</v>
      </c>
    </row>
    <row r="25" spans="1:5" ht="22.5">
      <c r="A25" s="13" t="s">
        <v>663</v>
      </c>
      <c r="B25" s="22" t="s">
        <v>650</v>
      </c>
      <c r="C25" s="22" t="s">
        <v>650</v>
      </c>
      <c r="D25" s="15">
        <v>15132</v>
      </c>
      <c r="E25" s="15">
        <f>D25-'[21]Augusts'!D25</f>
        <v>1869</v>
      </c>
    </row>
    <row r="26" spans="1:5" ht="12.75">
      <c r="A26" s="18" t="s">
        <v>664</v>
      </c>
      <c r="B26" s="17" t="s">
        <v>650</v>
      </c>
      <c r="C26" s="17" t="s">
        <v>650</v>
      </c>
      <c r="D26" s="11">
        <f>D24-D25</f>
        <v>11518</v>
      </c>
      <c r="E26" s="11">
        <f>D26-'[21]Augusts'!D26</f>
        <v>566</v>
      </c>
    </row>
    <row r="27" spans="1:5" ht="12.75">
      <c r="A27" s="16" t="s">
        <v>665</v>
      </c>
      <c r="B27" s="12">
        <f>B19-B20</f>
        <v>-31692</v>
      </c>
      <c r="C27" s="12">
        <f>C19-C20</f>
        <v>-16809</v>
      </c>
      <c r="D27" s="11">
        <f>D19-D20</f>
        <v>-43625</v>
      </c>
      <c r="E27" s="11">
        <f>D27-'[21]Augusts'!D27</f>
        <v>-6618</v>
      </c>
    </row>
    <row r="28" spans="1:5" ht="12.75">
      <c r="A28" s="10" t="s">
        <v>666</v>
      </c>
      <c r="B28" s="11">
        <f>B29+B50</f>
        <v>31692</v>
      </c>
      <c r="C28" s="12">
        <f>C29+C50</f>
        <v>16809</v>
      </c>
      <c r="D28" s="11">
        <f>D29+D50</f>
        <v>43625</v>
      </c>
      <c r="E28" s="11">
        <f>D28-'[21]Augusts'!D28</f>
        <v>6618</v>
      </c>
    </row>
    <row r="29" spans="1:5" ht="12.75">
      <c r="A29" s="10" t="s">
        <v>667</v>
      </c>
      <c r="B29" s="11">
        <f>B30+B35+B40+B46</f>
        <v>34410</v>
      </c>
      <c r="C29" s="12">
        <f>C30+C35+C40+C46</f>
        <v>16809</v>
      </c>
      <c r="D29" s="12">
        <f>D30+D35+D40+D46</f>
        <v>46343</v>
      </c>
      <c r="E29" s="12">
        <f>D29-'[21]Augusts'!D29</f>
        <v>7486</v>
      </c>
    </row>
    <row r="30" spans="1:5" ht="12.75">
      <c r="A30" s="23" t="s">
        <v>668</v>
      </c>
      <c r="B30" s="24">
        <f>B31+B32</f>
        <v>0</v>
      </c>
      <c r="C30" s="24">
        <f>C31+C32</f>
        <v>4876</v>
      </c>
      <c r="D30" s="24">
        <f>D31+D34</f>
        <v>0</v>
      </c>
      <c r="E30" s="24">
        <f>D30-'[21]Augusts'!D30</f>
        <v>0</v>
      </c>
    </row>
    <row r="31" spans="1:5" ht="12.75" hidden="1">
      <c r="A31" s="13" t="s">
        <v>669</v>
      </c>
      <c r="B31" s="15"/>
      <c r="C31" s="25"/>
      <c r="D31" s="15">
        <f>B31+C31</f>
        <v>0</v>
      </c>
      <c r="E31" s="15">
        <f>D31-'[21]Augusts'!D31</f>
        <v>0</v>
      </c>
    </row>
    <row r="32" spans="1:5" ht="12.75">
      <c r="A32" s="13" t="s">
        <v>670</v>
      </c>
      <c r="B32" s="15"/>
      <c r="C32" s="25">
        <v>4876</v>
      </c>
      <c r="D32" s="15">
        <f>B32+C32</f>
        <v>4876</v>
      </c>
      <c r="E32" s="15">
        <f>D32-'[21]Augusts'!D32</f>
        <v>1606</v>
      </c>
    </row>
    <row r="33" spans="1:5" ht="12.75">
      <c r="A33" s="26" t="s">
        <v>671</v>
      </c>
      <c r="B33" s="22" t="s">
        <v>650</v>
      </c>
      <c r="C33" s="22" t="s">
        <v>650</v>
      </c>
      <c r="D33" s="27">
        <v>-4876</v>
      </c>
      <c r="E33" s="27">
        <f>D33-'[21]Augusts'!D33</f>
        <v>-1606</v>
      </c>
    </row>
    <row r="34" spans="1:5" ht="12.75" hidden="1">
      <c r="A34" s="13" t="s">
        <v>672</v>
      </c>
      <c r="B34" s="22" t="s">
        <v>650</v>
      </c>
      <c r="C34" s="22" t="s">
        <v>650</v>
      </c>
      <c r="D34" s="27"/>
      <c r="E34" s="27">
        <f>D34-'[21]Augusts'!D34</f>
        <v>0</v>
      </c>
    </row>
    <row r="35" spans="1:5" ht="12.75">
      <c r="A35" s="28" t="s">
        <v>673</v>
      </c>
      <c r="B35" s="27">
        <f>SUM(B36:B39)</f>
        <v>-34465</v>
      </c>
      <c r="C35" s="24">
        <f>SUM(C36:C39)</f>
        <v>0</v>
      </c>
      <c r="D35" s="27">
        <f aca="true" t="shared" si="0" ref="D35:D49">B35+C35</f>
        <v>-34465</v>
      </c>
      <c r="E35" s="27">
        <f>D35-'[21]Augusts'!D35</f>
        <v>-8145</v>
      </c>
    </row>
    <row r="36" spans="1:5" ht="12.75">
      <c r="A36" s="29" t="s">
        <v>674</v>
      </c>
      <c r="B36" s="15">
        <v>-33675</v>
      </c>
      <c r="C36" s="25"/>
      <c r="D36" s="15">
        <f t="shared" si="0"/>
        <v>-33675</v>
      </c>
      <c r="E36" s="15">
        <f>D36-'[21]Augusts'!D36</f>
        <v>-11704</v>
      </c>
    </row>
    <row r="37" spans="1:5" ht="12.75">
      <c r="A37" s="29" t="s">
        <v>675</v>
      </c>
      <c r="B37" s="15">
        <v>12408</v>
      </c>
      <c r="C37" s="25"/>
      <c r="D37" s="15">
        <f t="shared" si="0"/>
        <v>12408</v>
      </c>
      <c r="E37" s="15">
        <f>D37-'[21]Augusts'!D37</f>
        <v>-1807</v>
      </c>
    </row>
    <row r="38" spans="1:5" ht="22.5">
      <c r="A38" s="29" t="s">
        <v>676</v>
      </c>
      <c r="B38" s="15">
        <v>-3486</v>
      </c>
      <c r="C38" s="25"/>
      <c r="D38" s="15">
        <f t="shared" si="0"/>
        <v>-3486</v>
      </c>
      <c r="E38" s="15">
        <f>D38-'[21]Augusts'!D38</f>
        <v>1050</v>
      </c>
    </row>
    <row r="39" spans="1:5" ht="12.75">
      <c r="A39" s="29" t="s">
        <v>677</v>
      </c>
      <c r="B39" s="15">
        <v>-9712</v>
      </c>
      <c r="C39" s="25"/>
      <c r="D39" s="15">
        <f t="shared" si="0"/>
        <v>-9712</v>
      </c>
      <c r="E39" s="15">
        <f>D39-'[21]Augusts'!D39</f>
        <v>4316</v>
      </c>
    </row>
    <row r="40" spans="1:5" ht="12.75">
      <c r="A40" s="30" t="s">
        <v>678</v>
      </c>
      <c r="B40" s="27">
        <f>SUM(B41:B45)</f>
        <v>2755</v>
      </c>
      <c r="C40" s="25">
        <f>SUM(C41:C45)</f>
        <v>-17739</v>
      </c>
      <c r="D40" s="27">
        <f t="shared" si="0"/>
        <v>-14984</v>
      </c>
      <c r="E40" s="27">
        <f>D40-'[21]Augusts'!D40</f>
        <v>5120</v>
      </c>
    </row>
    <row r="41" spans="1:5" ht="12.75">
      <c r="A41" s="31" t="s">
        <v>679</v>
      </c>
      <c r="B41" s="15"/>
      <c r="C41" s="25">
        <v>-68</v>
      </c>
      <c r="D41" s="15">
        <f t="shared" si="0"/>
        <v>-68</v>
      </c>
      <c r="E41" s="15">
        <f>D41-'[21]Augusts'!D41</f>
        <v>-35</v>
      </c>
    </row>
    <row r="42" spans="1:5" ht="12.75">
      <c r="A42" s="29" t="s">
        <v>674</v>
      </c>
      <c r="B42" s="15">
        <v>-29061</v>
      </c>
      <c r="C42" s="25"/>
      <c r="D42" s="15">
        <f t="shared" si="0"/>
        <v>-29061</v>
      </c>
      <c r="E42" s="15">
        <f>D42-'[21]Augusts'!D42</f>
        <v>22830</v>
      </c>
    </row>
    <row r="43" spans="1:5" ht="12.75">
      <c r="A43" s="29" t="s">
        <v>675</v>
      </c>
      <c r="B43" s="15">
        <v>-1735</v>
      </c>
      <c r="C43" s="25">
        <v>-17671</v>
      </c>
      <c r="D43" s="15">
        <f t="shared" si="0"/>
        <v>-19406</v>
      </c>
      <c r="E43" s="15">
        <f>D43-'[21]Augusts'!D43</f>
        <v>1407</v>
      </c>
    </row>
    <row r="44" spans="1:5" ht="22.5">
      <c r="A44" s="29" t="s">
        <v>676</v>
      </c>
      <c r="B44" s="15">
        <v>-162</v>
      </c>
      <c r="C44" s="25"/>
      <c r="D44" s="15">
        <f t="shared" si="0"/>
        <v>-162</v>
      </c>
      <c r="E44" s="15">
        <f>D44-'[21]Augusts'!D44</f>
        <v>27</v>
      </c>
    </row>
    <row r="45" spans="1:5" ht="12.75">
      <c r="A45" s="29" t="s">
        <v>677</v>
      </c>
      <c r="B45" s="15">
        <v>33713</v>
      </c>
      <c r="C45" s="25"/>
      <c r="D45" s="15">
        <f t="shared" si="0"/>
        <v>33713</v>
      </c>
      <c r="E45" s="15">
        <f>D45-'[21]Augusts'!D45</f>
        <v>-19109</v>
      </c>
    </row>
    <row r="46" spans="1:5" ht="12.75">
      <c r="A46" s="30" t="s">
        <v>680</v>
      </c>
      <c r="B46" s="27">
        <f>SUM(B47:B49)</f>
        <v>66120</v>
      </c>
      <c r="C46" s="27">
        <f>SUM(C47:C49)</f>
        <v>29672</v>
      </c>
      <c r="D46" s="15">
        <f t="shared" si="0"/>
        <v>95792</v>
      </c>
      <c r="E46" s="15">
        <f>D46-'[21]Augusts'!D46</f>
        <v>10511</v>
      </c>
    </row>
    <row r="47" spans="1:5" ht="22.5">
      <c r="A47" s="29" t="s">
        <v>681</v>
      </c>
      <c r="B47" s="15">
        <v>15150</v>
      </c>
      <c r="C47" s="25">
        <v>9198</v>
      </c>
      <c r="D47" s="15">
        <f t="shared" si="0"/>
        <v>24348</v>
      </c>
      <c r="E47" s="15">
        <f>D47-'[21]Augusts'!D47</f>
        <v>7097</v>
      </c>
    </row>
    <row r="48" spans="1:5" ht="22.5" customHeight="1">
      <c r="A48" s="29" t="s">
        <v>682</v>
      </c>
      <c r="B48" s="15">
        <v>43815</v>
      </c>
      <c r="C48" s="25"/>
      <c r="D48" s="15">
        <f t="shared" si="0"/>
        <v>43815</v>
      </c>
      <c r="E48" s="15">
        <f>D48-'[21]Augusts'!D48</f>
        <v>2755</v>
      </c>
    </row>
    <row r="49" spans="1:5" ht="12.75">
      <c r="A49" s="29" t="s">
        <v>683</v>
      </c>
      <c r="B49" s="15">
        <v>7155</v>
      </c>
      <c r="C49" s="25">
        <v>20474</v>
      </c>
      <c r="D49" s="15">
        <f t="shared" si="0"/>
        <v>27629</v>
      </c>
      <c r="E49" s="15">
        <f>D49-'[21]Augusts'!D49</f>
        <v>659</v>
      </c>
    </row>
    <row r="50" spans="1:5" ht="12.75">
      <c r="A50" s="32" t="s">
        <v>684</v>
      </c>
      <c r="B50" s="11">
        <f>SUM(B51:B52)</f>
        <v>-2718</v>
      </c>
      <c r="C50" s="12"/>
      <c r="D50" s="11">
        <f>B50+C50</f>
        <v>-2718</v>
      </c>
      <c r="E50" s="11">
        <f>D50-'[21]Augusts'!D50</f>
        <v>-868</v>
      </c>
    </row>
    <row r="51" spans="1:5" ht="12.75">
      <c r="A51" s="30" t="s">
        <v>685</v>
      </c>
      <c r="B51" s="27">
        <v>-2642</v>
      </c>
      <c r="C51" s="25"/>
      <c r="D51" s="27">
        <f>B51+C51</f>
        <v>-2642</v>
      </c>
      <c r="E51" s="27">
        <f>D51-'[21]Augusts'!D51</f>
        <v>-1223</v>
      </c>
    </row>
    <row r="52" spans="1:5" ht="12.75">
      <c r="A52" s="30" t="s">
        <v>744</v>
      </c>
      <c r="B52" s="27">
        <v>-76</v>
      </c>
      <c r="C52" s="25"/>
      <c r="D52" s="27">
        <f>B52+C52</f>
        <v>-76</v>
      </c>
      <c r="E52" s="27">
        <f>D52-'[21]Augusts'!D52</f>
        <v>355</v>
      </c>
    </row>
    <row r="53" spans="1:5" s="38" customFormat="1" ht="11.25">
      <c r="A53" s="33"/>
      <c r="B53" s="34"/>
      <c r="C53" s="35"/>
      <c r="D53" s="36"/>
      <c r="E53" s="37"/>
    </row>
    <row r="54" spans="1:5" ht="12.75">
      <c r="A54" s="846"/>
      <c r="B54" s="846"/>
      <c r="C54" s="846"/>
      <c r="D54" s="846"/>
      <c r="E54" s="40"/>
    </row>
    <row r="56" spans="1:5" ht="12.75">
      <c r="A56" s="41" t="s">
        <v>445</v>
      </c>
      <c r="B56" s="39"/>
      <c r="C56" s="39"/>
      <c r="D56" s="39"/>
      <c r="E56" s="42"/>
    </row>
    <row r="57" spans="1:5" ht="12.75">
      <c r="A57" s="38"/>
      <c r="B57" s="38"/>
      <c r="C57" s="35"/>
      <c r="D57" s="43"/>
      <c r="E57" s="44"/>
    </row>
    <row r="58" spans="2:5" ht="12.75">
      <c r="B58" s="45"/>
      <c r="C58" s="46"/>
      <c r="D58" s="47"/>
      <c r="E58" s="40"/>
    </row>
    <row r="59" spans="1:5" ht="12.75">
      <c r="A59" s="38" t="s">
        <v>745</v>
      </c>
      <c r="B59" s="45"/>
      <c r="C59" s="46"/>
      <c r="D59" s="47"/>
      <c r="E59" s="40"/>
    </row>
    <row r="60" ht="12.75">
      <c r="A60" s="38" t="s">
        <v>134</v>
      </c>
    </row>
  </sheetData>
  <mergeCells count="4">
    <mergeCell ref="A2:C2"/>
    <mergeCell ref="A5:E6"/>
    <mergeCell ref="A7:E7"/>
    <mergeCell ref="A54:D54"/>
  </mergeCells>
  <printOptions/>
  <pageMargins left="0.75" right="0.27" top="0.25" bottom="0.2" header="0.5" footer="0.5"/>
  <pageSetup firstPageNumber="4" useFirstPageNumber="1" fitToHeight="1" fitToWidth="1" horizontalDpi="600" verticalDpi="600" orientation="portrait" paperSize="9" scale="97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71"/>
  <sheetViews>
    <sheetView workbookViewId="0" topLeftCell="F1">
      <selection activeCell="F16" sqref="F16"/>
    </sheetView>
  </sheetViews>
  <sheetFormatPr defaultColWidth="9.140625" defaultRowHeight="17.25" customHeight="1"/>
  <cols>
    <col min="1" max="1" width="32.00390625" style="49" hidden="1" customWidth="1"/>
    <col min="2" max="2" width="12.421875" style="49" hidden="1" customWidth="1"/>
    <col min="3" max="3" width="10.421875" style="49" hidden="1" customWidth="1"/>
    <col min="4" max="4" width="12.8515625" style="49" hidden="1" customWidth="1"/>
    <col min="5" max="5" width="9.7109375" style="49" hidden="1" customWidth="1"/>
    <col min="6" max="6" width="38.28125" style="49" customWidth="1"/>
    <col min="7" max="7" width="12.7109375" style="49" customWidth="1"/>
    <col min="8" max="8" width="11.8515625" style="49" customWidth="1"/>
    <col min="9" max="9" width="12.57421875" style="49" customWidth="1"/>
    <col min="10" max="10" width="10.00390625" style="49" customWidth="1"/>
    <col min="11" max="11" width="9.140625" style="0" hidden="1" customWidth="1"/>
    <col min="12" max="12" width="11.421875" style="804" hidden="1" customWidth="1"/>
    <col min="13" max="13" width="7.140625" style="804" hidden="1" customWidth="1"/>
    <col min="14" max="16384" width="11.421875" style="49" customWidth="1"/>
  </cols>
  <sheetData>
    <row r="1" spans="2:10" ht="17.25" customHeight="1">
      <c r="B1" s="51"/>
      <c r="C1" s="51"/>
      <c r="D1" s="51"/>
      <c r="E1" s="275" t="s">
        <v>172</v>
      </c>
      <c r="G1" s="51"/>
      <c r="H1" s="51"/>
      <c r="I1" s="51"/>
      <c r="J1" s="2" t="s">
        <v>172</v>
      </c>
    </row>
    <row r="2" spans="1:10" ht="17.25" customHeight="1">
      <c r="A2" s="846" t="s">
        <v>862</v>
      </c>
      <c r="B2" s="846"/>
      <c r="C2" s="846"/>
      <c r="D2" s="846"/>
      <c r="E2" s="846"/>
      <c r="F2" s="846" t="s">
        <v>862</v>
      </c>
      <c r="G2" s="846"/>
      <c r="H2" s="846"/>
      <c r="I2" s="846"/>
      <c r="J2" s="846"/>
    </row>
    <row r="3" spans="1:10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8.5" customHeight="1">
      <c r="A4" s="838" t="s">
        <v>173</v>
      </c>
      <c r="B4" s="838"/>
      <c r="C4" s="838"/>
      <c r="D4" s="838"/>
      <c r="E4" s="838"/>
      <c r="F4" s="838" t="s">
        <v>173</v>
      </c>
      <c r="G4" s="838"/>
      <c r="H4" s="838"/>
      <c r="I4" s="838"/>
      <c r="J4" s="838"/>
    </row>
    <row r="5" spans="1:10" ht="12.75">
      <c r="A5" s="837" t="s">
        <v>119</v>
      </c>
      <c r="B5" s="837"/>
      <c r="C5" s="837"/>
      <c r="D5" s="837"/>
      <c r="E5" s="837"/>
      <c r="F5" s="837" t="s">
        <v>119</v>
      </c>
      <c r="G5" s="837"/>
      <c r="H5" s="837"/>
      <c r="I5" s="837"/>
      <c r="J5" s="837"/>
    </row>
    <row r="6" spans="1:10" ht="17.25" customHeight="1">
      <c r="A6" s="354"/>
      <c r="B6" s="354"/>
      <c r="C6" s="354"/>
      <c r="D6" s="354"/>
      <c r="E6" s="2" t="s">
        <v>1023</v>
      </c>
      <c r="F6" s="354"/>
      <c r="G6" s="354"/>
      <c r="H6" s="354"/>
      <c r="I6" s="354"/>
      <c r="J6" s="2" t="s">
        <v>749</v>
      </c>
    </row>
    <row r="7" spans="1:83" s="83" customFormat="1" ht="48" customHeight="1">
      <c r="A7" s="92" t="s">
        <v>644</v>
      </c>
      <c r="B7" s="694" t="s">
        <v>865</v>
      </c>
      <c r="C7" s="356" t="s">
        <v>751</v>
      </c>
      <c r="D7" s="364" t="s">
        <v>174</v>
      </c>
      <c r="E7" s="694" t="s">
        <v>120</v>
      </c>
      <c r="F7" s="278" t="s">
        <v>644</v>
      </c>
      <c r="G7" s="356" t="s">
        <v>865</v>
      </c>
      <c r="H7" s="356" t="s">
        <v>751</v>
      </c>
      <c r="I7" s="356" t="s">
        <v>174</v>
      </c>
      <c r="J7" s="694" t="s">
        <v>101</v>
      </c>
      <c r="K7" s="813" t="s">
        <v>118</v>
      </c>
      <c r="L7" s="805" t="s">
        <v>459</v>
      </c>
      <c r="M7" s="80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</row>
    <row r="8" spans="1:10" ht="12.75">
      <c r="A8" s="278">
        <v>1</v>
      </c>
      <c r="B8" s="238">
        <v>2</v>
      </c>
      <c r="C8" s="238">
        <v>3</v>
      </c>
      <c r="D8" s="238">
        <v>4</v>
      </c>
      <c r="E8" s="357">
        <v>5</v>
      </c>
      <c r="F8" s="278">
        <v>1</v>
      </c>
      <c r="G8" s="238">
        <v>2</v>
      </c>
      <c r="H8" s="238">
        <v>3</v>
      </c>
      <c r="I8" s="238">
        <v>4</v>
      </c>
      <c r="J8" s="357">
        <v>5</v>
      </c>
    </row>
    <row r="9" spans="1:13" ht="12.75" customHeight="1">
      <c r="A9" s="358" t="s">
        <v>868</v>
      </c>
      <c r="B9" s="359">
        <f>B14+B19+B24+B29+B34+B39+B44+B49+B54+B59+B64+B69+B74+B79+B84+B89+B94+B99+B104+B109+B114+B119+B124+B129+B134+B139+B144</f>
        <v>5524908</v>
      </c>
      <c r="C9" s="359">
        <f>C14+C19+C24+C29+C34+C39+C44+C49+C54+C59+C64+C69+C74+C79+C84+C89+C94+C99+C104+C109+C114+C119+C124+C129+C134+C139+C144</f>
        <v>2946842</v>
      </c>
      <c r="D9" s="364">
        <f>C9/B9*100</f>
        <v>53.33739493942704</v>
      </c>
      <c r="E9" s="761">
        <f>E14+E19+E24+E29+E34+E39+E44+E49+E54+E59+E64+E69+E74+E79+E84+E89+E94+E99+E104+E109+E114+E119+E124+E129+E134+E139+E144</f>
        <v>178701</v>
      </c>
      <c r="F9" s="358" t="s">
        <v>868</v>
      </c>
      <c r="G9" s="359">
        <f>G14+G19+G24+G29+G34+G39+G44+G49+G54+G59+G64+G69+G74+G79+G84+G89+G94+G99+G104+G109+G114+G119+G124+G129+G134+G139+G144</f>
        <v>5525</v>
      </c>
      <c r="H9" s="359">
        <f>H14+H19+H24+H29+H34+H39+H44+H49+H54+H59+H64+H69+H74+H79+H84+H89+H94+H99+H104+H109+H114+H119+H124+H129+H134+H139+H144</f>
        <v>2947</v>
      </c>
      <c r="I9" s="360">
        <f>H9/G9*100</f>
        <v>53.339366515837106</v>
      </c>
      <c r="J9" s="359">
        <f>ROUND(E9/1000,0)-1</f>
        <v>178</v>
      </c>
      <c r="K9" s="814">
        <f>H9</f>
        <v>2947</v>
      </c>
      <c r="L9" s="804">
        <v>2769</v>
      </c>
      <c r="M9" s="804">
        <f>K9-L9</f>
        <v>178</v>
      </c>
    </row>
    <row r="10" spans="1:83" s="354" customFormat="1" ht="12.75" customHeight="1">
      <c r="A10" s="293" t="s">
        <v>175</v>
      </c>
      <c r="B10" s="361">
        <f>B15+B20+B25+B30+B35+B40+B45+B50+B55+B60+B65+B70+B75+B80+B85+B90+B95+B100+B105+B110+B115+B120+B125+B130+B135+B140+B145</f>
        <v>6010038</v>
      </c>
      <c r="C10" s="762">
        <f>SUM(C11:C12)</f>
        <v>3217114</v>
      </c>
      <c r="D10" s="364">
        <f>C10/B10*100</f>
        <v>53.52901262853912</v>
      </c>
      <c r="E10" s="763">
        <f>E15+E20+E25+E30+E35+E40+E45+E50+E55+E60+E65+E70+E75+E80+E85+E90+E95+E100+E105+E110+E115+E120+E125+E130+E135+E140+E145</f>
        <v>435649</v>
      </c>
      <c r="F10" s="293" t="s">
        <v>175</v>
      </c>
      <c r="G10" s="361">
        <f>G15+G20+G25+G30+G35+G40+G45+G50+G55+G60+G65+G70+G75+G80+G85+G90+G95+G100+G105+G110+G115+G120+G125+G130+G135+G140+G145</f>
        <v>6010</v>
      </c>
      <c r="H10" s="361">
        <f>H11+H12</f>
        <v>3218</v>
      </c>
      <c r="I10" s="360">
        <f>H10/G10*100</f>
        <v>53.5440931780366</v>
      </c>
      <c r="J10" s="361">
        <f>J11+J12</f>
        <v>436</v>
      </c>
      <c r="K10" s="814">
        <f aca="true" t="shared" si="0" ref="K10:K73">H10</f>
        <v>3218</v>
      </c>
      <c r="L10" s="804">
        <v>2782</v>
      </c>
      <c r="M10" s="804">
        <f aca="true" t="shared" si="1" ref="M10:M73">K10-L10</f>
        <v>436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</row>
    <row r="11" spans="1:83" s="83" customFormat="1" ht="12.75" customHeight="1">
      <c r="A11" s="362" t="s">
        <v>875</v>
      </c>
      <c r="B11" s="363">
        <f>B16+B21+B26+B31+B36+B41+B46+B51+B56+B61+B66+B71+B76+B81+B86+B91+B96+B101+B106+B111+B116+B121+B126+B131+B136+B141+B146</f>
        <v>5447890</v>
      </c>
      <c r="C11" s="363">
        <f>C16+C21+C26+C31+C36+C41+C46+C51+C56+C61+C66+C71+C76+C81+C86+C91+C96+C101+C106+C111+C116+C121+C126+C131+C136+C141+C146</f>
        <v>2954958</v>
      </c>
      <c r="D11" s="364">
        <f>C11/B11*100</f>
        <v>54.24041234312734</v>
      </c>
      <c r="E11" s="764">
        <f>E16+E21+E26+E31+E36+E41+E46+E51+E56+E61+E66+E71+E76+E81+E86+E91+E96+E101+E106+E111+E116+E121+E126+E131+E136+E141+E146</f>
        <v>402458</v>
      </c>
      <c r="F11" s="362" t="s">
        <v>875</v>
      </c>
      <c r="G11" s="363">
        <f>G16+G21+G26+G31+G36+G41+G46+G51+G56+G61+G66+G71+G76+G81+G86+G91+G96+G101+G106+G111+G116+G121+G126+G131+G136+G141+G146</f>
        <v>5447</v>
      </c>
      <c r="H11" s="363">
        <f>H16+H21+H26+H31+H36+H41+H46+H51+H56+H61+H66+H71+H76+H81+H86+H91+H96+H101+H106+H111+H116+H121+H126+H131+H136+H141+H146</f>
        <v>2956</v>
      </c>
      <c r="I11" s="364">
        <f>H11/G11*100</f>
        <v>54.26840462639986</v>
      </c>
      <c r="J11" s="365">
        <f>J16+J21+J26+J31+J36+J41+J46+J51+J56+J61+J66+J71+J76+J81+J86+J91+J96+J101+J106+J111+J116+J121+J126+J131+J136+J141+J146</f>
        <v>403</v>
      </c>
      <c r="K11" s="814">
        <f t="shared" si="0"/>
        <v>2956</v>
      </c>
      <c r="L11" s="804">
        <v>2553</v>
      </c>
      <c r="M11" s="804">
        <f t="shared" si="1"/>
        <v>403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s="83" customFormat="1" ht="12.75" customHeight="1">
      <c r="A12" s="362" t="s">
        <v>876</v>
      </c>
      <c r="B12" s="363">
        <f>B17+B22+B27+B32+B37+B42+B47+B52+B57+B62+B67+B72+B77+B82+B87+B92+B97+B102+B107+B112+B117+B122+B127+B132+B137+B142+B147</f>
        <v>562148</v>
      </c>
      <c r="C12" s="363">
        <f>C17+C22+C27+C32+C37+C42+C47+C52+C57+C62+C67+C72+C77+C82+C87+C92+C97+C102+C107+C112+C117+C122+C127+C132+C137+C142+C147</f>
        <v>262156</v>
      </c>
      <c r="D12" s="364">
        <f>C12/B12*100</f>
        <v>46.634694066331285</v>
      </c>
      <c r="E12" s="764">
        <f>E17+E22+E27+E32+E37+E42+E47+E52+E57+E62+E67+E72+E77+E82+E87+E92+E97+E102+E107+E112+E117+E122+E127+E132+E137+E142+E147</f>
        <v>33191</v>
      </c>
      <c r="F12" s="362" t="s">
        <v>876</v>
      </c>
      <c r="G12" s="363">
        <f>G17+G22+G27+G32+G37+G42+G47+G52+G57+G62+G67+G72+G77+G82+G87+G92+G97+G102+G107+G112+G117+G122+G127+G132+G137+G142+G147</f>
        <v>563</v>
      </c>
      <c r="H12" s="363">
        <f>H17+H22+H27+H32+H37+H42+H47+H52+H57+H62+H67+H72+H77+H82+H87+H92+H97+H102+H107+H112+H117+H122+H127+H132+H137+H142+H147</f>
        <v>262</v>
      </c>
      <c r="I12" s="364">
        <f>H12/G12*100</f>
        <v>46.53641207815276</v>
      </c>
      <c r="J12" s="365">
        <f>J17+J22+J27+J32+J37+J42+J47+J52+J57+J62+J67+J72+J77+J82+J87+J92+J97+J102+J107+J112+J117+J122+J127+J132+J137+J142+J147</f>
        <v>33</v>
      </c>
      <c r="K12" s="814">
        <f t="shared" si="0"/>
        <v>262</v>
      </c>
      <c r="L12" s="804">
        <v>229</v>
      </c>
      <c r="M12" s="804">
        <f t="shared" si="1"/>
        <v>33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</row>
    <row r="13" spans="1:83" s="83" customFormat="1" ht="12.75" customHeight="1">
      <c r="A13" s="92" t="s">
        <v>880</v>
      </c>
      <c r="B13" s="366"/>
      <c r="C13" s="366"/>
      <c r="D13" s="364"/>
      <c r="E13" s="366"/>
      <c r="F13" s="92" t="s">
        <v>880</v>
      </c>
      <c r="G13" s="366"/>
      <c r="H13" s="366"/>
      <c r="I13" s="364"/>
      <c r="J13" s="366"/>
      <c r="K13" s="814">
        <f t="shared" si="0"/>
        <v>0</v>
      </c>
      <c r="L13" s="804"/>
      <c r="M13" s="804">
        <f t="shared" si="1"/>
        <v>0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83" customFormat="1" ht="12.75" customHeight="1">
      <c r="A14" s="367" t="s">
        <v>0</v>
      </c>
      <c r="B14" s="366"/>
      <c r="C14" s="366"/>
      <c r="D14" s="364" t="e">
        <f>C14/B14*100</f>
        <v>#DIV/0!</v>
      </c>
      <c r="E14" s="366">
        <f>C14-'[13]augusts'!C14</f>
        <v>0</v>
      </c>
      <c r="F14" s="367" t="s">
        <v>0</v>
      </c>
      <c r="G14" s="366">
        <f>ROUND(B14/1000,0)</f>
        <v>0</v>
      </c>
      <c r="H14" s="366">
        <f>ROUND(C14/1000,0)</f>
        <v>0</v>
      </c>
      <c r="I14" s="765">
        <v>0</v>
      </c>
      <c r="J14" s="366">
        <f>H14</f>
        <v>0</v>
      </c>
      <c r="K14" s="814">
        <f t="shared" si="0"/>
        <v>0</v>
      </c>
      <c r="L14" s="804">
        <v>0</v>
      </c>
      <c r="M14" s="804">
        <f t="shared" si="1"/>
        <v>0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83" customFormat="1" ht="12.75" customHeight="1">
      <c r="A15" s="98" t="s">
        <v>881</v>
      </c>
      <c r="B15" s="366">
        <f>SUM(B16:B17)</f>
        <v>0</v>
      </c>
      <c r="C15" s="366">
        <f>SUM(C16:C17)</f>
        <v>0</v>
      </c>
      <c r="D15" s="364" t="e">
        <f>C15/B15*100</f>
        <v>#DIV/0!</v>
      </c>
      <c r="E15" s="366">
        <f>E16+E17</f>
        <v>0</v>
      </c>
      <c r="F15" s="98" t="s">
        <v>881</v>
      </c>
      <c r="G15" s="366">
        <f>SUM(G16:G17)</f>
        <v>0</v>
      </c>
      <c r="H15" s="366">
        <f>SUM(H16:H17)</f>
        <v>0</v>
      </c>
      <c r="I15" s="765">
        <v>0</v>
      </c>
      <c r="J15" s="368">
        <f>SUM(J16:J17)</f>
        <v>0</v>
      </c>
      <c r="K15" s="814">
        <f t="shared" si="0"/>
        <v>0</v>
      </c>
      <c r="L15" s="804">
        <v>0</v>
      </c>
      <c r="M15" s="804">
        <f t="shared" si="1"/>
        <v>0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83" customFormat="1" ht="12.75" customHeight="1">
      <c r="A16" s="107" t="s">
        <v>875</v>
      </c>
      <c r="B16" s="368"/>
      <c r="C16" s="368"/>
      <c r="D16" s="364" t="e">
        <f>C16/B16*100</f>
        <v>#DIV/0!</v>
      </c>
      <c r="E16" s="368">
        <f>C16-'[13]augusts'!C16</f>
        <v>0</v>
      </c>
      <c r="F16" s="107" t="s">
        <v>875</v>
      </c>
      <c r="G16" s="368">
        <f>ROUND(B16/1000,0)</f>
        <v>0</v>
      </c>
      <c r="H16" s="368">
        <f>ROUND(C16/1000,0)</f>
        <v>0</v>
      </c>
      <c r="I16" s="364">
        <v>0</v>
      </c>
      <c r="J16" s="368">
        <f>H16</f>
        <v>0</v>
      </c>
      <c r="K16" s="814">
        <f t="shared" si="0"/>
        <v>0</v>
      </c>
      <c r="L16" s="804">
        <v>0</v>
      </c>
      <c r="M16" s="804">
        <f t="shared" si="1"/>
        <v>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83" customFormat="1" ht="12.75" customHeight="1">
      <c r="A17" s="107" t="s">
        <v>876</v>
      </c>
      <c r="B17" s="368"/>
      <c r="C17" s="368"/>
      <c r="D17" s="364" t="e">
        <f>C17/B17*100</f>
        <v>#DIV/0!</v>
      </c>
      <c r="E17" s="368">
        <f>C17-'[13]augusts'!C17</f>
        <v>0</v>
      </c>
      <c r="F17" s="107" t="s">
        <v>876</v>
      </c>
      <c r="G17" s="368">
        <f>ROUND(B17/1000,0)</f>
        <v>0</v>
      </c>
      <c r="H17" s="368">
        <f>ROUND(C17/1000,0)</f>
        <v>0</v>
      </c>
      <c r="I17" s="364">
        <v>0</v>
      </c>
      <c r="J17" s="368">
        <f>H17</f>
        <v>0</v>
      </c>
      <c r="K17" s="814">
        <f t="shared" si="0"/>
        <v>0</v>
      </c>
      <c r="L17" s="804">
        <v>0</v>
      </c>
      <c r="M17" s="804">
        <f t="shared" si="1"/>
        <v>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83" customFormat="1" ht="12.75" customHeight="1">
      <c r="A18" s="212" t="s">
        <v>883</v>
      </c>
      <c r="B18" s="366"/>
      <c r="C18" s="366"/>
      <c r="D18" s="364"/>
      <c r="E18" s="366"/>
      <c r="F18" s="212" t="s">
        <v>883</v>
      </c>
      <c r="G18" s="366"/>
      <c r="H18" s="366"/>
      <c r="I18" s="364"/>
      <c r="J18" s="366"/>
      <c r="K18" s="814">
        <f t="shared" si="0"/>
        <v>0</v>
      </c>
      <c r="L18" s="804"/>
      <c r="M18" s="804">
        <f t="shared" si="1"/>
        <v>0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83" customFormat="1" ht="12.75" customHeight="1">
      <c r="A19" s="367" t="s">
        <v>0</v>
      </c>
      <c r="B19" s="366">
        <v>14138</v>
      </c>
      <c r="C19" s="366"/>
      <c r="D19" s="364">
        <f>C19/B19*100</f>
        <v>0</v>
      </c>
      <c r="E19" s="366">
        <f>C19-'[13]augusts'!C19</f>
        <v>0</v>
      </c>
      <c r="F19" s="367" t="s">
        <v>0</v>
      </c>
      <c r="G19" s="366">
        <f>ROUND(B19/1000,0)</f>
        <v>14</v>
      </c>
      <c r="H19" s="366">
        <f>ROUND(C19/1000,0)</f>
        <v>0</v>
      </c>
      <c r="I19" s="369">
        <f>H19/G19*100</f>
        <v>0</v>
      </c>
      <c r="J19" s="368">
        <f>ROUND(E19/1000,0)</f>
        <v>0</v>
      </c>
      <c r="K19" s="814">
        <f t="shared" si="0"/>
        <v>0</v>
      </c>
      <c r="L19" s="804">
        <v>0</v>
      </c>
      <c r="M19" s="804">
        <f t="shared" si="1"/>
        <v>0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</row>
    <row r="20" spans="1:83" s="83" customFormat="1" ht="12.75" customHeight="1">
      <c r="A20" s="98" t="s">
        <v>175</v>
      </c>
      <c r="B20" s="366">
        <f>B21+B22</f>
        <v>14138</v>
      </c>
      <c r="C20" s="366">
        <f>C21+C22</f>
        <v>14138</v>
      </c>
      <c r="D20" s="364">
        <f>C20/B20*100</f>
        <v>100</v>
      </c>
      <c r="E20" s="366">
        <f>E21+E22</f>
        <v>0</v>
      </c>
      <c r="F20" s="98" t="s">
        <v>175</v>
      </c>
      <c r="G20" s="366">
        <f>G21+G22</f>
        <v>14</v>
      </c>
      <c r="H20" s="366">
        <f>H21+H22</f>
        <v>14</v>
      </c>
      <c r="I20" s="369">
        <f>H20/G20*100</f>
        <v>100</v>
      </c>
      <c r="J20" s="368">
        <f>SUM(J21:J22)</f>
        <v>0</v>
      </c>
      <c r="K20" s="814">
        <f t="shared" si="0"/>
        <v>14</v>
      </c>
      <c r="L20" s="804">
        <v>14</v>
      </c>
      <c r="M20" s="804">
        <f t="shared" si="1"/>
        <v>0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</row>
    <row r="21" spans="1:83" s="83" customFormat="1" ht="12.75" customHeight="1">
      <c r="A21" s="107" t="s">
        <v>875</v>
      </c>
      <c r="B21" s="368">
        <v>14138</v>
      </c>
      <c r="C21" s="368">
        <v>14138</v>
      </c>
      <c r="D21" s="364">
        <f>C21/B21*100</f>
        <v>100</v>
      </c>
      <c r="E21" s="368">
        <f>C21-'[13]augusts'!C21</f>
        <v>0</v>
      </c>
      <c r="F21" s="107" t="s">
        <v>875</v>
      </c>
      <c r="G21" s="368">
        <f>ROUND(B21/1000,0)</f>
        <v>14</v>
      </c>
      <c r="H21" s="368">
        <f>ROUND(C21/1000,0)</f>
        <v>14</v>
      </c>
      <c r="I21" s="370">
        <f>H21/G21*100</f>
        <v>100</v>
      </c>
      <c r="J21" s="368">
        <f>ROUND(E21/1000,0)</f>
        <v>0</v>
      </c>
      <c r="K21" s="814">
        <f t="shared" si="0"/>
        <v>14</v>
      </c>
      <c r="L21" s="804">
        <v>14</v>
      </c>
      <c r="M21" s="804">
        <f t="shared" si="1"/>
        <v>0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</row>
    <row r="22" spans="1:83" s="83" customFormat="1" ht="12.75" customHeight="1">
      <c r="A22" s="107" t="s">
        <v>876</v>
      </c>
      <c r="B22" s="368"/>
      <c r="C22" s="368"/>
      <c r="D22" s="364"/>
      <c r="E22" s="368">
        <f>C22-'[13]augusts'!C22</f>
        <v>0</v>
      </c>
      <c r="F22" s="107" t="s">
        <v>876</v>
      </c>
      <c r="G22" s="368">
        <f>ROUND(B22/1000,0)</f>
        <v>0</v>
      </c>
      <c r="H22" s="368">
        <f>ROUND(C22/1000,0)</f>
        <v>0</v>
      </c>
      <c r="I22" s="370">
        <v>0</v>
      </c>
      <c r="J22" s="368">
        <f>ROUND(E22/1000,0)</f>
        <v>0</v>
      </c>
      <c r="K22" s="814">
        <f t="shared" si="0"/>
        <v>0</v>
      </c>
      <c r="L22" s="804">
        <v>0</v>
      </c>
      <c r="M22" s="804">
        <f t="shared" si="1"/>
        <v>0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s="83" customFormat="1" ht="12.75" customHeight="1">
      <c r="A23" s="212" t="s">
        <v>885</v>
      </c>
      <c r="B23" s="368"/>
      <c r="C23" s="368"/>
      <c r="D23" s="364"/>
      <c r="E23" s="368"/>
      <c r="F23" s="212" t="s">
        <v>885</v>
      </c>
      <c r="G23" s="366"/>
      <c r="H23" s="366"/>
      <c r="I23" s="364"/>
      <c r="J23" s="368"/>
      <c r="K23" s="814">
        <f t="shared" si="0"/>
        <v>0</v>
      </c>
      <c r="L23" s="804"/>
      <c r="M23" s="804">
        <f t="shared" si="1"/>
        <v>0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s="83" customFormat="1" ht="12.75" customHeight="1">
      <c r="A24" s="367" t="s">
        <v>0</v>
      </c>
      <c r="B24" s="366"/>
      <c r="C24" s="366">
        <v>-14</v>
      </c>
      <c r="D24" s="364"/>
      <c r="E24" s="368">
        <f>C24-'[13]augusts'!C24</f>
        <v>-27</v>
      </c>
      <c r="F24" s="367" t="s">
        <v>0</v>
      </c>
      <c r="G24" s="366">
        <f>ROUND(B24/1000,0)</f>
        <v>0</v>
      </c>
      <c r="H24" s="366">
        <f>ROUND(C24/1000,0)</f>
        <v>0</v>
      </c>
      <c r="I24" s="369">
        <v>0</v>
      </c>
      <c r="J24" s="368">
        <f>ROUND(E24/1000,0)</f>
        <v>0</v>
      </c>
      <c r="K24" s="814">
        <f t="shared" si="0"/>
        <v>0</v>
      </c>
      <c r="L24" s="804">
        <v>0</v>
      </c>
      <c r="M24" s="804">
        <f t="shared" si="1"/>
        <v>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s="83" customFormat="1" ht="12.75" customHeight="1">
      <c r="A25" s="98" t="s">
        <v>175</v>
      </c>
      <c r="B25" s="366">
        <f>B26+B27</f>
        <v>24382</v>
      </c>
      <c r="C25" s="366">
        <f>C26+C27</f>
        <v>19395</v>
      </c>
      <c r="D25" s="364">
        <f>C25/B25*100</f>
        <v>79.5463866786974</v>
      </c>
      <c r="E25" s="366">
        <f>E26+E27</f>
        <v>473</v>
      </c>
      <c r="F25" s="98" t="s">
        <v>175</v>
      </c>
      <c r="G25" s="366">
        <f>G26+G27</f>
        <v>24</v>
      </c>
      <c r="H25" s="366">
        <f>H26+H27</f>
        <v>19</v>
      </c>
      <c r="I25" s="369">
        <f>H25/G25*100</f>
        <v>79.16666666666666</v>
      </c>
      <c r="J25" s="368">
        <f>SUM(J26:J27)</f>
        <v>0</v>
      </c>
      <c r="K25" s="814">
        <f t="shared" si="0"/>
        <v>19</v>
      </c>
      <c r="L25" s="804">
        <v>19</v>
      </c>
      <c r="M25" s="804">
        <f t="shared" si="1"/>
        <v>0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s="83" customFormat="1" ht="12.75" customHeight="1">
      <c r="A26" s="107" t="s">
        <v>875</v>
      </c>
      <c r="B26" s="368">
        <v>24382</v>
      </c>
      <c r="C26" s="368">
        <v>19395</v>
      </c>
      <c r="D26" s="364">
        <f>C26/B26*100</f>
        <v>79.5463866786974</v>
      </c>
      <c r="E26" s="368">
        <f>C26-'[13]augusts'!C26</f>
        <v>473</v>
      </c>
      <c r="F26" s="107" t="s">
        <v>875</v>
      </c>
      <c r="G26" s="368">
        <f>ROUND(B26/1000,0)</f>
        <v>24</v>
      </c>
      <c r="H26" s="368">
        <f>ROUND(C26/1000,0)</f>
        <v>19</v>
      </c>
      <c r="I26" s="370">
        <f>H26/G26*100</f>
        <v>79.16666666666666</v>
      </c>
      <c r="J26" s="368">
        <f>ROUND(E26/1000,0)</f>
        <v>0</v>
      </c>
      <c r="K26" s="814">
        <f t="shared" si="0"/>
        <v>19</v>
      </c>
      <c r="L26" s="804">
        <v>19</v>
      </c>
      <c r="M26" s="804">
        <f t="shared" si="1"/>
        <v>0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</row>
    <row r="27" spans="1:83" s="83" customFormat="1" ht="12.75" customHeight="1">
      <c r="A27" s="107" t="s">
        <v>876</v>
      </c>
      <c r="B27" s="368"/>
      <c r="C27" s="368"/>
      <c r="D27" s="364"/>
      <c r="E27" s="368">
        <f>C27-'[13]augusts'!C27</f>
        <v>0</v>
      </c>
      <c r="F27" s="107" t="s">
        <v>876</v>
      </c>
      <c r="G27" s="368">
        <f>ROUND(B27/1000,0)</f>
        <v>0</v>
      </c>
      <c r="H27" s="368">
        <f>ROUND(C27/1000,0)</f>
        <v>0</v>
      </c>
      <c r="I27" s="370">
        <v>0</v>
      </c>
      <c r="J27" s="368">
        <f>ROUND(E27/1000,0)</f>
        <v>0</v>
      </c>
      <c r="K27" s="814">
        <f t="shared" si="0"/>
        <v>0</v>
      </c>
      <c r="L27" s="804">
        <v>0</v>
      </c>
      <c r="M27" s="804">
        <f t="shared" si="1"/>
        <v>0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</row>
    <row r="28" spans="1:83" s="83" customFormat="1" ht="12.75" customHeight="1">
      <c r="A28" s="212" t="s">
        <v>887</v>
      </c>
      <c r="B28" s="368"/>
      <c r="C28" s="368"/>
      <c r="D28" s="364"/>
      <c r="E28" s="368"/>
      <c r="F28" s="212" t="s">
        <v>887</v>
      </c>
      <c r="G28" s="366"/>
      <c r="H28" s="366"/>
      <c r="I28" s="364"/>
      <c r="J28" s="368"/>
      <c r="K28" s="814">
        <f t="shared" si="0"/>
        <v>0</v>
      </c>
      <c r="L28" s="804"/>
      <c r="M28" s="804">
        <f t="shared" si="1"/>
        <v>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</row>
    <row r="29" spans="1:83" s="83" customFormat="1" ht="12.75" customHeight="1">
      <c r="A29" s="367" t="s">
        <v>0</v>
      </c>
      <c r="B29" s="366">
        <v>42416</v>
      </c>
      <c r="C29" s="366">
        <v>24960</v>
      </c>
      <c r="D29" s="364">
        <f>C29/B29*100</f>
        <v>58.84571859675594</v>
      </c>
      <c r="E29" s="368">
        <f>C29-'[13]augusts'!C29</f>
        <v>700</v>
      </c>
      <c r="F29" s="367" t="s">
        <v>0</v>
      </c>
      <c r="G29" s="366">
        <f>ROUND(B29/1000,0)</f>
        <v>42</v>
      </c>
      <c r="H29" s="366">
        <f>ROUND(C29/1000,0)</f>
        <v>25</v>
      </c>
      <c r="I29" s="369">
        <f>H29/G29*100</f>
        <v>59.523809523809526</v>
      </c>
      <c r="J29" s="368">
        <f>ROUND(E29/1000,0)</f>
        <v>1</v>
      </c>
      <c r="K29" s="814">
        <f t="shared" si="0"/>
        <v>25</v>
      </c>
      <c r="L29" s="804">
        <v>24</v>
      </c>
      <c r="M29" s="804">
        <f t="shared" si="1"/>
        <v>1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</row>
    <row r="30" spans="1:83" s="83" customFormat="1" ht="12.75" customHeight="1">
      <c r="A30" s="98" t="s">
        <v>175</v>
      </c>
      <c r="B30" s="366">
        <f>B31+B32</f>
        <v>43467</v>
      </c>
      <c r="C30" s="366">
        <f>C31+C32</f>
        <v>21969</v>
      </c>
      <c r="D30" s="364">
        <f>C30/B30*100</f>
        <v>50.54179032369384</v>
      </c>
      <c r="E30" s="368">
        <f>E31+E32</f>
        <v>1004</v>
      </c>
      <c r="F30" s="98" t="s">
        <v>175</v>
      </c>
      <c r="G30" s="366">
        <f>G31+G32</f>
        <v>44</v>
      </c>
      <c r="H30" s="366">
        <f>H31+H32</f>
        <v>22</v>
      </c>
      <c r="I30" s="369">
        <f>H30/G30*100</f>
        <v>50</v>
      </c>
      <c r="J30" s="368">
        <f>SUM(J31:J32)</f>
        <v>1</v>
      </c>
      <c r="K30" s="814">
        <f t="shared" si="0"/>
        <v>22</v>
      </c>
      <c r="L30" s="804">
        <v>21</v>
      </c>
      <c r="M30" s="804">
        <f t="shared" si="1"/>
        <v>1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</row>
    <row r="31" spans="1:83" s="83" customFormat="1" ht="12.75" customHeight="1">
      <c r="A31" s="218" t="s">
        <v>875</v>
      </c>
      <c r="B31" s="368">
        <v>14677</v>
      </c>
      <c r="C31" s="368">
        <v>3286</v>
      </c>
      <c r="D31" s="364">
        <f>C31/B31*100</f>
        <v>22.388771547318935</v>
      </c>
      <c r="E31" s="368">
        <f>C31-'[13]augusts'!C31</f>
        <v>275</v>
      </c>
      <c r="F31" s="107" t="s">
        <v>875</v>
      </c>
      <c r="G31" s="368">
        <f>ROUND(B31/1000,0)</f>
        <v>15</v>
      </c>
      <c r="H31" s="368">
        <f>ROUND(C31/1000,0)</f>
        <v>3</v>
      </c>
      <c r="I31" s="370">
        <f>H31/G31*100</f>
        <v>20</v>
      </c>
      <c r="J31" s="368">
        <f>ROUND(E31/1000,0)</f>
        <v>0</v>
      </c>
      <c r="K31" s="814">
        <f t="shared" si="0"/>
        <v>3</v>
      </c>
      <c r="L31" s="804">
        <v>3</v>
      </c>
      <c r="M31" s="804">
        <f t="shared" si="1"/>
        <v>0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</row>
    <row r="32" spans="1:83" s="83" customFormat="1" ht="12.75" customHeight="1">
      <c r="A32" s="218" t="s">
        <v>876</v>
      </c>
      <c r="B32" s="368">
        <v>28790</v>
      </c>
      <c r="C32" s="368">
        <v>18683</v>
      </c>
      <c r="D32" s="364">
        <f>C32/B32*100</f>
        <v>64.89406043765196</v>
      </c>
      <c r="E32" s="368">
        <f>C32-'[13]augusts'!C32</f>
        <v>729</v>
      </c>
      <c r="F32" s="107" t="s">
        <v>876</v>
      </c>
      <c r="G32" s="368">
        <f>ROUND(B32/1000,0)</f>
        <v>29</v>
      </c>
      <c r="H32" s="368">
        <f>ROUND(C32/1000,0)</f>
        <v>19</v>
      </c>
      <c r="I32" s="370">
        <f>H32/G32*100</f>
        <v>65.51724137931035</v>
      </c>
      <c r="J32" s="368">
        <f>ROUND(E32/1000,0)</f>
        <v>1</v>
      </c>
      <c r="K32" s="814">
        <f t="shared" si="0"/>
        <v>19</v>
      </c>
      <c r="L32" s="804">
        <v>18</v>
      </c>
      <c r="M32" s="804">
        <f t="shared" si="1"/>
        <v>1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</row>
    <row r="33" spans="1:83" s="83" customFormat="1" ht="12.75" customHeight="1">
      <c r="A33" s="212" t="s">
        <v>889</v>
      </c>
      <c r="B33" s="368"/>
      <c r="C33" s="368"/>
      <c r="D33" s="364"/>
      <c r="E33" s="368"/>
      <c r="F33" s="212" t="s">
        <v>889</v>
      </c>
      <c r="G33" s="366"/>
      <c r="H33" s="366"/>
      <c r="I33" s="370"/>
      <c r="J33" s="368"/>
      <c r="K33" s="814">
        <f t="shared" si="0"/>
        <v>0</v>
      </c>
      <c r="L33" s="804"/>
      <c r="M33" s="804">
        <f t="shared" si="1"/>
        <v>0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1:83" s="83" customFormat="1" ht="12.75" customHeight="1">
      <c r="A34" s="367" t="s">
        <v>0</v>
      </c>
      <c r="B34" s="366">
        <v>5676</v>
      </c>
      <c r="C34" s="366">
        <v>5168</v>
      </c>
      <c r="D34" s="364">
        <f>C34/B34*100</f>
        <v>91.05003523608175</v>
      </c>
      <c r="E34" s="368">
        <f>C34-'[13]augusts'!C34</f>
        <v>0</v>
      </c>
      <c r="F34" s="367" t="s">
        <v>0</v>
      </c>
      <c r="G34" s="366">
        <f>ROUND(B34/1000,0)</f>
        <v>6</v>
      </c>
      <c r="H34" s="366">
        <f>ROUND(C34/1000,0)</f>
        <v>5</v>
      </c>
      <c r="I34" s="369">
        <f>H34/G34*100</f>
        <v>83.33333333333334</v>
      </c>
      <c r="J34" s="368">
        <f>ROUND(E34/1000,0)</f>
        <v>0</v>
      </c>
      <c r="K34" s="814">
        <f t="shared" si="0"/>
        <v>5</v>
      </c>
      <c r="L34" s="804">
        <v>5</v>
      </c>
      <c r="M34" s="804">
        <f t="shared" si="1"/>
        <v>0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1:83" s="83" customFormat="1" ht="12.75" customHeight="1">
      <c r="A35" s="98" t="s">
        <v>175</v>
      </c>
      <c r="B35" s="366">
        <f>B36+B37</f>
        <v>5676</v>
      </c>
      <c r="C35" s="366">
        <f>C36+C37</f>
        <v>5168</v>
      </c>
      <c r="D35" s="364">
        <f>C35/B35*100</f>
        <v>91.05003523608175</v>
      </c>
      <c r="E35" s="368">
        <f>E36+E37</f>
        <v>0</v>
      </c>
      <c r="F35" s="98" t="s">
        <v>175</v>
      </c>
      <c r="G35" s="366">
        <f>G36+G37</f>
        <v>6</v>
      </c>
      <c r="H35" s="366">
        <f>H36+H37</f>
        <v>5</v>
      </c>
      <c r="I35" s="369">
        <f>H35/G35*100</f>
        <v>83.33333333333334</v>
      </c>
      <c r="J35" s="368">
        <f>SUM(J36:J37)</f>
        <v>0</v>
      </c>
      <c r="K35" s="814">
        <f t="shared" si="0"/>
        <v>5</v>
      </c>
      <c r="L35" s="804">
        <v>5</v>
      </c>
      <c r="M35" s="804">
        <f t="shared" si="1"/>
        <v>0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1:83" s="83" customFormat="1" ht="12.75" customHeight="1">
      <c r="A36" s="218" t="s">
        <v>875</v>
      </c>
      <c r="B36" s="368">
        <v>5676</v>
      </c>
      <c r="C36" s="368">
        <v>5168</v>
      </c>
      <c r="D36" s="364">
        <f>C36/B36*100</f>
        <v>91.05003523608175</v>
      </c>
      <c r="E36" s="368">
        <f>C36-'[13]augusts'!C36</f>
        <v>0</v>
      </c>
      <c r="F36" s="107" t="s">
        <v>875</v>
      </c>
      <c r="G36" s="368">
        <f>ROUND(B36/1000,0)</f>
        <v>6</v>
      </c>
      <c r="H36" s="368">
        <f>ROUND(C36/1000,0)</f>
        <v>5</v>
      </c>
      <c r="I36" s="370">
        <f>H36/G36*100</f>
        <v>83.33333333333334</v>
      </c>
      <c r="J36" s="368">
        <f>ROUND(E36/1000,0)</f>
        <v>0</v>
      </c>
      <c r="K36" s="814">
        <f t="shared" si="0"/>
        <v>5</v>
      </c>
      <c r="L36" s="804">
        <v>5</v>
      </c>
      <c r="M36" s="804">
        <f t="shared" si="1"/>
        <v>0</v>
      </c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  <row r="37" spans="1:83" s="83" customFormat="1" ht="12.75" customHeight="1">
      <c r="A37" s="218" t="s">
        <v>876</v>
      </c>
      <c r="B37" s="368"/>
      <c r="C37" s="368"/>
      <c r="D37" s="364"/>
      <c r="E37" s="368">
        <f>C37-'[13]augusts'!C37</f>
        <v>0</v>
      </c>
      <c r="F37" s="107" t="s">
        <v>876</v>
      </c>
      <c r="G37" s="368">
        <f>ROUND(B37/1000,0)</f>
        <v>0</v>
      </c>
      <c r="H37" s="368">
        <f>ROUND(C37/1000,0)</f>
        <v>0</v>
      </c>
      <c r="I37" s="370">
        <v>0</v>
      </c>
      <c r="J37" s="368">
        <f>ROUND(E37/1000,0)</f>
        <v>0</v>
      </c>
      <c r="K37" s="814">
        <f t="shared" si="0"/>
        <v>0</v>
      </c>
      <c r="L37" s="804">
        <v>0</v>
      </c>
      <c r="M37" s="804">
        <f t="shared" si="1"/>
        <v>0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</row>
    <row r="38" spans="1:83" s="83" customFormat="1" ht="12.75" customHeight="1">
      <c r="A38" s="212" t="s">
        <v>891</v>
      </c>
      <c r="B38" s="368"/>
      <c r="C38" s="368"/>
      <c r="D38" s="364"/>
      <c r="E38" s="368"/>
      <c r="F38" s="212" t="s">
        <v>891</v>
      </c>
      <c r="G38" s="366"/>
      <c r="H38" s="366"/>
      <c r="I38" s="364"/>
      <c r="J38" s="368"/>
      <c r="K38" s="814">
        <f t="shared" si="0"/>
        <v>0</v>
      </c>
      <c r="L38" s="804"/>
      <c r="M38" s="804">
        <f t="shared" si="1"/>
        <v>0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</row>
    <row r="39" spans="1:83" s="83" customFormat="1" ht="12.75" customHeight="1">
      <c r="A39" s="367" t="s">
        <v>0</v>
      </c>
      <c r="B39" s="366">
        <v>123500</v>
      </c>
      <c r="C39" s="366">
        <v>138002</v>
      </c>
      <c r="D39" s="364">
        <f>C39/B39*100</f>
        <v>111.74251012145749</v>
      </c>
      <c r="E39" s="368">
        <f>C39-'[13]augusts'!C39</f>
        <v>14764</v>
      </c>
      <c r="F39" s="367" t="s">
        <v>0</v>
      </c>
      <c r="G39" s="366">
        <f>ROUND(B39/1000,0)</f>
        <v>124</v>
      </c>
      <c r="H39" s="366">
        <f>ROUND(C39/1000,0)</f>
        <v>138</v>
      </c>
      <c r="I39" s="369">
        <f>H39/G39*100</f>
        <v>111.29032258064515</v>
      </c>
      <c r="J39" s="368">
        <f>ROUND(E39/1000,0)</f>
        <v>15</v>
      </c>
      <c r="K39" s="814">
        <f t="shared" si="0"/>
        <v>138</v>
      </c>
      <c r="L39" s="804">
        <v>123</v>
      </c>
      <c r="M39" s="804">
        <f t="shared" si="1"/>
        <v>15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</row>
    <row r="40" spans="1:83" s="83" customFormat="1" ht="12.75" customHeight="1">
      <c r="A40" s="98" t="s">
        <v>874</v>
      </c>
      <c r="B40" s="366">
        <f>B41+B42</f>
        <v>125540</v>
      </c>
      <c r="C40" s="366">
        <f>C41+C42</f>
        <v>85783</v>
      </c>
      <c r="D40" s="364">
        <f>C40/B40*100</f>
        <v>68.33120917635813</v>
      </c>
      <c r="E40" s="368">
        <f>E41+E42</f>
        <v>19399</v>
      </c>
      <c r="F40" s="98" t="s">
        <v>874</v>
      </c>
      <c r="G40" s="366">
        <f>G41+G42</f>
        <v>126</v>
      </c>
      <c r="H40" s="366">
        <f>H41+H42</f>
        <v>86</v>
      </c>
      <c r="I40" s="369">
        <f>H40/G40*100</f>
        <v>68.25396825396825</v>
      </c>
      <c r="J40" s="368">
        <f>SUM(J41:J42)</f>
        <v>20</v>
      </c>
      <c r="K40" s="814">
        <f t="shared" si="0"/>
        <v>86</v>
      </c>
      <c r="L40" s="804">
        <v>66</v>
      </c>
      <c r="M40" s="804">
        <f t="shared" si="1"/>
        <v>20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</row>
    <row r="41" spans="1:83" s="83" customFormat="1" ht="12.75" customHeight="1">
      <c r="A41" s="107" t="s">
        <v>875</v>
      </c>
      <c r="B41" s="368">
        <v>125540</v>
      </c>
      <c r="C41" s="374">
        <v>85783</v>
      </c>
      <c r="D41" s="364">
        <f>C41/B41*100</f>
        <v>68.33120917635813</v>
      </c>
      <c r="E41" s="368">
        <f>C41-'[13]augusts'!C41</f>
        <v>19399</v>
      </c>
      <c r="F41" s="107" t="s">
        <v>875</v>
      </c>
      <c r="G41" s="368">
        <f>ROUND(B41/1000,0)</f>
        <v>126</v>
      </c>
      <c r="H41" s="368">
        <f>ROUND(C41/1000,0)</f>
        <v>86</v>
      </c>
      <c r="I41" s="370">
        <f>H41/G41*100</f>
        <v>68.25396825396825</v>
      </c>
      <c r="J41" s="368">
        <f>ROUND(E41/1000,0)+1</f>
        <v>20</v>
      </c>
      <c r="K41" s="814">
        <f t="shared" si="0"/>
        <v>86</v>
      </c>
      <c r="L41" s="804">
        <v>66</v>
      </c>
      <c r="M41" s="804">
        <f t="shared" si="1"/>
        <v>20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</row>
    <row r="42" spans="1:83" s="83" customFormat="1" ht="12.75" customHeight="1">
      <c r="A42" s="107" t="s">
        <v>876</v>
      </c>
      <c r="B42" s="368"/>
      <c r="C42" s="368"/>
      <c r="D42" s="364"/>
      <c r="E42" s="368">
        <f>C42-'[13]augusts'!C42</f>
        <v>0</v>
      </c>
      <c r="F42" s="107" t="s">
        <v>876</v>
      </c>
      <c r="G42" s="368">
        <f>ROUND(B42/1000,0)</f>
        <v>0</v>
      </c>
      <c r="H42" s="368">
        <f>ROUND(C42/1000,0)</f>
        <v>0</v>
      </c>
      <c r="I42" s="370">
        <v>0</v>
      </c>
      <c r="J42" s="368">
        <f>ROUND(E42/1000,0)</f>
        <v>0</v>
      </c>
      <c r="K42" s="814">
        <f t="shared" si="0"/>
        <v>0</v>
      </c>
      <c r="L42" s="804">
        <v>0</v>
      </c>
      <c r="M42" s="804">
        <f t="shared" si="1"/>
        <v>0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</row>
    <row r="43" spans="1:83" s="83" customFormat="1" ht="12.75" customHeight="1">
      <c r="A43" s="212" t="s">
        <v>893</v>
      </c>
      <c r="B43" s="368"/>
      <c r="C43" s="368"/>
      <c r="D43" s="364"/>
      <c r="E43" s="368"/>
      <c r="F43" s="212" t="s">
        <v>893</v>
      </c>
      <c r="G43" s="366"/>
      <c r="H43" s="366"/>
      <c r="I43" s="370"/>
      <c r="J43" s="368"/>
      <c r="K43" s="814">
        <f t="shared" si="0"/>
        <v>0</v>
      </c>
      <c r="L43" s="804"/>
      <c r="M43" s="804">
        <f t="shared" si="1"/>
        <v>0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</row>
    <row r="44" spans="1:83" s="766" customFormat="1" ht="12.75" customHeight="1">
      <c r="A44" s="371" t="s">
        <v>0</v>
      </c>
      <c r="B44" s="372">
        <v>73912</v>
      </c>
      <c r="C44" s="372">
        <f>-21291-52+26627</f>
        <v>5284</v>
      </c>
      <c r="D44" s="379">
        <f>C44/B44*100</f>
        <v>7.149042104123823</v>
      </c>
      <c r="E44" s="374">
        <f>C44-'[13]augusts'!C44</f>
        <v>-188</v>
      </c>
      <c r="F44" s="371" t="s">
        <v>610</v>
      </c>
      <c r="G44" s="372">
        <f>ROUND(B44/1000,0)</f>
        <v>74</v>
      </c>
      <c r="H44" s="372">
        <f>ROUND(C44/1000,0)</f>
        <v>5</v>
      </c>
      <c r="I44" s="373">
        <f>H44/G44*100</f>
        <v>6.756756756756757</v>
      </c>
      <c r="J44" s="374">
        <f>ROUND(E44/1000,0)-1</f>
        <v>-1</v>
      </c>
      <c r="K44" s="814">
        <f t="shared" si="0"/>
        <v>5</v>
      </c>
      <c r="L44" s="804">
        <v>6</v>
      </c>
      <c r="M44" s="804">
        <f t="shared" si="1"/>
        <v>-1</v>
      </c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</row>
    <row r="45" spans="1:83" s="766" customFormat="1" ht="12.75" customHeight="1">
      <c r="A45" s="375" t="s">
        <v>175</v>
      </c>
      <c r="B45" s="372">
        <f>B46+B47</f>
        <v>73912</v>
      </c>
      <c r="C45" s="372">
        <f>C46+C47</f>
        <v>70161</v>
      </c>
      <c r="D45" s="379">
        <f>C45/B45*100</f>
        <v>94.92504600064942</v>
      </c>
      <c r="E45" s="374">
        <f>E46+E47</f>
        <v>27964</v>
      </c>
      <c r="F45" s="375" t="s">
        <v>175</v>
      </c>
      <c r="G45" s="372">
        <f>G46+G47</f>
        <v>74</v>
      </c>
      <c r="H45" s="372">
        <f>H46+H47</f>
        <v>71</v>
      </c>
      <c r="I45" s="373">
        <f>H45/G45*100</f>
        <v>95.94594594594594</v>
      </c>
      <c r="J45" s="374">
        <f>SUM(J46:J47)</f>
        <v>28</v>
      </c>
      <c r="K45" s="814">
        <f t="shared" si="0"/>
        <v>71</v>
      </c>
      <c r="L45" s="804">
        <v>42</v>
      </c>
      <c r="M45" s="804">
        <f t="shared" si="1"/>
        <v>29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</row>
    <row r="46" spans="1:83" s="766" customFormat="1" ht="12.75" customHeight="1">
      <c r="A46" s="376" t="s">
        <v>875</v>
      </c>
      <c r="B46" s="374">
        <v>73772</v>
      </c>
      <c r="C46" s="374">
        <f>43446-52+26627</f>
        <v>70021</v>
      </c>
      <c r="D46" s="379">
        <f>C46/B46*100</f>
        <v>94.91541506262539</v>
      </c>
      <c r="E46" s="374">
        <f>C46-'[13]augusts'!C46</f>
        <v>27964</v>
      </c>
      <c r="F46" s="376" t="s">
        <v>875</v>
      </c>
      <c r="G46" s="374">
        <f>ROUND(B46/1000,0)</f>
        <v>74</v>
      </c>
      <c r="H46" s="374">
        <f>ROUND(C46/1000,0)+1</f>
        <v>71</v>
      </c>
      <c r="I46" s="377">
        <f>H46/G46*100</f>
        <v>95.94594594594594</v>
      </c>
      <c r="J46" s="374">
        <f>(ROUND(E46/1000,0))</f>
        <v>28</v>
      </c>
      <c r="K46" s="814">
        <f t="shared" si="0"/>
        <v>71</v>
      </c>
      <c r="L46" s="804">
        <v>42</v>
      </c>
      <c r="M46" s="804">
        <f t="shared" si="1"/>
        <v>29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</row>
    <row r="47" spans="1:83" s="766" customFormat="1" ht="12.75" customHeight="1">
      <c r="A47" s="376" t="s">
        <v>876</v>
      </c>
      <c r="B47" s="374">
        <v>140</v>
      </c>
      <c r="C47" s="374">
        <v>140</v>
      </c>
      <c r="D47" s="379"/>
      <c r="E47" s="374">
        <f>C47-'[13]augusts'!C47</f>
        <v>0</v>
      </c>
      <c r="F47" s="376" t="s">
        <v>876</v>
      </c>
      <c r="G47" s="374">
        <f>ROUND(B47/1000,0)</f>
        <v>0</v>
      </c>
      <c r="H47" s="374">
        <f>ROUND(C47/1000,0)</f>
        <v>0</v>
      </c>
      <c r="I47" s="377">
        <v>0</v>
      </c>
      <c r="J47" s="374">
        <f>ROUND(E47/1000,0)</f>
        <v>0</v>
      </c>
      <c r="K47" s="814">
        <f t="shared" si="0"/>
        <v>0</v>
      </c>
      <c r="L47" s="804">
        <v>0</v>
      </c>
      <c r="M47" s="804">
        <f t="shared" si="1"/>
        <v>0</v>
      </c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</row>
    <row r="48" spans="1:83" s="766" customFormat="1" ht="12.75" customHeight="1">
      <c r="A48" s="378" t="s">
        <v>895</v>
      </c>
      <c r="B48" s="374"/>
      <c r="C48" s="374"/>
      <c r="D48" s="379"/>
      <c r="E48" s="374"/>
      <c r="F48" s="378" t="s">
        <v>895</v>
      </c>
      <c r="G48" s="372"/>
      <c r="H48" s="372"/>
      <c r="I48" s="379"/>
      <c r="J48" s="374"/>
      <c r="K48" s="814">
        <f t="shared" si="0"/>
        <v>0</v>
      </c>
      <c r="L48" s="804"/>
      <c r="M48" s="804">
        <f t="shared" si="1"/>
        <v>0</v>
      </c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</row>
    <row r="49" spans="1:83" s="83" customFormat="1" ht="12.75" customHeight="1">
      <c r="A49" s="367" t="s">
        <v>0</v>
      </c>
      <c r="B49" s="366">
        <v>373940</v>
      </c>
      <c r="C49" s="366">
        <v>149814</v>
      </c>
      <c r="D49" s="364">
        <f>C49/B49*100</f>
        <v>40.063646574316735</v>
      </c>
      <c r="E49" s="368">
        <f>C49-'[13]augusts'!C49</f>
        <v>10814</v>
      </c>
      <c r="F49" s="367" t="s">
        <v>0</v>
      </c>
      <c r="G49" s="366">
        <f>ROUND(B49/1000,0)</f>
        <v>374</v>
      </c>
      <c r="H49" s="366">
        <f>ROUND(C49/1000,0)</f>
        <v>150</v>
      </c>
      <c r="I49" s="369">
        <f>H49/G49*100</f>
        <v>40.106951871657756</v>
      </c>
      <c r="J49" s="368">
        <f>ROUND(E49/1000,0)</f>
        <v>11</v>
      </c>
      <c r="K49" s="814">
        <f t="shared" si="0"/>
        <v>150</v>
      </c>
      <c r="L49" s="804">
        <v>139</v>
      </c>
      <c r="M49" s="804">
        <f t="shared" si="1"/>
        <v>11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</row>
    <row r="50" spans="1:83" s="83" customFormat="1" ht="12.75" customHeight="1">
      <c r="A50" s="98" t="s">
        <v>175</v>
      </c>
      <c r="B50" s="366">
        <f>B51+B52</f>
        <v>380188</v>
      </c>
      <c r="C50" s="366">
        <f>C51+C52</f>
        <v>157467</v>
      </c>
      <c r="D50" s="364">
        <f>C50/B50*100</f>
        <v>41.41819310446411</v>
      </c>
      <c r="E50" s="368">
        <f>E51+E52</f>
        <v>7411</v>
      </c>
      <c r="F50" s="98" t="s">
        <v>175</v>
      </c>
      <c r="G50" s="366">
        <f>G51+G52</f>
        <v>381</v>
      </c>
      <c r="H50" s="366">
        <f>H51+H52</f>
        <v>158</v>
      </c>
      <c r="I50" s="369">
        <f>H50/G50*100</f>
        <v>41.46981627296588</v>
      </c>
      <c r="J50" s="368">
        <f>SUM(J51:J52)</f>
        <v>8</v>
      </c>
      <c r="K50" s="814">
        <f t="shared" si="0"/>
        <v>158</v>
      </c>
      <c r="L50" s="804">
        <v>150</v>
      </c>
      <c r="M50" s="804">
        <f t="shared" si="1"/>
        <v>8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</row>
    <row r="51" spans="1:83" s="83" customFormat="1" ht="12.75" customHeight="1">
      <c r="A51" s="107" t="s">
        <v>875</v>
      </c>
      <c r="B51" s="374">
        <v>221630</v>
      </c>
      <c r="C51" s="368">
        <v>85723</v>
      </c>
      <c r="D51" s="364">
        <f>C51/B51*100</f>
        <v>38.67842801064838</v>
      </c>
      <c r="E51" s="368">
        <f>C51-'[13]augusts'!C51</f>
        <v>3802</v>
      </c>
      <c r="F51" s="107" t="s">
        <v>875</v>
      </c>
      <c r="G51" s="368">
        <f>ROUND(B51/1000,0)</f>
        <v>222</v>
      </c>
      <c r="H51" s="368">
        <f>ROUND(C51/1000,0)</f>
        <v>86</v>
      </c>
      <c r="I51" s="370">
        <f>H51/G51*100</f>
        <v>38.73873873873874</v>
      </c>
      <c r="J51" s="368">
        <f>ROUND(E51/1000,0)</f>
        <v>4</v>
      </c>
      <c r="K51" s="814">
        <f t="shared" si="0"/>
        <v>86</v>
      </c>
      <c r="L51" s="804">
        <v>82</v>
      </c>
      <c r="M51" s="804">
        <f t="shared" si="1"/>
        <v>4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</row>
    <row r="52" spans="1:83" s="83" customFormat="1" ht="12.75" customHeight="1">
      <c r="A52" s="107" t="s">
        <v>876</v>
      </c>
      <c r="B52" s="368">
        <v>158558</v>
      </c>
      <c r="C52" s="368">
        <v>71744</v>
      </c>
      <c r="D52" s="364"/>
      <c r="E52" s="368">
        <f>C52-'[13]augusts'!C52</f>
        <v>3609</v>
      </c>
      <c r="F52" s="107" t="s">
        <v>876</v>
      </c>
      <c r="G52" s="368">
        <f>ROUND(B52/1000,0)</f>
        <v>159</v>
      </c>
      <c r="H52" s="368">
        <f>ROUND(C52/1000,0)</f>
        <v>72</v>
      </c>
      <c r="I52" s="370">
        <f>H52/G52*100</f>
        <v>45.28301886792453</v>
      </c>
      <c r="J52" s="368">
        <f>ROUND(E52/1000,0)</f>
        <v>4</v>
      </c>
      <c r="K52" s="814">
        <f t="shared" si="0"/>
        <v>72</v>
      </c>
      <c r="L52" s="804">
        <v>68</v>
      </c>
      <c r="M52" s="804">
        <f t="shared" si="1"/>
        <v>4</v>
      </c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</row>
    <row r="53" spans="1:83" s="83" customFormat="1" ht="12.75" customHeight="1">
      <c r="A53" s="92" t="s">
        <v>897</v>
      </c>
      <c r="B53" s="368"/>
      <c r="C53" s="368"/>
      <c r="D53" s="364"/>
      <c r="E53" s="368"/>
      <c r="F53" s="212" t="s">
        <v>897</v>
      </c>
      <c r="G53" s="366"/>
      <c r="H53" s="366"/>
      <c r="I53" s="364"/>
      <c r="J53" s="368"/>
      <c r="K53" s="814">
        <f t="shared" si="0"/>
        <v>0</v>
      </c>
      <c r="L53" s="804"/>
      <c r="M53" s="804">
        <f t="shared" si="1"/>
        <v>0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</row>
    <row r="54" spans="1:83" s="83" customFormat="1" ht="12.75" customHeight="1">
      <c r="A54" s="367" t="s">
        <v>0</v>
      </c>
      <c r="B54" s="366">
        <v>1764309</v>
      </c>
      <c r="C54" s="366">
        <v>757843</v>
      </c>
      <c r="D54" s="364">
        <f>C54/B54*100</f>
        <v>42.95409704309166</v>
      </c>
      <c r="E54" s="368">
        <f>C54-'[13]augusts'!C54</f>
        <v>50679</v>
      </c>
      <c r="F54" s="367" t="s">
        <v>0</v>
      </c>
      <c r="G54" s="366">
        <f>ROUND(B54/1000,0)</f>
        <v>1764</v>
      </c>
      <c r="H54" s="366">
        <f>ROUND(C54/1000,0)</f>
        <v>758</v>
      </c>
      <c r="I54" s="369">
        <f>H54/G54*100</f>
        <v>42.97052154195011</v>
      </c>
      <c r="J54" s="368">
        <f>ROUND(E54/1000,0)</f>
        <v>51</v>
      </c>
      <c r="K54" s="814">
        <f t="shared" si="0"/>
        <v>758</v>
      </c>
      <c r="L54" s="804">
        <v>707</v>
      </c>
      <c r="M54" s="804">
        <f t="shared" si="1"/>
        <v>51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</row>
    <row r="55" spans="1:83" s="83" customFormat="1" ht="12.75" customHeight="1">
      <c r="A55" s="98" t="s">
        <v>175</v>
      </c>
      <c r="B55" s="366">
        <f>SUM(B56:B57)</f>
        <v>1799857</v>
      </c>
      <c r="C55" s="366">
        <f>SUM(C56:C57)</f>
        <v>834972</v>
      </c>
      <c r="D55" s="364">
        <f>C55/B55*100</f>
        <v>46.39101884205245</v>
      </c>
      <c r="E55" s="368">
        <f>E56+E57</f>
        <v>109414</v>
      </c>
      <c r="F55" s="98" t="s">
        <v>175</v>
      </c>
      <c r="G55" s="366">
        <f>SUM(G56:G57)</f>
        <v>1800</v>
      </c>
      <c r="H55" s="366">
        <f>SUM(H56:H57)</f>
        <v>835</v>
      </c>
      <c r="I55" s="369">
        <f>H55/G55*100</f>
        <v>46.38888888888889</v>
      </c>
      <c r="J55" s="368">
        <f>SUM(J56:J57)</f>
        <v>109</v>
      </c>
      <c r="K55" s="814">
        <f t="shared" si="0"/>
        <v>835</v>
      </c>
      <c r="L55" s="804">
        <v>726</v>
      </c>
      <c r="M55" s="804">
        <f t="shared" si="1"/>
        <v>109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</row>
    <row r="56" spans="1:83" s="83" customFormat="1" ht="12.75" customHeight="1">
      <c r="A56" s="107" t="s">
        <v>875</v>
      </c>
      <c r="B56" s="368">
        <v>1644219</v>
      </c>
      <c r="C56" s="368">
        <v>782346</v>
      </c>
      <c r="D56" s="364">
        <f>C56/B56*100</f>
        <v>47.58161777719391</v>
      </c>
      <c r="E56" s="368">
        <f>C56-'[13]augusts'!C56</f>
        <v>100847</v>
      </c>
      <c r="F56" s="107" t="s">
        <v>875</v>
      </c>
      <c r="G56" s="368">
        <f>ROUND(B56/1000,0)</f>
        <v>1644</v>
      </c>
      <c r="H56" s="368">
        <f>ROUND(C56/1000,0)+1</f>
        <v>783</v>
      </c>
      <c r="I56" s="370">
        <f>H56/G56*100</f>
        <v>47.627737226277375</v>
      </c>
      <c r="J56" s="368">
        <f>ROUND(E56/1000,0)</f>
        <v>101</v>
      </c>
      <c r="K56" s="814">
        <f t="shared" si="0"/>
        <v>783</v>
      </c>
      <c r="L56" s="804">
        <v>682</v>
      </c>
      <c r="M56" s="804">
        <f t="shared" si="1"/>
        <v>101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</row>
    <row r="57" spans="1:83" s="83" customFormat="1" ht="12.75" customHeight="1">
      <c r="A57" s="107" t="s">
        <v>876</v>
      </c>
      <c r="B57" s="368">
        <v>155638</v>
      </c>
      <c r="C57" s="368">
        <v>52626</v>
      </c>
      <c r="D57" s="364">
        <f>C57/B57*100</f>
        <v>33.81307906809391</v>
      </c>
      <c r="E57" s="368">
        <f>C57-'[13]augusts'!C57</f>
        <v>8567</v>
      </c>
      <c r="F57" s="107" t="s">
        <v>876</v>
      </c>
      <c r="G57" s="368">
        <f>ROUND(B57/1000,0)</f>
        <v>156</v>
      </c>
      <c r="H57" s="368">
        <f>ROUND(C57/1000,0)-1</f>
        <v>52</v>
      </c>
      <c r="I57" s="370">
        <f>H57/G57*100</f>
        <v>33.33333333333333</v>
      </c>
      <c r="J57" s="368">
        <f>ROUND(E57/1000,0)-1</f>
        <v>8</v>
      </c>
      <c r="K57" s="814">
        <f t="shared" si="0"/>
        <v>52</v>
      </c>
      <c r="L57" s="804">
        <v>44</v>
      </c>
      <c r="M57" s="804">
        <f t="shared" si="1"/>
        <v>8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</row>
    <row r="58" spans="1:83" s="83" customFormat="1" ht="12.75" customHeight="1">
      <c r="A58" s="212" t="s">
        <v>899</v>
      </c>
      <c r="B58" s="368"/>
      <c r="C58" s="368"/>
      <c r="D58" s="364"/>
      <c r="E58" s="368"/>
      <c r="F58" s="212" t="s">
        <v>899</v>
      </c>
      <c r="G58" s="366"/>
      <c r="H58" s="366"/>
      <c r="I58" s="364"/>
      <c r="J58" s="368"/>
      <c r="K58" s="814">
        <f t="shared" si="0"/>
        <v>0</v>
      </c>
      <c r="L58" s="804"/>
      <c r="M58" s="804">
        <f t="shared" si="1"/>
        <v>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</row>
    <row r="59" spans="1:83" s="83" customFormat="1" ht="12.75" customHeight="1">
      <c r="A59" s="367" t="s">
        <v>0</v>
      </c>
      <c r="B59" s="366">
        <v>351526</v>
      </c>
      <c r="C59" s="366">
        <v>162464</v>
      </c>
      <c r="D59" s="364">
        <f>C59/B59*100</f>
        <v>46.21678055108299</v>
      </c>
      <c r="E59" s="368">
        <f>C59-'[13]augusts'!C59</f>
        <v>9354</v>
      </c>
      <c r="F59" s="367" t="s">
        <v>0</v>
      </c>
      <c r="G59" s="366">
        <f>ROUND(B59/1000,0)</f>
        <v>352</v>
      </c>
      <c r="H59" s="366">
        <f>ROUND(C59/1000,0)</f>
        <v>162</v>
      </c>
      <c r="I59" s="369">
        <f>H59/G59*100</f>
        <v>46.02272727272727</v>
      </c>
      <c r="J59" s="368">
        <f>ROUND(E59/1000,0)</f>
        <v>9</v>
      </c>
      <c r="K59" s="814">
        <f t="shared" si="0"/>
        <v>162</v>
      </c>
      <c r="L59" s="804">
        <v>153</v>
      </c>
      <c r="M59" s="804">
        <f t="shared" si="1"/>
        <v>9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</row>
    <row r="60" spans="1:83" s="83" customFormat="1" ht="12.75" customHeight="1">
      <c r="A60" s="98" t="s">
        <v>175</v>
      </c>
      <c r="B60" s="366">
        <f>SUM(B61:B62)</f>
        <v>373526</v>
      </c>
      <c r="C60" s="366">
        <f>SUM(C61:C62)</f>
        <v>195162</v>
      </c>
      <c r="D60" s="364">
        <f>C60/B60*100</f>
        <v>52.248571719237745</v>
      </c>
      <c r="E60" s="368">
        <f>E61+E62</f>
        <v>10671</v>
      </c>
      <c r="F60" s="98" t="s">
        <v>175</v>
      </c>
      <c r="G60" s="366">
        <f>SUM(G61:G62)</f>
        <v>373</v>
      </c>
      <c r="H60" s="366">
        <f>SUM(H61:H62)</f>
        <v>195</v>
      </c>
      <c r="I60" s="369">
        <f>H60/G60*100</f>
        <v>52.27882037533512</v>
      </c>
      <c r="J60" s="368">
        <f>SUM(J61:J62)</f>
        <v>11</v>
      </c>
      <c r="K60" s="814">
        <f t="shared" si="0"/>
        <v>195</v>
      </c>
      <c r="L60" s="804">
        <v>184</v>
      </c>
      <c r="M60" s="804">
        <f t="shared" si="1"/>
        <v>11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</row>
    <row r="61" spans="1:13" ht="12.75" customHeight="1">
      <c r="A61" s="107" t="s">
        <v>875</v>
      </c>
      <c r="B61" s="368">
        <v>308325</v>
      </c>
      <c r="C61" s="368">
        <v>159065</v>
      </c>
      <c r="D61" s="364">
        <f>C61/B61*100</f>
        <v>51.590042974134434</v>
      </c>
      <c r="E61" s="368">
        <f>C61-'[13]augusts'!C61</f>
        <v>5758</v>
      </c>
      <c r="F61" s="107" t="s">
        <v>875</v>
      </c>
      <c r="G61" s="368">
        <f>ROUND(B61/1000,0)</f>
        <v>308</v>
      </c>
      <c r="H61" s="368">
        <f>ROUND(C61/1000,0)</f>
        <v>159</v>
      </c>
      <c r="I61" s="370">
        <f>H61/G61*100</f>
        <v>51.62337662337663</v>
      </c>
      <c r="J61" s="368">
        <f>ROUND(E61/1000,0)</f>
        <v>6</v>
      </c>
      <c r="K61" s="814">
        <f t="shared" si="0"/>
        <v>159</v>
      </c>
      <c r="L61" s="804">
        <v>153</v>
      </c>
      <c r="M61" s="804">
        <f t="shared" si="1"/>
        <v>6</v>
      </c>
    </row>
    <row r="62" spans="1:13" ht="12.75" customHeight="1">
      <c r="A62" s="107" t="s">
        <v>876</v>
      </c>
      <c r="B62" s="368">
        <v>65201</v>
      </c>
      <c r="C62" s="368">
        <v>36097</v>
      </c>
      <c r="D62" s="364">
        <f>C62/B62*100</f>
        <v>55.36264781215012</v>
      </c>
      <c r="E62" s="368">
        <f>C62-'[13]augusts'!C62</f>
        <v>4913</v>
      </c>
      <c r="F62" s="107" t="s">
        <v>876</v>
      </c>
      <c r="G62" s="368">
        <f>ROUND(B62/1000,0)</f>
        <v>65</v>
      </c>
      <c r="H62" s="368">
        <f>ROUND(C62/1000,0)</f>
        <v>36</v>
      </c>
      <c r="I62" s="370">
        <f>H62/G62*100</f>
        <v>55.38461538461539</v>
      </c>
      <c r="J62" s="368">
        <f>ROUND(E62/1000,0)</f>
        <v>5</v>
      </c>
      <c r="K62" s="814">
        <f t="shared" si="0"/>
        <v>36</v>
      </c>
      <c r="L62" s="804">
        <v>31</v>
      </c>
      <c r="M62" s="804">
        <f t="shared" si="1"/>
        <v>5</v>
      </c>
    </row>
    <row r="63" spans="1:13" ht="12.75" customHeight="1">
      <c r="A63" s="212" t="s">
        <v>901</v>
      </c>
      <c r="B63" s="368"/>
      <c r="C63" s="368"/>
      <c r="D63" s="364"/>
      <c r="E63" s="368"/>
      <c r="F63" s="212" t="s">
        <v>901</v>
      </c>
      <c r="G63" s="366"/>
      <c r="H63" s="366"/>
      <c r="I63" s="364"/>
      <c r="J63" s="368"/>
      <c r="K63" s="814">
        <f t="shared" si="0"/>
        <v>0</v>
      </c>
      <c r="M63" s="804">
        <f t="shared" si="1"/>
        <v>0</v>
      </c>
    </row>
    <row r="64" spans="1:13" ht="12.75" customHeight="1">
      <c r="A64" s="367" t="s">
        <v>0</v>
      </c>
      <c r="B64" s="366">
        <v>0</v>
      </c>
      <c r="C64" s="366">
        <v>0</v>
      </c>
      <c r="D64" s="364" t="e">
        <f>C64/B64*100</f>
        <v>#DIV/0!</v>
      </c>
      <c r="E64" s="374">
        <f>C64-'[13]augusts'!C64</f>
        <v>0</v>
      </c>
      <c r="F64" s="367" t="s">
        <v>0</v>
      </c>
      <c r="G64" s="366">
        <f>ROUND(B64/1000,0)</f>
        <v>0</v>
      </c>
      <c r="H64" s="366">
        <f>ROUND(C64/1000,0)</f>
        <v>0</v>
      </c>
      <c r="I64" s="366">
        <v>0</v>
      </c>
      <c r="J64" s="368">
        <f>ROUND(E64/1000,0)</f>
        <v>0</v>
      </c>
      <c r="K64" s="814">
        <f t="shared" si="0"/>
        <v>0</v>
      </c>
      <c r="L64" s="804">
        <v>0</v>
      </c>
      <c r="M64" s="804">
        <f t="shared" si="1"/>
        <v>0</v>
      </c>
    </row>
    <row r="65" spans="1:13" ht="12.75" customHeight="1">
      <c r="A65" s="98" t="s">
        <v>175</v>
      </c>
      <c r="B65" s="366">
        <f>SUM(B66:B67)</f>
        <v>0</v>
      </c>
      <c r="C65" s="366">
        <f>SUM(C66:C67)</f>
        <v>0</v>
      </c>
      <c r="D65" s="364" t="e">
        <f>C65/B65*100</f>
        <v>#DIV/0!</v>
      </c>
      <c r="E65" s="368">
        <f>C65-'[4]janvāris'!C66</f>
        <v>0</v>
      </c>
      <c r="F65" s="98" t="s">
        <v>175</v>
      </c>
      <c r="G65" s="366">
        <f>SUM(G66:G67)</f>
        <v>0</v>
      </c>
      <c r="H65" s="366">
        <f>SUM(H66:H67)</f>
        <v>0</v>
      </c>
      <c r="I65" s="366">
        <f>SUM(I66:I67)</f>
        <v>0</v>
      </c>
      <c r="J65" s="368">
        <f>SUM(J66:J67)</f>
        <v>0</v>
      </c>
      <c r="K65" s="814">
        <f t="shared" si="0"/>
        <v>0</v>
      </c>
      <c r="L65" s="804">
        <v>0</v>
      </c>
      <c r="M65" s="804">
        <f t="shared" si="1"/>
        <v>0</v>
      </c>
    </row>
    <row r="66" spans="1:13" ht="12.75" customHeight="1">
      <c r="A66" s="107" t="s">
        <v>875</v>
      </c>
      <c r="B66" s="368"/>
      <c r="C66" s="368"/>
      <c r="D66" s="364" t="e">
        <f>C66/B66*100</f>
        <v>#DIV/0!</v>
      </c>
      <c r="E66" s="368">
        <f>C66-'[13]augusts'!C66</f>
        <v>0</v>
      </c>
      <c r="F66" s="107" t="s">
        <v>875</v>
      </c>
      <c r="G66" s="368">
        <f>ROUND(B66/1000,0)</f>
        <v>0</v>
      </c>
      <c r="H66" s="368">
        <f>ROUND(C66/1000,0)</f>
        <v>0</v>
      </c>
      <c r="I66" s="370">
        <v>0</v>
      </c>
      <c r="J66" s="368">
        <f>ROUND(E66/1000,0)</f>
        <v>0</v>
      </c>
      <c r="K66" s="814">
        <f t="shared" si="0"/>
        <v>0</v>
      </c>
      <c r="L66" s="804">
        <v>0</v>
      </c>
      <c r="M66" s="804">
        <f t="shared" si="1"/>
        <v>0</v>
      </c>
    </row>
    <row r="67" spans="1:13" ht="12.75" customHeight="1">
      <c r="A67" s="107" t="s">
        <v>876</v>
      </c>
      <c r="B67" s="368"/>
      <c r="C67" s="368"/>
      <c r="D67" s="364" t="e">
        <f>C67/B67*100</f>
        <v>#DIV/0!</v>
      </c>
      <c r="E67" s="368">
        <f>C67-'[13]augusts'!C67</f>
        <v>0</v>
      </c>
      <c r="F67" s="107" t="s">
        <v>876</v>
      </c>
      <c r="G67" s="368">
        <f>ROUND(B67/1000,0)</f>
        <v>0</v>
      </c>
      <c r="H67" s="368">
        <f>ROUND(C67/1000,0)</f>
        <v>0</v>
      </c>
      <c r="I67" s="370">
        <v>0</v>
      </c>
      <c r="J67" s="368">
        <f>ROUND(E67/1000,0)</f>
        <v>0</v>
      </c>
      <c r="K67" s="814">
        <f t="shared" si="0"/>
        <v>0</v>
      </c>
      <c r="L67" s="804">
        <v>0</v>
      </c>
      <c r="M67" s="804">
        <f t="shared" si="1"/>
        <v>0</v>
      </c>
    </row>
    <row r="68" spans="1:13" ht="12.75" customHeight="1">
      <c r="A68" s="212" t="s">
        <v>903</v>
      </c>
      <c r="B68" s="366"/>
      <c r="C68" s="366"/>
      <c r="D68" s="364"/>
      <c r="E68" s="368"/>
      <c r="F68" s="212" t="s">
        <v>903</v>
      </c>
      <c r="G68" s="366"/>
      <c r="H68" s="366"/>
      <c r="I68" s="364"/>
      <c r="J68" s="368"/>
      <c r="K68" s="814">
        <f t="shared" si="0"/>
        <v>0</v>
      </c>
      <c r="M68" s="804">
        <f t="shared" si="1"/>
        <v>0</v>
      </c>
    </row>
    <row r="69" spans="1:13" s="223" customFormat="1" ht="12.75" customHeight="1">
      <c r="A69" s="371" t="s">
        <v>0</v>
      </c>
      <c r="B69" s="372">
        <v>843354</v>
      </c>
      <c r="C69" s="372">
        <f>439626+53595</f>
        <v>493221</v>
      </c>
      <c r="D69" s="379">
        <f>C69/B69*100</f>
        <v>58.483270370449425</v>
      </c>
      <c r="E69" s="374">
        <f>C69-'[13]augusts'!C69</f>
        <v>-5337</v>
      </c>
      <c r="F69" s="371" t="s">
        <v>610</v>
      </c>
      <c r="G69" s="372">
        <f>ROUND(B69/1000,0)</f>
        <v>843</v>
      </c>
      <c r="H69" s="372">
        <f>ROUND(C69/1000,0)</f>
        <v>493</v>
      </c>
      <c r="I69" s="373">
        <f>H69/G69*100</f>
        <v>58.481613285883746</v>
      </c>
      <c r="J69" s="374">
        <f>ROUND(E69/1000,0)-1</f>
        <v>-6</v>
      </c>
      <c r="K69" s="814">
        <f t="shared" si="0"/>
        <v>493</v>
      </c>
      <c r="L69" s="804">
        <v>499</v>
      </c>
      <c r="M69" s="804">
        <f t="shared" si="1"/>
        <v>-6</v>
      </c>
    </row>
    <row r="70" spans="1:13" s="223" customFormat="1" ht="12.75" customHeight="1">
      <c r="A70" s="375" t="s">
        <v>175</v>
      </c>
      <c r="B70" s="372">
        <f>SUM(B71:B72)</f>
        <v>914455</v>
      </c>
      <c r="C70" s="372">
        <f>SUM(C71:C72)</f>
        <v>651061</v>
      </c>
      <c r="D70" s="379">
        <f>C70/B70*100</f>
        <v>71.19661437686928</v>
      </c>
      <c r="E70" s="374">
        <f>E71+E72</f>
        <v>23495</v>
      </c>
      <c r="F70" s="375" t="s">
        <v>175</v>
      </c>
      <c r="G70" s="372">
        <f>SUM(G71:G72)</f>
        <v>914</v>
      </c>
      <c r="H70" s="372">
        <f>SUM(H71:H72)</f>
        <v>651</v>
      </c>
      <c r="I70" s="373">
        <f>H70/G70*100</f>
        <v>71.2253829321663</v>
      </c>
      <c r="J70" s="374">
        <f>SUM(J71:J72)</f>
        <v>23</v>
      </c>
      <c r="K70" s="814">
        <f t="shared" si="0"/>
        <v>651</v>
      </c>
      <c r="L70" s="804">
        <v>628</v>
      </c>
      <c r="M70" s="804">
        <f t="shared" si="1"/>
        <v>23</v>
      </c>
    </row>
    <row r="71" spans="1:13" s="223" customFormat="1" ht="12.75" customHeight="1">
      <c r="A71" s="376" t="s">
        <v>875</v>
      </c>
      <c r="B71" s="374">
        <v>893566</v>
      </c>
      <c r="C71" s="374">
        <f>584931+53595</f>
        <v>638526</v>
      </c>
      <c r="D71" s="379">
        <f>C71/B71*100</f>
        <v>71.45817992179649</v>
      </c>
      <c r="E71" s="374">
        <f>C71-'[13]augusts'!C71</f>
        <v>23420</v>
      </c>
      <c r="F71" s="376" t="s">
        <v>611</v>
      </c>
      <c r="G71" s="374">
        <f>ROUND(B71/1000,0)-1</f>
        <v>893</v>
      </c>
      <c r="H71" s="374">
        <f>ROUND(C71/1000,0)</f>
        <v>639</v>
      </c>
      <c r="I71" s="377">
        <f>H71/G71*100</f>
        <v>71.55655095184771</v>
      </c>
      <c r="J71" s="374">
        <f>ROUND(E71/1000,0)</f>
        <v>23</v>
      </c>
      <c r="K71" s="814">
        <f t="shared" si="0"/>
        <v>639</v>
      </c>
      <c r="L71" s="804">
        <v>615</v>
      </c>
      <c r="M71" s="804">
        <f t="shared" si="1"/>
        <v>24</v>
      </c>
    </row>
    <row r="72" spans="1:13" s="223" customFormat="1" ht="12.75" customHeight="1">
      <c r="A72" s="376" t="s">
        <v>876</v>
      </c>
      <c r="B72" s="374">
        <v>20889</v>
      </c>
      <c r="C72" s="374">
        <v>12535</v>
      </c>
      <c r="D72" s="379">
        <f>C72/B72*100</f>
        <v>60.007659533725885</v>
      </c>
      <c r="E72" s="374">
        <f>C72-'[13]augusts'!C72</f>
        <v>75</v>
      </c>
      <c r="F72" s="376" t="s">
        <v>876</v>
      </c>
      <c r="G72" s="374">
        <f>ROUND(B72/1000,0)</f>
        <v>21</v>
      </c>
      <c r="H72" s="374">
        <f>ROUND(C72/1000,0)-1</f>
        <v>12</v>
      </c>
      <c r="I72" s="377">
        <f>H72/G72*100</f>
        <v>57.14285714285714</v>
      </c>
      <c r="J72" s="374">
        <f>ROUND(E72/1000,0)</f>
        <v>0</v>
      </c>
      <c r="K72" s="814">
        <f t="shared" si="0"/>
        <v>12</v>
      </c>
      <c r="L72" s="804">
        <v>13</v>
      </c>
      <c r="M72" s="804">
        <f t="shared" si="1"/>
        <v>-1</v>
      </c>
    </row>
    <row r="73" spans="1:13" ht="12.75" customHeight="1">
      <c r="A73" s="212" t="s">
        <v>905</v>
      </c>
      <c r="B73" s="366"/>
      <c r="C73" s="366"/>
      <c r="D73" s="364"/>
      <c r="E73" s="368"/>
      <c r="F73" s="212" t="s">
        <v>905</v>
      </c>
      <c r="G73" s="366"/>
      <c r="H73" s="366"/>
      <c r="I73" s="364"/>
      <c r="J73" s="368"/>
      <c r="K73" s="814">
        <f t="shared" si="0"/>
        <v>0</v>
      </c>
      <c r="M73" s="804">
        <f t="shared" si="1"/>
        <v>0</v>
      </c>
    </row>
    <row r="74" spans="1:13" ht="12.75" customHeight="1">
      <c r="A74" s="367" t="s">
        <v>0</v>
      </c>
      <c r="B74" s="366">
        <v>254419</v>
      </c>
      <c r="C74" s="366">
        <v>72698</v>
      </c>
      <c r="D74" s="364">
        <f>C74/B74*100</f>
        <v>28.574123787924645</v>
      </c>
      <c r="E74" s="368">
        <f>C74-'[13]augusts'!C74</f>
        <v>437</v>
      </c>
      <c r="F74" s="367" t="s">
        <v>0</v>
      </c>
      <c r="G74" s="366">
        <f>ROUND(B74/1000,0)</f>
        <v>254</v>
      </c>
      <c r="H74" s="366">
        <f>ROUND(C74/1000,0)</f>
        <v>73</v>
      </c>
      <c r="I74" s="369">
        <f>H74/G74*100</f>
        <v>28.74015748031496</v>
      </c>
      <c r="J74" s="368">
        <f>ROUND(E74/1000,0)+1</f>
        <v>1</v>
      </c>
      <c r="K74" s="814">
        <f aca="true" t="shared" si="2" ref="K74:K137">H74</f>
        <v>73</v>
      </c>
      <c r="L74" s="804">
        <v>72</v>
      </c>
      <c r="M74" s="804">
        <f aca="true" t="shared" si="3" ref="M74:M137">K74-L74</f>
        <v>1</v>
      </c>
    </row>
    <row r="75" spans="1:13" ht="12.75" customHeight="1">
      <c r="A75" s="98" t="s">
        <v>175</v>
      </c>
      <c r="B75" s="366">
        <f>SUM(B76:B77)</f>
        <v>291244</v>
      </c>
      <c r="C75" s="366">
        <f>SUM(C76:C77)</f>
        <v>64162</v>
      </c>
      <c r="D75" s="364">
        <f>C75/B75*100</f>
        <v>22.03032508824216</v>
      </c>
      <c r="E75" s="366">
        <f>E76+E77</f>
        <v>9737</v>
      </c>
      <c r="F75" s="98" t="s">
        <v>175</v>
      </c>
      <c r="G75" s="366">
        <f>SUM(G76:G77)</f>
        <v>291</v>
      </c>
      <c r="H75" s="366">
        <f>SUM(H76:H77)</f>
        <v>64</v>
      </c>
      <c r="I75" s="369">
        <f>H75/G75*100</f>
        <v>21.993127147766323</v>
      </c>
      <c r="J75" s="368">
        <f>SUM(J76:J77)</f>
        <v>10</v>
      </c>
      <c r="K75" s="814">
        <f t="shared" si="2"/>
        <v>64</v>
      </c>
      <c r="L75" s="804">
        <v>54</v>
      </c>
      <c r="M75" s="804">
        <f t="shared" si="3"/>
        <v>10</v>
      </c>
    </row>
    <row r="76" spans="1:13" ht="12.75" customHeight="1">
      <c r="A76" s="107" t="s">
        <v>875</v>
      </c>
      <c r="B76" s="368">
        <v>284989</v>
      </c>
      <c r="C76" s="368">
        <v>60422</v>
      </c>
      <c r="D76" s="364">
        <f>C76/B76*100</f>
        <v>21.201520058668933</v>
      </c>
      <c r="E76" s="368">
        <f>C76-'[13]augusts'!C76</f>
        <v>7042</v>
      </c>
      <c r="F76" s="107" t="s">
        <v>875</v>
      </c>
      <c r="G76" s="368">
        <f>ROUND(B76/1000,0)</f>
        <v>285</v>
      </c>
      <c r="H76" s="368">
        <f>ROUND(C76/1000,0)</f>
        <v>60</v>
      </c>
      <c r="I76" s="370">
        <f>H76/G76*100</f>
        <v>21.052631578947366</v>
      </c>
      <c r="J76" s="368">
        <f>ROUND(E76/1000,0)</f>
        <v>7</v>
      </c>
      <c r="K76" s="814">
        <f t="shared" si="2"/>
        <v>60</v>
      </c>
      <c r="L76" s="804">
        <v>53</v>
      </c>
      <c r="M76" s="804">
        <f t="shared" si="3"/>
        <v>7</v>
      </c>
    </row>
    <row r="77" spans="1:13" ht="12.75" customHeight="1">
      <c r="A77" s="107" t="s">
        <v>876</v>
      </c>
      <c r="B77" s="368">
        <v>6255</v>
      </c>
      <c r="C77" s="368">
        <v>3740</v>
      </c>
      <c r="D77" s="364">
        <f>C77/B77*100</f>
        <v>59.79216626698641</v>
      </c>
      <c r="E77" s="368">
        <f>C77-'[13]augusts'!C77</f>
        <v>2695</v>
      </c>
      <c r="F77" s="107" t="s">
        <v>876</v>
      </c>
      <c r="G77" s="368">
        <f>ROUND(B77/1000,0)</f>
        <v>6</v>
      </c>
      <c r="H77" s="368">
        <f>ROUND(C77/1000,0)</f>
        <v>4</v>
      </c>
      <c r="I77" s="370">
        <f>H77/G77*100</f>
        <v>66.66666666666666</v>
      </c>
      <c r="J77" s="368">
        <f>ROUND(E77/1000,0)</f>
        <v>3</v>
      </c>
      <c r="K77" s="814">
        <f t="shared" si="2"/>
        <v>4</v>
      </c>
      <c r="L77" s="804">
        <v>1</v>
      </c>
      <c r="M77" s="804">
        <f t="shared" si="3"/>
        <v>3</v>
      </c>
    </row>
    <row r="78" spans="1:13" ht="25.5">
      <c r="A78" s="92" t="s">
        <v>907</v>
      </c>
      <c r="B78" s="366"/>
      <c r="C78" s="366"/>
      <c r="D78" s="364"/>
      <c r="E78" s="368"/>
      <c r="F78" s="92" t="s">
        <v>907</v>
      </c>
      <c r="G78" s="366"/>
      <c r="H78" s="366"/>
      <c r="I78" s="364"/>
      <c r="J78" s="368"/>
      <c r="K78" s="814">
        <f t="shared" si="2"/>
        <v>0</v>
      </c>
      <c r="M78" s="804">
        <f t="shared" si="3"/>
        <v>0</v>
      </c>
    </row>
    <row r="79" spans="1:13" ht="12.75" customHeight="1">
      <c r="A79" s="367" t="s">
        <v>0</v>
      </c>
      <c r="B79" s="372">
        <v>37715</v>
      </c>
      <c r="C79" s="366">
        <v>20715</v>
      </c>
      <c r="D79" s="364">
        <f>C79/B79*100</f>
        <v>54.925096115603864</v>
      </c>
      <c r="E79" s="368">
        <f>C79-'[13]augusts'!C79</f>
        <v>780</v>
      </c>
      <c r="F79" s="367" t="s">
        <v>0</v>
      </c>
      <c r="G79" s="366">
        <f>ROUND(B79/1000,0)</f>
        <v>38</v>
      </c>
      <c r="H79" s="366">
        <f>ROUND(C79/1000,0)</f>
        <v>21</v>
      </c>
      <c r="I79" s="369">
        <f>H79/G79*100</f>
        <v>55.26315789473685</v>
      </c>
      <c r="J79" s="368">
        <f>ROUND(E79/1000,0)</f>
        <v>1</v>
      </c>
      <c r="K79" s="814">
        <f t="shared" si="2"/>
        <v>21</v>
      </c>
      <c r="L79" s="804">
        <v>20</v>
      </c>
      <c r="M79" s="804">
        <f t="shared" si="3"/>
        <v>1</v>
      </c>
    </row>
    <row r="80" spans="1:13" ht="12.75" customHeight="1">
      <c r="A80" s="98" t="s">
        <v>175</v>
      </c>
      <c r="B80" s="372">
        <f>SUM(B81:B82)</f>
        <v>186444</v>
      </c>
      <c r="C80" s="372">
        <f>SUM(C81:C82)</f>
        <v>62341</v>
      </c>
      <c r="D80" s="364">
        <f>C80/B80*100</f>
        <v>33.4368496706786</v>
      </c>
      <c r="E80" s="372">
        <f>E81+E82</f>
        <v>3731</v>
      </c>
      <c r="F80" s="98" t="s">
        <v>175</v>
      </c>
      <c r="G80" s="366">
        <f>SUM(G81:G82)</f>
        <v>186</v>
      </c>
      <c r="H80" s="366">
        <f>SUM(H81:H82)</f>
        <v>62</v>
      </c>
      <c r="I80" s="369">
        <f>H80/G80*100</f>
        <v>33.33333333333333</v>
      </c>
      <c r="J80" s="368">
        <f>SUM(J81:J82)</f>
        <v>4</v>
      </c>
      <c r="K80" s="814">
        <f t="shared" si="2"/>
        <v>62</v>
      </c>
      <c r="L80" s="804">
        <v>59</v>
      </c>
      <c r="M80" s="804">
        <f t="shared" si="3"/>
        <v>3</v>
      </c>
    </row>
    <row r="81" spans="1:13" ht="12.75" customHeight="1">
      <c r="A81" s="107" t="s">
        <v>875</v>
      </c>
      <c r="B81" s="374">
        <v>175300</v>
      </c>
      <c r="C81" s="368">
        <v>53376</v>
      </c>
      <c r="D81" s="364">
        <f>C81/B81*100</f>
        <v>30.44837421563035</v>
      </c>
      <c r="E81" s="368">
        <f>C81-'[13]augusts'!C81</f>
        <v>3731</v>
      </c>
      <c r="F81" s="107" t="s">
        <v>875</v>
      </c>
      <c r="G81" s="368">
        <f>ROUND(B81/1000,0)</f>
        <v>175</v>
      </c>
      <c r="H81" s="368">
        <f>ROUND(C81/1000,0)</f>
        <v>53</v>
      </c>
      <c r="I81" s="370">
        <f>H81/G81*100</f>
        <v>30.28571428571429</v>
      </c>
      <c r="J81" s="368">
        <f>ROUND(E81/1000,0)</f>
        <v>4</v>
      </c>
      <c r="K81" s="814">
        <f t="shared" si="2"/>
        <v>53</v>
      </c>
      <c r="L81" s="804">
        <v>50</v>
      </c>
      <c r="M81" s="804">
        <f t="shared" si="3"/>
        <v>3</v>
      </c>
    </row>
    <row r="82" spans="1:13" ht="12.75" customHeight="1">
      <c r="A82" s="107" t="s">
        <v>876</v>
      </c>
      <c r="B82" s="374">
        <v>11144</v>
      </c>
      <c r="C82" s="368">
        <v>8965</v>
      </c>
      <c r="D82" s="364">
        <f>C82/B82*100</f>
        <v>80.44687724335967</v>
      </c>
      <c r="E82" s="368">
        <f>C82-'[13]augusts'!C82</f>
        <v>0</v>
      </c>
      <c r="F82" s="107" t="s">
        <v>876</v>
      </c>
      <c r="G82" s="368">
        <f>ROUND(B82/1000,0)</f>
        <v>11</v>
      </c>
      <c r="H82" s="368">
        <f>ROUND(C82/1000,0)</f>
        <v>9</v>
      </c>
      <c r="I82" s="370">
        <f>H82/G82*100</f>
        <v>81.81818181818183</v>
      </c>
      <c r="J82" s="368">
        <f>ROUND(E82/1000,0)</f>
        <v>0</v>
      </c>
      <c r="K82" s="814">
        <f t="shared" si="2"/>
        <v>9</v>
      </c>
      <c r="L82" s="804">
        <v>9</v>
      </c>
      <c r="M82" s="804">
        <f t="shared" si="3"/>
        <v>0</v>
      </c>
    </row>
    <row r="83" spans="1:13" ht="12.75" customHeight="1">
      <c r="A83" s="212" t="s">
        <v>909</v>
      </c>
      <c r="B83" s="372"/>
      <c r="C83" s="366"/>
      <c r="D83" s="364"/>
      <c r="E83" s="368"/>
      <c r="F83" s="212" t="s">
        <v>909</v>
      </c>
      <c r="G83" s="366"/>
      <c r="H83" s="366"/>
      <c r="I83" s="364"/>
      <c r="J83" s="368"/>
      <c r="K83" s="814">
        <f t="shared" si="2"/>
        <v>0</v>
      </c>
      <c r="M83" s="804">
        <f t="shared" si="3"/>
        <v>0</v>
      </c>
    </row>
    <row r="84" spans="1:13" ht="12.75" customHeight="1">
      <c r="A84" s="367" t="s">
        <v>0</v>
      </c>
      <c r="B84" s="372">
        <v>1222477</v>
      </c>
      <c r="C84" s="366">
        <v>953478</v>
      </c>
      <c r="D84" s="364">
        <f>C84/B84*100</f>
        <v>77.99557783091215</v>
      </c>
      <c r="E84" s="368">
        <f>C84-'[13]augusts'!C84</f>
        <v>36918</v>
      </c>
      <c r="F84" s="367" t="s">
        <v>0</v>
      </c>
      <c r="G84" s="366">
        <f>ROUND(B84/1000,0)+1</f>
        <v>1223</v>
      </c>
      <c r="H84" s="366">
        <f>ROUND(C84/1000,0)+1</f>
        <v>954</v>
      </c>
      <c r="I84" s="369">
        <f>H84/G84*100</f>
        <v>78.00490596892887</v>
      </c>
      <c r="J84" s="368">
        <f>ROUND(E84/1000,0)</f>
        <v>37</v>
      </c>
      <c r="K84" s="814">
        <f t="shared" si="2"/>
        <v>954</v>
      </c>
      <c r="L84" s="804">
        <v>917</v>
      </c>
      <c r="M84" s="804">
        <f t="shared" si="3"/>
        <v>37</v>
      </c>
    </row>
    <row r="85" spans="1:13" ht="12.75" customHeight="1">
      <c r="A85" s="98" t="s">
        <v>175</v>
      </c>
      <c r="B85" s="366">
        <f>SUM(B86:B87)</f>
        <v>1359683</v>
      </c>
      <c r="C85" s="366">
        <f>SUM(C86:C87)</f>
        <v>866961</v>
      </c>
      <c r="D85" s="364">
        <f>C85/B85*100</f>
        <v>63.761994523723544</v>
      </c>
      <c r="E85" s="368">
        <f>E86+E87</f>
        <v>160363</v>
      </c>
      <c r="F85" s="98" t="s">
        <v>175</v>
      </c>
      <c r="G85" s="366">
        <f>SUM(G86:G87)</f>
        <v>1360</v>
      </c>
      <c r="H85" s="366">
        <f>SUM(H86:H87)</f>
        <v>867</v>
      </c>
      <c r="I85" s="369">
        <f>H85/G85*100</f>
        <v>63.74999999999999</v>
      </c>
      <c r="J85" s="368">
        <f>SUM(J86:J87)</f>
        <v>160</v>
      </c>
      <c r="K85" s="814">
        <f t="shared" si="2"/>
        <v>867</v>
      </c>
      <c r="L85" s="804">
        <v>707</v>
      </c>
      <c r="M85" s="804">
        <f t="shared" si="3"/>
        <v>160</v>
      </c>
    </row>
    <row r="86" spans="1:13" ht="12.75" customHeight="1">
      <c r="A86" s="107" t="s">
        <v>875</v>
      </c>
      <c r="B86" s="368">
        <v>1244150</v>
      </c>
      <c r="C86" s="368">
        <v>810129</v>
      </c>
      <c r="D86" s="364">
        <f>C86/B86*100</f>
        <v>65.11505847365672</v>
      </c>
      <c r="E86" s="368">
        <f>C86-'[13]augusts'!C86</f>
        <v>147760</v>
      </c>
      <c r="F86" s="107" t="s">
        <v>875</v>
      </c>
      <c r="G86" s="368">
        <f>ROUND(B86/1000,0)</f>
        <v>1244</v>
      </c>
      <c r="H86" s="368">
        <f>ROUND(C86/1000,0)</f>
        <v>810</v>
      </c>
      <c r="I86" s="370">
        <f>H86/G86*100</f>
        <v>65.11254019292605</v>
      </c>
      <c r="J86" s="368">
        <f>ROUND(E86/1000,0)</f>
        <v>148</v>
      </c>
      <c r="K86" s="814">
        <f t="shared" si="2"/>
        <v>810</v>
      </c>
      <c r="L86" s="804">
        <v>663</v>
      </c>
      <c r="M86" s="804">
        <f t="shared" si="3"/>
        <v>147</v>
      </c>
    </row>
    <row r="87" spans="1:13" ht="12.75" customHeight="1">
      <c r="A87" s="107" t="s">
        <v>876</v>
      </c>
      <c r="B87" s="368">
        <v>115533</v>
      </c>
      <c r="C87" s="368">
        <v>56832</v>
      </c>
      <c r="D87" s="364">
        <f>C87/B87*100</f>
        <v>49.191140193710886</v>
      </c>
      <c r="E87" s="368">
        <f>C87-'[13]augusts'!C87</f>
        <v>12603</v>
      </c>
      <c r="F87" s="107" t="s">
        <v>876</v>
      </c>
      <c r="G87" s="368">
        <f>ROUND(B87/1000,0)</f>
        <v>116</v>
      </c>
      <c r="H87" s="368">
        <f>ROUND(C87/1000,0)</f>
        <v>57</v>
      </c>
      <c r="I87" s="370">
        <f>H87/G87*100</f>
        <v>49.137931034482754</v>
      </c>
      <c r="J87" s="368">
        <f>ROUND(E87/1000,0)-1</f>
        <v>12</v>
      </c>
      <c r="K87" s="814">
        <f t="shared" si="2"/>
        <v>57</v>
      </c>
      <c r="L87" s="804">
        <v>44</v>
      </c>
      <c r="M87" s="804">
        <f t="shared" si="3"/>
        <v>13</v>
      </c>
    </row>
    <row r="88" spans="1:13" ht="12.75" customHeight="1">
      <c r="A88" s="212" t="s">
        <v>911</v>
      </c>
      <c r="B88" s="368"/>
      <c r="C88" s="368"/>
      <c r="D88" s="364"/>
      <c r="E88" s="368"/>
      <c r="F88" s="212" t="s">
        <v>911</v>
      </c>
      <c r="G88" s="366"/>
      <c r="H88" s="366"/>
      <c r="I88" s="364"/>
      <c r="J88" s="368"/>
      <c r="K88" s="814">
        <f t="shared" si="2"/>
        <v>0</v>
      </c>
      <c r="M88" s="804">
        <f t="shared" si="3"/>
        <v>0</v>
      </c>
    </row>
    <row r="89" spans="1:13" ht="12.75" customHeight="1">
      <c r="A89" s="367" t="s">
        <v>0</v>
      </c>
      <c r="B89" s="368"/>
      <c r="C89" s="368"/>
      <c r="D89" s="364" t="e">
        <f>C89/B89*100</f>
        <v>#DIV/0!</v>
      </c>
      <c r="E89" s="368">
        <f>C89-'[13]augusts'!C89</f>
        <v>0</v>
      </c>
      <c r="F89" s="367" t="s">
        <v>0</v>
      </c>
      <c r="G89" s="366">
        <f>ROUND(B89/1000,0)</f>
        <v>0</v>
      </c>
      <c r="H89" s="366">
        <f>ROUND(C89/1000,0)</f>
        <v>0</v>
      </c>
      <c r="I89" s="369"/>
      <c r="J89" s="368">
        <f>ROUND(E89/1000,0)</f>
        <v>0</v>
      </c>
      <c r="K89" s="814">
        <f t="shared" si="2"/>
        <v>0</v>
      </c>
      <c r="L89" s="804">
        <v>0</v>
      </c>
      <c r="M89" s="804">
        <f t="shared" si="3"/>
        <v>0</v>
      </c>
    </row>
    <row r="90" spans="1:13" ht="12.75" customHeight="1">
      <c r="A90" s="98" t="s">
        <v>175</v>
      </c>
      <c r="B90" s="368">
        <f>SUM(B91:B92)</f>
        <v>0</v>
      </c>
      <c r="C90" s="368">
        <f>SUM(C91:C92)</f>
        <v>0</v>
      </c>
      <c r="D90" s="364" t="e">
        <f>C90/B90*100</f>
        <v>#DIV/0!</v>
      </c>
      <c r="E90" s="368">
        <f>E91+E92</f>
        <v>0</v>
      </c>
      <c r="F90" s="98" t="s">
        <v>175</v>
      </c>
      <c r="G90" s="366">
        <f>SUM(G91:G92)</f>
        <v>0</v>
      </c>
      <c r="H90" s="366">
        <f>SUM(H91:H92)</f>
        <v>0</v>
      </c>
      <c r="I90" s="369"/>
      <c r="J90" s="368">
        <f>SUM(J91:J92)</f>
        <v>0</v>
      </c>
      <c r="K90" s="814">
        <f t="shared" si="2"/>
        <v>0</v>
      </c>
      <c r="L90" s="804">
        <v>0</v>
      </c>
      <c r="M90" s="804">
        <f t="shared" si="3"/>
        <v>0</v>
      </c>
    </row>
    <row r="91" spans="1:13" ht="12.75" customHeight="1">
      <c r="A91" s="107" t="s">
        <v>875</v>
      </c>
      <c r="B91" s="368"/>
      <c r="C91" s="368"/>
      <c r="D91" s="364" t="e">
        <f>C91/B91*100</f>
        <v>#DIV/0!</v>
      </c>
      <c r="E91" s="368">
        <f>C91-'[13]augusts'!C91</f>
        <v>0</v>
      </c>
      <c r="F91" s="107" t="s">
        <v>875</v>
      </c>
      <c r="G91" s="368">
        <f>ROUND(B91/1000,0)</f>
        <v>0</v>
      </c>
      <c r="H91" s="368">
        <f>ROUND(C91/1000,0)</f>
        <v>0</v>
      </c>
      <c r="I91" s="370"/>
      <c r="J91" s="368">
        <f>ROUND(E91/1000,0)</f>
        <v>0</v>
      </c>
      <c r="K91" s="814">
        <f t="shared" si="2"/>
        <v>0</v>
      </c>
      <c r="L91" s="804">
        <v>0</v>
      </c>
      <c r="M91" s="804">
        <f t="shared" si="3"/>
        <v>0</v>
      </c>
    </row>
    <row r="92" spans="1:13" ht="12.75" customHeight="1">
      <c r="A92" s="107" t="s">
        <v>876</v>
      </c>
      <c r="B92" s="368"/>
      <c r="C92" s="368"/>
      <c r="D92" s="364" t="e">
        <f>C92/B92*100</f>
        <v>#DIV/0!</v>
      </c>
      <c r="E92" s="368">
        <f>C92-'[13]augusts'!C92</f>
        <v>0</v>
      </c>
      <c r="F92" s="107" t="s">
        <v>876</v>
      </c>
      <c r="G92" s="368">
        <f>ROUND(B92/1000,0)</f>
        <v>0</v>
      </c>
      <c r="H92" s="368">
        <f>ROUND(C92/1000,0)</f>
        <v>0</v>
      </c>
      <c r="I92" s="370"/>
      <c r="J92" s="368">
        <f>ROUND(E92/1000,0)</f>
        <v>0</v>
      </c>
      <c r="K92" s="814">
        <f t="shared" si="2"/>
        <v>0</v>
      </c>
      <c r="L92" s="804">
        <v>0</v>
      </c>
      <c r="M92" s="804">
        <f t="shared" si="3"/>
        <v>0</v>
      </c>
    </row>
    <row r="93" spans="1:13" ht="12.75" customHeight="1">
      <c r="A93" s="212" t="s">
        <v>913</v>
      </c>
      <c r="B93" s="368"/>
      <c r="C93" s="368"/>
      <c r="D93" s="364"/>
      <c r="E93" s="368"/>
      <c r="F93" s="212" t="s">
        <v>913</v>
      </c>
      <c r="G93" s="366"/>
      <c r="H93" s="366"/>
      <c r="I93" s="364"/>
      <c r="J93" s="368"/>
      <c r="K93" s="814">
        <f t="shared" si="2"/>
        <v>0</v>
      </c>
      <c r="M93" s="804">
        <f t="shared" si="3"/>
        <v>0</v>
      </c>
    </row>
    <row r="94" spans="1:13" ht="12.75" customHeight="1">
      <c r="A94" s="367" t="s">
        <v>0</v>
      </c>
      <c r="B94" s="366"/>
      <c r="C94" s="366"/>
      <c r="D94" s="364" t="e">
        <f>C94/B94*100</f>
        <v>#DIV/0!</v>
      </c>
      <c r="E94" s="368">
        <f>C94-'[13]augusts'!C94</f>
        <v>0</v>
      </c>
      <c r="F94" s="367" t="s">
        <v>0</v>
      </c>
      <c r="G94" s="366">
        <f>ROUND(B94/1000,0)</f>
        <v>0</v>
      </c>
      <c r="H94" s="366">
        <f>ROUND(C94/1000,0)</f>
        <v>0</v>
      </c>
      <c r="I94" s="369"/>
      <c r="J94" s="368">
        <f>ROUND(E94/1000,0)</f>
        <v>0</v>
      </c>
      <c r="K94" s="814">
        <f t="shared" si="2"/>
        <v>0</v>
      </c>
      <c r="L94" s="804">
        <v>0</v>
      </c>
      <c r="M94" s="804">
        <f t="shared" si="3"/>
        <v>0</v>
      </c>
    </row>
    <row r="95" spans="1:13" ht="12.75" customHeight="1">
      <c r="A95" s="98" t="s">
        <v>175</v>
      </c>
      <c r="B95" s="366">
        <f>SUM(B96:B97)</f>
        <v>0</v>
      </c>
      <c r="C95" s="366">
        <f>SUM(C96:C97)</f>
        <v>0</v>
      </c>
      <c r="D95" s="364" t="e">
        <f>C95/B95*100</f>
        <v>#DIV/0!</v>
      </c>
      <c r="E95" s="368">
        <f>E96+E97</f>
        <v>0</v>
      </c>
      <c r="F95" s="98" t="s">
        <v>175</v>
      </c>
      <c r="G95" s="366">
        <f>SUM(G96:G97)</f>
        <v>0</v>
      </c>
      <c r="H95" s="366">
        <f>SUM(H96:H97)</f>
        <v>0</v>
      </c>
      <c r="I95" s="369"/>
      <c r="J95" s="368">
        <f>SUM(J96:J97)</f>
        <v>0</v>
      </c>
      <c r="K95" s="814">
        <f t="shared" si="2"/>
        <v>0</v>
      </c>
      <c r="L95" s="804">
        <v>0</v>
      </c>
      <c r="M95" s="804">
        <f t="shared" si="3"/>
        <v>0</v>
      </c>
    </row>
    <row r="96" spans="1:13" ht="12.75" customHeight="1">
      <c r="A96" s="107" t="s">
        <v>875</v>
      </c>
      <c r="B96" s="368"/>
      <c r="C96" s="368"/>
      <c r="D96" s="364" t="e">
        <f>C96/B96*100</f>
        <v>#DIV/0!</v>
      </c>
      <c r="E96" s="368">
        <f>C96-'[13]augusts'!C96</f>
        <v>0</v>
      </c>
      <c r="F96" s="107" t="s">
        <v>875</v>
      </c>
      <c r="G96" s="368">
        <f>ROUND(B96/1000,0)</f>
        <v>0</v>
      </c>
      <c r="H96" s="368">
        <f>ROUND(C96/1000,0)</f>
        <v>0</v>
      </c>
      <c r="I96" s="370"/>
      <c r="J96" s="368">
        <f>ROUND(E96/1000,0)</f>
        <v>0</v>
      </c>
      <c r="K96" s="814">
        <f t="shared" si="2"/>
        <v>0</v>
      </c>
      <c r="L96" s="804">
        <v>0</v>
      </c>
      <c r="M96" s="804">
        <f t="shared" si="3"/>
        <v>0</v>
      </c>
    </row>
    <row r="97" spans="1:13" ht="12.75" customHeight="1">
      <c r="A97" s="107" t="s">
        <v>876</v>
      </c>
      <c r="B97" s="368"/>
      <c r="C97" s="374"/>
      <c r="D97" s="364" t="e">
        <f>C97/B97*100</f>
        <v>#DIV/0!</v>
      </c>
      <c r="E97" s="368">
        <f>C97-'[13]augusts'!C97</f>
        <v>0</v>
      </c>
      <c r="F97" s="107" t="s">
        <v>876</v>
      </c>
      <c r="G97" s="368">
        <f>ROUND(B97/1000,0)</f>
        <v>0</v>
      </c>
      <c r="H97" s="368">
        <f>ROUND(C97/1000,0)</f>
        <v>0</v>
      </c>
      <c r="I97" s="370"/>
      <c r="J97" s="368">
        <f>ROUND(E97/1000,0)</f>
        <v>0</v>
      </c>
      <c r="K97" s="814">
        <f t="shared" si="2"/>
        <v>0</v>
      </c>
      <c r="L97" s="804">
        <v>0</v>
      </c>
      <c r="M97" s="804">
        <f t="shared" si="3"/>
        <v>0</v>
      </c>
    </row>
    <row r="98" spans="1:13" ht="12.75" customHeight="1">
      <c r="A98" s="212" t="s">
        <v>915</v>
      </c>
      <c r="B98" s="366"/>
      <c r="C98" s="366"/>
      <c r="D98" s="364"/>
      <c r="E98" s="368"/>
      <c r="F98" s="212" t="s">
        <v>915</v>
      </c>
      <c r="G98" s="366"/>
      <c r="H98" s="366"/>
      <c r="I98" s="364"/>
      <c r="J98" s="368"/>
      <c r="K98" s="814">
        <f t="shared" si="2"/>
        <v>0</v>
      </c>
      <c r="M98" s="804">
        <f t="shared" si="3"/>
        <v>0</v>
      </c>
    </row>
    <row r="99" spans="1:13" ht="12.75" customHeight="1">
      <c r="A99" s="367" t="s">
        <v>0</v>
      </c>
      <c r="B99" s="366"/>
      <c r="C99" s="366"/>
      <c r="D99" s="364" t="e">
        <f>C99/B99*100</f>
        <v>#DIV/0!</v>
      </c>
      <c r="E99" s="368">
        <f>C99-'[13]augusts'!C99</f>
        <v>0</v>
      </c>
      <c r="F99" s="367" t="s">
        <v>0</v>
      </c>
      <c r="G99" s="366">
        <f>ROUND(B99/1000,0)</f>
        <v>0</v>
      </c>
      <c r="H99" s="366">
        <f>ROUND(C99/1000,0)</f>
        <v>0</v>
      </c>
      <c r="I99" s="369"/>
      <c r="J99" s="368">
        <f>ROUND(E99/1000,0)</f>
        <v>0</v>
      </c>
      <c r="K99" s="814">
        <f t="shared" si="2"/>
        <v>0</v>
      </c>
      <c r="L99" s="804">
        <v>0</v>
      </c>
      <c r="M99" s="804">
        <f t="shared" si="3"/>
        <v>0</v>
      </c>
    </row>
    <row r="100" spans="1:13" ht="12.75" customHeight="1">
      <c r="A100" s="98" t="s">
        <v>175</v>
      </c>
      <c r="B100" s="366">
        <f>SUM(B101:B102)</f>
        <v>0</v>
      </c>
      <c r="C100" s="366">
        <f>SUM(C101:C102)</f>
        <v>0</v>
      </c>
      <c r="D100" s="364" t="e">
        <f>C100/B100*100</f>
        <v>#DIV/0!</v>
      </c>
      <c r="E100" s="366">
        <f>E101+E102</f>
        <v>0</v>
      </c>
      <c r="F100" s="98" t="s">
        <v>175</v>
      </c>
      <c r="G100" s="366">
        <f>SUM(G101:G102)</f>
        <v>0</v>
      </c>
      <c r="H100" s="366">
        <f>SUM(H101:H102)</f>
        <v>0</v>
      </c>
      <c r="I100" s="369"/>
      <c r="J100" s="368">
        <f>SUM(J101:J102)</f>
        <v>0</v>
      </c>
      <c r="K100" s="814">
        <f t="shared" si="2"/>
        <v>0</v>
      </c>
      <c r="L100" s="804">
        <v>0</v>
      </c>
      <c r="M100" s="804">
        <f t="shared" si="3"/>
        <v>0</v>
      </c>
    </row>
    <row r="101" spans="1:13" ht="12.75" customHeight="1">
      <c r="A101" s="107" t="s">
        <v>875</v>
      </c>
      <c r="B101" s="366"/>
      <c r="C101" s="366"/>
      <c r="D101" s="364" t="e">
        <f>C101/B101*100</f>
        <v>#DIV/0!</v>
      </c>
      <c r="E101" s="366">
        <f>C101-'[13]augusts'!C101</f>
        <v>0</v>
      </c>
      <c r="F101" s="107" t="s">
        <v>875</v>
      </c>
      <c r="G101" s="368">
        <f>ROUND(B101/1000,0)</f>
        <v>0</v>
      </c>
      <c r="H101" s="368">
        <f>ROUND(C101/1000,0)</f>
        <v>0</v>
      </c>
      <c r="I101" s="370"/>
      <c r="J101" s="368">
        <f>ROUND(E101/1000,0)</f>
        <v>0</v>
      </c>
      <c r="K101" s="814">
        <f t="shared" si="2"/>
        <v>0</v>
      </c>
      <c r="L101" s="804">
        <v>0</v>
      </c>
      <c r="M101" s="804">
        <f t="shared" si="3"/>
        <v>0</v>
      </c>
    </row>
    <row r="102" spans="1:13" ht="12.75" customHeight="1">
      <c r="A102" s="107" t="s">
        <v>876</v>
      </c>
      <c r="B102" s="366"/>
      <c r="C102" s="366"/>
      <c r="D102" s="364" t="e">
        <f>C102/B102*100</f>
        <v>#DIV/0!</v>
      </c>
      <c r="E102" s="366">
        <f>C102-'[13]augusts'!C102</f>
        <v>0</v>
      </c>
      <c r="F102" s="107" t="s">
        <v>876</v>
      </c>
      <c r="G102" s="368">
        <f>ROUND(B102/1000,0)</f>
        <v>0</v>
      </c>
      <c r="H102" s="368">
        <f>ROUND(C102/1000,0)</f>
        <v>0</v>
      </c>
      <c r="I102" s="370"/>
      <c r="J102" s="368">
        <f>ROUND(E102/1000,0)</f>
        <v>0</v>
      </c>
      <c r="K102" s="814">
        <f t="shared" si="2"/>
        <v>0</v>
      </c>
      <c r="L102" s="804">
        <v>0</v>
      </c>
      <c r="M102" s="804">
        <f t="shared" si="3"/>
        <v>0</v>
      </c>
    </row>
    <row r="103" spans="1:13" ht="12.75" customHeight="1">
      <c r="A103" s="212" t="s">
        <v>917</v>
      </c>
      <c r="B103" s="366"/>
      <c r="C103" s="366"/>
      <c r="D103" s="364"/>
      <c r="E103" s="366"/>
      <c r="F103" s="212" t="s">
        <v>917</v>
      </c>
      <c r="G103" s="366"/>
      <c r="H103" s="366"/>
      <c r="I103" s="364"/>
      <c r="J103" s="368"/>
      <c r="K103" s="814">
        <f t="shared" si="2"/>
        <v>0</v>
      </c>
      <c r="M103" s="804">
        <f t="shared" si="3"/>
        <v>0</v>
      </c>
    </row>
    <row r="104" spans="1:13" ht="12.75" customHeight="1">
      <c r="A104" s="367" t="s">
        <v>0</v>
      </c>
      <c r="B104" s="366"/>
      <c r="C104" s="366"/>
      <c r="D104" s="364" t="e">
        <f>C104/B104*100</f>
        <v>#DIV/0!</v>
      </c>
      <c r="E104" s="366">
        <f>C104-'[13]augusts'!C104</f>
        <v>0</v>
      </c>
      <c r="F104" s="367" t="s">
        <v>0</v>
      </c>
      <c r="G104" s="366">
        <f>ROUND(B104/1000,0)</f>
        <v>0</v>
      </c>
      <c r="H104" s="366">
        <f>ROUND(C104/1000,0)</f>
        <v>0</v>
      </c>
      <c r="I104" s="369"/>
      <c r="J104" s="368">
        <f>ROUND(E104/1000,0)</f>
        <v>0</v>
      </c>
      <c r="K104" s="814">
        <f t="shared" si="2"/>
        <v>0</v>
      </c>
      <c r="L104" s="804">
        <v>0</v>
      </c>
      <c r="M104" s="804">
        <f t="shared" si="3"/>
        <v>0</v>
      </c>
    </row>
    <row r="105" spans="1:13" ht="12.75" customHeight="1">
      <c r="A105" s="98" t="s">
        <v>175</v>
      </c>
      <c r="B105" s="366">
        <f>SUM(B106:B107)</f>
        <v>0</v>
      </c>
      <c r="C105" s="366">
        <f>SUM(C106:C107)</f>
        <v>0</v>
      </c>
      <c r="D105" s="364" t="e">
        <f>C105/B105*100</f>
        <v>#DIV/0!</v>
      </c>
      <c r="E105" s="366">
        <f>E106+E107</f>
        <v>0</v>
      </c>
      <c r="F105" s="98" t="s">
        <v>175</v>
      </c>
      <c r="G105" s="366">
        <f>SUM(G106:G107)</f>
        <v>0</v>
      </c>
      <c r="H105" s="366">
        <f>SUM(H106:H107)</f>
        <v>0</v>
      </c>
      <c r="I105" s="369"/>
      <c r="J105" s="368">
        <f>SUM(J106:J107)</f>
        <v>0</v>
      </c>
      <c r="K105" s="814">
        <f t="shared" si="2"/>
        <v>0</v>
      </c>
      <c r="L105" s="804">
        <v>0</v>
      </c>
      <c r="M105" s="804">
        <f t="shared" si="3"/>
        <v>0</v>
      </c>
    </row>
    <row r="106" spans="1:13" ht="12.75" customHeight="1">
      <c r="A106" s="107" t="s">
        <v>875</v>
      </c>
      <c r="B106" s="366"/>
      <c r="C106" s="366"/>
      <c r="D106" s="364" t="e">
        <f>C106/B106*100</f>
        <v>#DIV/0!</v>
      </c>
      <c r="E106" s="366">
        <f>C106-'[13]augusts'!C106</f>
        <v>0</v>
      </c>
      <c r="F106" s="107" t="s">
        <v>875</v>
      </c>
      <c r="G106" s="368">
        <f>ROUND(B106/1000,0)</f>
        <v>0</v>
      </c>
      <c r="H106" s="368">
        <f>ROUND(C106/1000,0)</f>
        <v>0</v>
      </c>
      <c r="I106" s="370"/>
      <c r="J106" s="368">
        <f>ROUND(E106/1000,0)</f>
        <v>0</v>
      </c>
      <c r="K106" s="814">
        <f t="shared" si="2"/>
        <v>0</v>
      </c>
      <c r="L106" s="804">
        <v>0</v>
      </c>
      <c r="M106" s="804">
        <f t="shared" si="3"/>
        <v>0</v>
      </c>
    </row>
    <row r="107" spans="1:13" ht="12.75" customHeight="1">
      <c r="A107" s="107" t="s">
        <v>876</v>
      </c>
      <c r="B107" s="368"/>
      <c r="C107" s="368"/>
      <c r="D107" s="364" t="e">
        <f>C107/B107*100</f>
        <v>#DIV/0!</v>
      </c>
      <c r="E107" s="368">
        <f>C107-'[13]augusts'!C107</f>
        <v>0</v>
      </c>
      <c r="F107" s="107" t="s">
        <v>876</v>
      </c>
      <c r="G107" s="368">
        <f>ROUND(B107/1000,0)</f>
        <v>0</v>
      </c>
      <c r="H107" s="368">
        <f>ROUND(C107/1000,0)</f>
        <v>0</v>
      </c>
      <c r="I107" s="370"/>
      <c r="J107" s="368">
        <f>ROUND(E107/1000,0)</f>
        <v>0</v>
      </c>
      <c r="K107" s="814">
        <f t="shared" si="2"/>
        <v>0</v>
      </c>
      <c r="L107" s="804">
        <v>0</v>
      </c>
      <c r="M107" s="804">
        <f t="shared" si="3"/>
        <v>0</v>
      </c>
    </row>
    <row r="108" spans="1:13" ht="12.75" customHeight="1">
      <c r="A108" s="212" t="s">
        <v>919</v>
      </c>
      <c r="B108" s="368"/>
      <c r="C108" s="368"/>
      <c r="D108" s="364"/>
      <c r="E108" s="368"/>
      <c r="F108" s="212" t="s">
        <v>919</v>
      </c>
      <c r="G108" s="366"/>
      <c r="H108" s="366"/>
      <c r="I108" s="364"/>
      <c r="J108" s="368"/>
      <c r="K108" s="814">
        <f t="shared" si="2"/>
        <v>0</v>
      </c>
      <c r="M108" s="804">
        <f t="shared" si="3"/>
        <v>0</v>
      </c>
    </row>
    <row r="109" spans="1:13" ht="12.75" customHeight="1">
      <c r="A109" s="367" t="s">
        <v>0</v>
      </c>
      <c r="B109" s="368"/>
      <c r="C109" s="368"/>
      <c r="D109" s="364" t="e">
        <f>C109/B109*100</f>
        <v>#DIV/0!</v>
      </c>
      <c r="E109" s="368">
        <f>C109-'[13]augusts'!C109</f>
        <v>0</v>
      </c>
      <c r="F109" s="367" t="s">
        <v>0</v>
      </c>
      <c r="G109" s="366">
        <f>ROUND(B109/1000,0)</f>
        <v>0</v>
      </c>
      <c r="H109" s="366">
        <f>ROUND(C109/1000,0)</f>
        <v>0</v>
      </c>
      <c r="I109" s="369"/>
      <c r="J109" s="368">
        <f>ROUND(E109/1000,0)</f>
        <v>0</v>
      </c>
      <c r="K109" s="814">
        <f t="shared" si="2"/>
        <v>0</v>
      </c>
      <c r="L109" s="804">
        <v>0</v>
      </c>
      <c r="M109" s="804">
        <f t="shared" si="3"/>
        <v>0</v>
      </c>
    </row>
    <row r="110" spans="1:13" ht="12.75" customHeight="1">
      <c r="A110" s="98" t="s">
        <v>175</v>
      </c>
      <c r="B110" s="366">
        <f>SUM(B111:B112)</f>
        <v>0</v>
      </c>
      <c r="C110" s="366">
        <f>SUM(C111:C112)</f>
        <v>0</v>
      </c>
      <c r="D110" s="364" t="e">
        <f>C110/B110*100</f>
        <v>#DIV/0!</v>
      </c>
      <c r="E110" s="366">
        <f>E111+E112</f>
        <v>0</v>
      </c>
      <c r="F110" s="98" t="s">
        <v>175</v>
      </c>
      <c r="G110" s="366">
        <f>SUM(G111:G112)</f>
        <v>0</v>
      </c>
      <c r="H110" s="366">
        <f>SUM(H111:H112)</f>
        <v>0</v>
      </c>
      <c r="I110" s="369"/>
      <c r="J110" s="368">
        <f>SUM(J111:J112)</f>
        <v>0</v>
      </c>
      <c r="K110" s="814">
        <f t="shared" si="2"/>
        <v>0</v>
      </c>
      <c r="L110" s="804">
        <v>0</v>
      </c>
      <c r="M110" s="804">
        <f t="shared" si="3"/>
        <v>0</v>
      </c>
    </row>
    <row r="111" spans="1:13" ht="12.75" customHeight="1">
      <c r="A111" s="107" t="s">
        <v>875</v>
      </c>
      <c r="B111" s="366"/>
      <c r="C111" s="372"/>
      <c r="D111" s="364" t="e">
        <f>C111/B111*100</f>
        <v>#DIV/0!</v>
      </c>
      <c r="E111" s="372">
        <f>C111-'[13]augusts'!C111</f>
        <v>0</v>
      </c>
      <c r="F111" s="107" t="s">
        <v>875</v>
      </c>
      <c r="G111" s="368">
        <f>ROUND(B111/1000,0)</f>
        <v>0</v>
      </c>
      <c r="H111" s="368">
        <f>ROUND(C111/1000,0)</f>
        <v>0</v>
      </c>
      <c r="I111" s="370"/>
      <c r="J111" s="368">
        <f>ROUND(E111/1000,0)</f>
        <v>0</v>
      </c>
      <c r="K111" s="814">
        <f t="shared" si="2"/>
        <v>0</v>
      </c>
      <c r="L111" s="804">
        <v>0</v>
      </c>
      <c r="M111" s="804">
        <f t="shared" si="3"/>
        <v>0</v>
      </c>
    </row>
    <row r="112" spans="1:13" ht="12.75" customHeight="1">
      <c r="A112" s="107" t="s">
        <v>876</v>
      </c>
      <c r="B112" s="366"/>
      <c r="C112" s="372"/>
      <c r="D112" s="364" t="e">
        <f>C112/B112*100</f>
        <v>#DIV/0!</v>
      </c>
      <c r="E112" s="372">
        <f>C112-'[13]augusts'!C112</f>
        <v>0</v>
      </c>
      <c r="F112" s="107" t="s">
        <v>876</v>
      </c>
      <c r="G112" s="368">
        <f>ROUND(B112/1000,0)</f>
        <v>0</v>
      </c>
      <c r="H112" s="368">
        <f>ROUND(C112/1000,0)</f>
        <v>0</v>
      </c>
      <c r="I112" s="370"/>
      <c r="J112" s="368">
        <f>ROUND(E112/1000,0)</f>
        <v>0</v>
      </c>
      <c r="K112" s="814">
        <f t="shared" si="2"/>
        <v>0</v>
      </c>
      <c r="L112" s="804">
        <v>0</v>
      </c>
      <c r="M112" s="804">
        <f t="shared" si="3"/>
        <v>0</v>
      </c>
    </row>
    <row r="113" spans="1:13" ht="12.75" customHeight="1">
      <c r="A113" s="767" t="s">
        <v>921</v>
      </c>
      <c r="B113" s="366"/>
      <c r="C113" s="372"/>
      <c r="D113" s="364"/>
      <c r="E113" s="372"/>
      <c r="F113" s="212" t="s">
        <v>921</v>
      </c>
      <c r="G113" s="366"/>
      <c r="H113" s="366"/>
      <c r="I113" s="364"/>
      <c r="J113" s="368"/>
      <c r="K113" s="814">
        <f t="shared" si="2"/>
        <v>0</v>
      </c>
      <c r="M113" s="804">
        <f t="shared" si="3"/>
        <v>0</v>
      </c>
    </row>
    <row r="114" spans="1:13" ht="12.75" customHeight="1">
      <c r="A114" s="367" t="s">
        <v>0</v>
      </c>
      <c r="B114" s="366"/>
      <c r="C114" s="372"/>
      <c r="D114" s="364" t="e">
        <f>C114/B114*100</f>
        <v>#DIV/0!</v>
      </c>
      <c r="E114" s="372">
        <f>C114-'[13]augusts'!C114</f>
        <v>0</v>
      </c>
      <c r="F114" s="367" t="s">
        <v>0</v>
      </c>
      <c r="G114" s="366">
        <f>ROUND(B114/1000,0)</f>
        <v>0</v>
      </c>
      <c r="H114" s="366">
        <f>ROUND(C114/1000,0)</f>
        <v>0</v>
      </c>
      <c r="I114" s="369"/>
      <c r="J114" s="368">
        <f>ROUND(E114/1000,0)</f>
        <v>0</v>
      </c>
      <c r="K114" s="814">
        <f t="shared" si="2"/>
        <v>0</v>
      </c>
      <c r="L114" s="804">
        <v>0</v>
      </c>
      <c r="M114" s="804">
        <f t="shared" si="3"/>
        <v>0</v>
      </c>
    </row>
    <row r="115" spans="1:13" ht="12.75" customHeight="1">
      <c r="A115" s="98" t="s">
        <v>175</v>
      </c>
      <c r="B115" s="366">
        <f>SUM(B116:B117)</f>
        <v>0</v>
      </c>
      <c r="C115" s="366">
        <f>SUM(C116:C117)</f>
        <v>0</v>
      </c>
      <c r="D115" s="364" t="e">
        <f>C115/B115*100</f>
        <v>#DIV/0!</v>
      </c>
      <c r="E115" s="366">
        <f>E116+E117</f>
        <v>0</v>
      </c>
      <c r="F115" s="98" t="s">
        <v>175</v>
      </c>
      <c r="G115" s="366">
        <f>SUM(G116:G117)</f>
        <v>0</v>
      </c>
      <c r="H115" s="366">
        <f>SUM(H116:H117)</f>
        <v>0</v>
      </c>
      <c r="I115" s="369"/>
      <c r="J115" s="368">
        <f>SUM(J116:J117)</f>
        <v>0</v>
      </c>
      <c r="K115" s="814">
        <f t="shared" si="2"/>
        <v>0</v>
      </c>
      <c r="L115" s="804">
        <v>0</v>
      </c>
      <c r="M115" s="804">
        <f t="shared" si="3"/>
        <v>0</v>
      </c>
    </row>
    <row r="116" spans="1:13" ht="12.75" customHeight="1">
      <c r="A116" s="107" t="s">
        <v>875</v>
      </c>
      <c r="B116" s="368"/>
      <c r="C116" s="368"/>
      <c r="D116" s="364" t="e">
        <f>C116/B116*100</f>
        <v>#DIV/0!</v>
      </c>
      <c r="E116" s="368">
        <f>C116-'[13]augusts'!C116</f>
        <v>0</v>
      </c>
      <c r="F116" s="107" t="s">
        <v>875</v>
      </c>
      <c r="G116" s="368">
        <f>ROUND(B116/1000,0)</f>
        <v>0</v>
      </c>
      <c r="H116" s="368">
        <f>ROUND(C116/1000,0)</f>
        <v>0</v>
      </c>
      <c r="I116" s="370"/>
      <c r="J116" s="368">
        <f>ROUND(E116/1000,0)</f>
        <v>0</v>
      </c>
      <c r="K116" s="814">
        <f t="shared" si="2"/>
        <v>0</v>
      </c>
      <c r="L116" s="804">
        <v>0</v>
      </c>
      <c r="M116" s="804">
        <f t="shared" si="3"/>
        <v>0</v>
      </c>
    </row>
    <row r="117" spans="1:13" ht="12.75" customHeight="1">
      <c r="A117" s="107" t="s">
        <v>876</v>
      </c>
      <c r="B117" s="368"/>
      <c r="C117" s="368"/>
      <c r="D117" s="364" t="e">
        <f>C117/B117*100</f>
        <v>#DIV/0!</v>
      </c>
      <c r="E117" s="368">
        <f>C117-'[13]augusts'!C117</f>
        <v>0</v>
      </c>
      <c r="F117" s="107" t="s">
        <v>876</v>
      </c>
      <c r="G117" s="368">
        <f>ROUND(B117/1000,0)</f>
        <v>0</v>
      </c>
      <c r="H117" s="368">
        <f>ROUND(C117/1000,0)</f>
        <v>0</v>
      </c>
      <c r="I117" s="370"/>
      <c r="J117" s="368">
        <f>ROUND(E117/1000,0)</f>
        <v>0</v>
      </c>
      <c r="K117" s="814">
        <f t="shared" si="2"/>
        <v>0</v>
      </c>
      <c r="L117" s="804">
        <v>0</v>
      </c>
      <c r="M117" s="804">
        <f t="shared" si="3"/>
        <v>0</v>
      </c>
    </row>
    <row r="118" spans="1:13" ht="12.75" customHeight="1">
      <c r="A118" s="92" t="s">
        <v>923</v>
      </c>
      <c r="B118" s="366"/>
      <c r="C118" s="366"/>
      <c r="D118" s="364"/>
      <c r="E118" s="366"/>
      <c r="F118" s="212" t="s">
        <v>923</v>
      </c>
      <c r="G118" s="366"/>
      <c r="H118" s="366"/>
      <c r="I118" s="364"/>
      <c r="J118" s="368"/>
      <c r="K118" s="814">
        <f t="shared" si="2"/>
        <v>0</v>
      </c>
      <c r="M118" s="804">
        <f t="shared" si="3"/>
        <v>0</v>
      </c>
    </row>
    <row r="119" spans="1:13" ht="12.75" customHeight="1">
      <c r="A119" s="367" t="s">
        <v>0</v>
      </c>
      <c r="B119" s="368"/>
      <c r="C119" s="368"/>
      <c r="D119" s="364" t="e">
        <f>C119/B119*100</f>
        <v>#DIV/0!</v>
      </c>
      <c r="E119" s="368">
        <f>C119-'[13]augusts'!C119</f>
        <v>0</v>
      </c>
      <c r="F119" s="367" t="s">
        <v>0</v>
      </c>
      <c r="G119" s="366">
        <f>ROUND(B119/1000,0)</f>
        <v>0</v>
      </c>
      <c r="H119" s="366">
        <f>ROUND(C119/1000,0)</f>
        <v>0</v>
      </c>
      <c r="I119" s="369"/>
      <c r="J119" s="368">
        <f>ROUND(E119/1000,0)</f>
        <v>0</v>
      </c>
      <c r="K119" s="814">
        <f t="shared" si="2"/>
        <v>0</v>
      </c>
      <c r="L119" s="804">
        <v>0</v>
      </c>
      <c r="M119" s="804">
        <f t="shared" si="3"/>
        <v>0</v>
      </c>
    </row>
    <row r="120" spans="1:13" ht="12.75" customHeight="1">
      <c r="A120" s="98" t="s">
        <v>175</v>
      </c>
      <c r="B120" s="366">
        <f>SUM(B121:B122)</f>
        <v>0</v>
      </c>
      <c r="C120" s="366">
        <f>SUM(C121:C122)</f>
        <v>0</v>
      </c>
      <c r="D120" s="364" t="e">
        <f>C120/B120*100</f>
        <v>#DIV/0!</v>
      </c>
      <c r="E120" s="366">
        <f>E121+E122</f>
        <v>0</v>
      </c>
      <c r="F120" s="98" t="s">
        <v>175</v>
      </c>
      <c r="G120" s="366">
        <f>SUM(G121:G122)</f>
        <v>0</v>
      </c>
      <c r="H120" s="366">
        <f>SUM(H121:H122)</f>
        <v>0</v>
      </c>
      <c r="I120" s="369"/>
      <c r="J120" s="368">
        <f>SUM(J121:J122)</f>
        <v>0</v>
      </c>
      <c r="K120" s="814">
        <f t="shared" si="2"/>
        <v>0</v>
      </c>
      <c r="L120" s="804">
        <v>0</v>
      </c>
      <c r="M120" s="804">
        <f t="shared" si="3"/>
        <v>0</v>
      </c>
    </row>
    <row r="121" spans="1:13" ht="12.75" customHeight="1">
      <c r="A121" s="107" t="s">
        <v>875</v>
      </c>
      <c r="B121" s="368"/>
      <c r="C121" s="368"/>
      <c r="D121" s="364" t="e">
        <f>C121/B121*100</f>
        <v>#DIV/0!</v>
      </c>
      <c r="E121" s="368">
        <f>C121-'[13]augusts'!C121</f>
        <v>0</v>
      </c>
      <c r="F121" s="107" t="s">
        <v>875</v>
      </c>
      <c r="G121" s="368">
        <f>ROUND(B121/1000,0)</f>
        <v>0</v>
      </c>
      <c r="H121" s="368">
        <f>ROUND(C121/1000,0)</f>
        <v>0</v>
      </c>
      <c r="I121" s="370"/>
      <c r="J121" s="368">
        <f>ROUND(E121/1000,0)</f>
        <v>0</v>
      </c>
      <c r="K121" s="814">
        <f t="shared" si="2"/>
        <v>0</v>
      </c>
      <c r="L121" s="804">
        <v>0</v>
      </c>
      <c r="M121" s="804">
        <f t="shared" si="3"/>
        <v>0</v>
      </c>
    </row>
    <row r="122" spans="1:13" ht="12.75" customHeight="1">
      <c r="A122" s="107" t="s">
        <v>876</v>
      </c>
      <c r="B122" s="368"/>
      <c r="C122" s="368"/>
      <c r="D122" s="364" t="e">
        <f>C122/B122*100</f>
        <v>#DIV/0!</v>
      </c>
      <c r="E122" s="368">
        <f>C122-'[13]augusts'!C122</f>
        <v>0</v>
      </c>
      <c r="F122" s="107" t="s">
        <v>876</v>
      </c>
      <c r="G122" s="368">
        <f>ROUND(B122/1000,0)</f>
        <v>0</v>
      </c>
      <c r="H122" s="368">
        <f>ROUND(C122/1000,0)</f>
        <v>0</v>
      </c>
      <c r="I122" s="370"/>
      <c r="J122" s="368">
        <f>ROUND(E122/1000,0)</f>
        <v>0</v>
      </c>
      <c r="K122" s="814">
        <f t="shared" si="2"/>
        <v>0</v>
      </c>
      <c r="L122" s="804">
        <v>0</v>
      </c>
      <c r="M122" s="804">
        <f t="shared" si="3"/>
        <v>0</v>
      </c>
    </row>
    <row r="123" spans="1:13" ht="12.75" customHeight="1">
      <c r="A123" s="92" t="s">
        <v>925</v>
      </c>
      <c r="B123" s="366"/>
      <c r="C123" s="366"/>
      <c r="D123" s="364"/>
      <c r="E123" s="366"/>
      <c r="F123" s="212" t="s">
        <v>925</v>
      </c>
      <c r="G123" s="366"/>
      <c r="H123" s="366"/>
      <c r="I123" s="364"/>
      <c r="J123" s="368"/>
      <c r="K123" s="814">
        <f t="shared" si="2"/>
        <v>0</v>
      </c>
      <c r="M123" s="804">
        <f t="shared" si="3"/>
        <v>0</v>
      </c>
    </row>
    <row r="124" spans="1:13" ht="12.75" customHeight="1">
      <c r="A124" s="367" t="s">
        <v>0</v>
      </c>
      <c r="B124" s="366"/>
      <c r="C124" s="366"/>
      <c r="D124" s="364" t="e">
        <f>C124/B124*100</f>
        <v>#DIV/0!</v>
      </c>
      <c r="E124" s="366">
        <f>C124-'[13]augusts'!C124</f>
        <v>0</v>
      </c>
      <c r="F124" s="367" t="s">
        <v>0</v>
      </c>
      <c r="G124" s="366">
        <f>ROUND(B124/1000,0)</f>
        <v>0</v>
      </c>
      <c r="H124" s="366">
        <f>ROUND(C124/1000,0)</f>
        <v>0</v>
      </c>
      <c r="I124" s="369"/>
      <c r="J124" s="368">
        <f>ROUND(E124/1000,0)</f>
        <v>0</v>
      </c>
      <c r="K124" s="814">
        <f t="shared" si="2"/>
        <v>0</v>
      </c>
      <c r="L124" s="804">
        <v>0</v>
      </c>
      <c r="M124" s="804">
        <f t="shared" si="3"/>
        <v>0</v>
      </c>
    </row>
    <row r="125" spans="1:13" ht="12.75" customHeight="1">
      <c r="A125" s="98" t="s">
        <v>175</v>
      </c>
      <c r="B125" s="366">
        <f>SUM(B126:B127)</f>
        <v>0</v>
      </c>
      <c r="C125" s="366">
        <f>SUM(C126:C127)</f>
        <v>0</v>
      </c>
      <c r="D125" s="364" t="e">
        <f>C125/B125*100</f>
        <v>#DIV/0!</v>
      </c>
      <c r="E125" s="366">
        <f>E126+E127</f>
        <v>0</v>
      </c>
      <c r="F125" s="98" t="s">
        <v>175</v>
      </c>
      <c r="G125" s="366">
        <f>SUM(G126:G127)</f>
        <v>0</v>
      </c>
      <c r="H125" s="366">
        <f>SUM(H126:H127)</f>
        <v>0</v>
      </c>
      <c r="I125" s="369"/>
      <c r="J125" s="368">
        <f>SUM(J126:J127)</f>
        <v>0</v>
      </c>
      <c r="K125" s="814">
        <f t="shared" si="2"/>
        <v>0</v>
      </c>
      <c r="L125" s="804">
        <v>0</v>
      </c>
      <c r="M125" s="804">
        <f t="shared" si="3"/>
        <v>0</v>
      </c>
    </row>
    <row r="126" spans="1:13" ht="12.75" customHeight="1">
      <c r="A126" s="107" t="s">
        <v>875</v>
      </c>
      <c r="B126" s="366"/>
      <c r="C126" s="366"/>
      <c r="D126" s="364" t="e">
        <f>C126/B126*100</f>
        <v>#DIV/0!</v>
      </c>
      <c r="E126" s="366">
        <f>C126-'[13]augusts'!C126</f>
        <v>0</v>
      </c>
      <c r="F126" s="107" t="s">
        <v>875</v>
      </c>
      <c r="G126" s="368">
        <f>ROUND(B126/1000,0)</f>
        <v>0</v>
      </c>
      <c r="H126" s="368">
        <f>ROUND(C126/1000,0)</f>
        <v>0</v>
      </c>
      <c r="I126" s="370"/>
      <c r="J126" s="368">
        <f>ROUND(E126/1000,0)</f>
        <v>0</v>
      </c>
      <c r="K126" s="814">
        <f t="shared" si="2"/>
        <v>0</v>
      </c>
      <c r="L126" s="804">
        <v>0</v>
      </c>
      <c r="M126" s="804">
        <f t="shared" si="3"/>
        <v>0</v>
      </c>
    </row>
    <row r="127" spans="1:13" ht="12.75" customHeight="1">
      <c r="A127" s="107" t="s">
        <v>876</v>
      </c>
      <c r="B127" s="366"/>
      <c r="C127" s="366"/>
      <c r="D127" s="364" t="e">
        <f>C127/B127*100</f>
        <v>#DIV/0!</v>
      </c>
      <c r="E127" s="366">
        <f>C127-'[13]augusts'!C127</f>
        <v>0</v>
      </c>
      <c r="F127" s="107" t="s">
        <v>876</v>
      </c>
      <c r="G127" s="368">
        <f>ROUND(B127/1000,0)</f>
        <v>0</v>
      </c>
      <c r="H127" s="368">
        <f>ROUND(C127/1000,0)</f>
        <v>0</v>
      </c>
      <c r="I127" s="370"/>
      <c r="J127" s="368">
        <f>ROUND(E127/1000,0)</f>
        <v>0</v>
      </c>
      <c r="K127" s="814">
        <f t="shared" si="2"/>
        <v>0</v>
      </c>
      <c r="L127" s="804">
        <v>0</v>
      </c>
      <c r="M127" s="804">
        <f t="shared" si="3"/>
        <v>0</v>
      </c>
    </row>
    <row r="128" spans="1:13" ht="12.75" customHeight="1">
      <c r="A128" s="212" t="s">
        <v>926</v>
      </c>
      <c r="B128" s="366"/>
      <c r="C128" s="366"/>
      <c r="D128" s="364"/>
      <c r="E128" s="366"/>
      <c r="F128" s="212" t="s">
        <v>926</v>
      </c>
      <c r="G128" s="366"/>
      <c r="H128" s="366"/>
      <c r="I128" s="364"/>
      <c r="J128" s="368"/>
      <c r="K128" s="814">
        <f t="shared" si="2"/>
        <v>0</v>
      </c>
      <c r="M128" s="804">
        <f t="shared" si="3"/>
        <v>0</v>
      </c>
    </row>
    <row r="129" spans="1:13" ht="12.75" customHeight="1">
      <c r="A129" s="367" t="s">
        <v>0</v>
      </c>
      <c r="B129" s="366"/>
      <c r="C129" s="366"/>
      <c r="D129" s="364" t="e">
        <f>C129/B129*100</f>
        <v>#DIV/0!</v>
      </c>
      <c r="E129" s="366">
        <f>C129-'[13]augusts'!C129</f>
        <v>0</v>
      </c>
      <c r="F129" s="367" t="s">
        <v>0</v>
      </c>
      <c r="G129" s="366">
        <f>ROUND(B129/1000,0)</f>
        <v>0</v>
      </c>
      <c r="H129" s="366">
        <f>ROUND(C129/1000,0)</f>
        <v>0</v>
      </c>
      <c r="I129" s="369"/>
      <c r="J129" s="368">
        <f>ROUND(E129/1000,0)</f>
        <v>0</v>
      </c>
      <c r="K129" s="814">
        <f t="shared" si="2"/>
        <v>0</v>
      </c>
      <c r="L129" s="804">
        <v>0</v>
      </c>
      <c r="M129" s="804">
        <f t="shared" si="3"/>
        <v>0</v>
      </c>
    </row>
    <row r="130" spans="1:13" ht="12.75" customHeight="1">
      <c r="A130" s="98" t="s">
        <v>175</v>
      </c>
      <c r="B130" s="366">
        <f>SUM(B131:B132)</f>
        <v>0</v>
      </c>
      <c r="C130" s="366">
        <f>SUM(C131:C132)</f>
        <v>0</v>
      </c>
      <c r="D130" s="364" t="e">
        <f>C130/B130*100</f>
        <v>#DIV/0!</v>
      </c>
      <c r="E130" s="366">
        <f>E131+E132</f>
        <v>0</v>
      </c>
      <c r="F130" s="98" t="s">
        <v>175</v>
      </c>
      <c r="G130" s="366">
        <f>SUM(G131:G132)</f>
        <v>0</v>
      </c>
      <c r="H130" s="366">
        <f>SUM(H131:H132)</f>
        <v>0</v>
      </c>
      <c r="I130" s="369"/>
      <c r="J130" s="368">
        <f>SUM(J131:J132)</f>
        <v>0</v>
      </c>
      <c r="K130" s="814">
        <f t="shared" si="2"/>
        <v>0</v>
      </c>
      <c r="L130" s="804">
        <v>0</v>
      </c>
      <c r="M130" s="804">
        <f t="shared" si="3"/>
        <v>0</v>
      </c>
    </row>
    <row r="131" spans="1:13" ht="12.75" customHeight="1">
      <c r="A131" s="107" t="s">
        <v>875</v>
      </c>
      <c r="B131" s="366"/>
      <c r="C131" s="366"/>
      <c r="D131" s="364" t="e">
        <f>C131/B131*100</f>
        <v>#DIV/0!</v>
      </c>
      <c r="E131" s="366">
        <f>C131-'[13]augusts'!C131</f>
        <v>0</v>
      </c>
      <c r="F131" s="107" t="s">
        <v>875</v>
      </c>
      <c r="G131" s="368">
        <f>ROUND(B131/1000,0)</f>
        <v>0</v>
      </c>
      <c r="H131" s="368">
        <f>ROUND(C131/1000,0)</f>
        <v>0</v>
      </c>
      <c r="I131" s="370"/>
      <c r="J131" s="368">
        <f>ROUND(E131/1000,0)</f>
        <v>0</v>
      </c>
      <c r="K131" s="814">
        <f t="shared" si="2"/>
        <v>0</v>
      </c>
      <c r="L131" s="804">
        <v>0</v>
      </c>
      <c r="M131" s="804">
        <f t="shared" si="3"/>
        <v>0</v>
      </c>
    </row>
    <row r="132" spans="1:13" ht="12.75" customHeight="1">
      <c r="A132" s="107" t="s">
        <v>876</v>
      </c>
      <c r="B132" s="368"/>
      <c r="C132" s="368"/>
      <c r="D132" s="364" t="e">
        <f>C132/B132*100</f>
        <v>#DIV/0!</v>
      </c>
      <c r="E132" s="368">
        <f>C132-'[13]augusts'!C132</f>
        <v>0</v>
      </c>
      <c r="F132" s="107" t="s">
        <v>876</v>
      </c>
      <c r="G132" s="368">
        <f>ROUND(B132/1000,0)</f>
        <v>0</v>
      </c>
      <c r="H132" s="368">
        <f>ROUND(C132/1000,0)</f>
        <v>0</v>
      </c>
      <c r="I132" s="370"/>
      <c r="J132" s="368">
        <f>ROUND(E132/1000,0)</f>
        <v>0</v>
      </c>
      <c r="K132" s="814">
        <f t="shared" si="2"/>
        <v>0</v>
      </c>
      <c r="L132" s="804">
        <v>0</v>
      </c>
      <c r="M132" s="804">
        <f t="shared" si="3"/>
        <v>0</v>
      </c>
    </row>
    <row r="133" spans="1:13" ht="12.75" customHeight="1">
      <c r="A133" s="92" t="s">
        <v>928</v>
      </c>
      <c r="B133" s="368"/>
      <c r="C133" s="368"/>
      <c r="D133" s="364"/>
      <c r="E133" s="368"/>
      <c r="F133" s="212" t="s">
        <v>928</v>
      </c>
      <c r="G133" s="366"/>
      <c r="H133" s="366"/>
      <c r="I133" s="364"/>
      <c r="J133" s="368"/>
      <c r="K133" s="814">
        <f t="shared" si="2"/>
        <v>0</v>
      </c>
      <c r="M133" s="804">
        <f t="shared" si="3"/>
        <v>0</v>
      </c>
    </row>
    <row r="134" spans="1:13" ht="12.75" customHeight="1">
      <c r="A134" s="367" t="s">
        <v>0</v>
      </c>
      <c r="B134" s="366"/>
      <c r="C134" s="366"/>
      <c r="D134" s="364" t="e">
        <f>C134/B134*100</f>
        <v>#DIV/0!</v>
      </c>
      <c r="E134" s="366">
        <f>C134-'[13]augusts'!C134</f>
        <v>0</v>
      </c>
      <c r="F134" s="367" t="s">
        <v>0</v>
      </c>
      <c r="G134" s="366">
        <f>ROUND(B134/1000,0)</f>
        <v>0</v>
      </c>
      <c r="H134" s="366">
        <f>ROUND(C134/1000,0)</f>
        <v>0</v>
      </c>
      <c r="I134" s="369"/>
      <c r="J134" s="368">
        <f>ROUND(E134/1000,0)</f>
        <v>0</v>
      </c>
      <c r="K134" s="814">
        <f t="shared" si="2"/>
        <v>0</v>
      </c>
      <c r="L134" s="804">
        <v>0</v>
      </c>
      <c r="M134" s="804">
        <f t="shared" si="3"/>
        <v>0</v>
      </c>
    </row>
    <row r="135" spans="1:13" ht="12.75" customHeight="1">
      <c r="A135" s="98" t="s">
        <v>175</v>
      </c>
      <c r="B135" s="366">
        <f>SUM(B136:B137)</f>
        <v>0</v>
      </c>
      <c r="C135" s="366">
        <f>SUM(C136:C137)</f>
        <v>0</v>
      </c>
      <c r="D135" s="364" t="e">
        <f>C135/B135*100</f>
        <v>#DIV/0!</v>
      </c>
      <c r="E135" s="366">
        <f>E136+E137</f>
        <v>0</v>
      </c>
      <c r="F135" s="98" t="s">
        <v>175</v>
      </c>
      <c r="G135" s="366">
        <f>SUM(G136:G137)</f>
        <v>0</v>
      </c>
      <c r="H135" s="366">
        <f>SUM(H136:H137)</f>
        <v>0</v>
      </c>
      <c r="I135" s="369"/>
      <c r="J135" s="368">
        <f>SUM(J136:J137)</f>
        <v>0</v>
      </c>
      <c r="K135" s="814">
        <f t="shared" si="2"/>
        <v>0</v>
      </c>
      <c r="L135" s="804">
        <v>0</v>
      </c>
      <c r="M135" s="804">
        <f t="shared" si="3"/>
        <v>0</v>
      </c>
    </row>
    <row r="136" spans="1:13" ht="12.75" customHeight="1">
      <c r="A136" s="107" t="s">
        <v>875</v>
      </c>
      <c r="B136" s="368"/>
      <c r="C136" s="368"/>
      <c r="D136" s="364" t="e">
        <f>C136/B136*100</f>
        <v>#DIV/0!</v>
      </c>
      <c r="E136" s="368">
        <f>C136-'[13]augusts'!C136</f>
        <v>0</v>
      </c>
      <c r="F136" s="107" t="s">
        <v>875</v>
      </c>
      <c r="G136" s="368">
        <f>ROUND(B136/1000,0)</f>
        <v>0</v>
      </c>
      <c r="H136" s="368">
        <f>ROUND(C136/1000,0)</f>
        <v>0</v>
      </c>
      <c r="I136" s="370"/>
      <c r="J136" s="368">
        <f>ROUND(E136/1000,0)</f>
        <v>0</v>
      </c>
      <c r="K136" s="814">
        <f t="shared" si="2"/>
        <v>0</v>
      </c>
      <c r="L136" s="804">
        <v>0</v>
      </c>
      <c r="M136" s="804">
        <f t="shared" si="3"/>
        <v>0</v>
      </c>
    </row>
    <row r="137" spans="1:13" ht="12.75" customHeight="1">
      <c r="A137" s="107" t="s">
        <v>876</v>
      </c>
      <c r="B137" s="368"/>
      <c r="C137" s="368"/>
      <c r="D137" s="364" t="e">
        <f>C137/B137*100</f>
        <v>#DIV/0!</v>
      </c>
      <c r="E137" s="368">
        <f>C137-'[13]augusts'!C137</f>
        <v>0</v>
      </c>
      <c r="F137" s="107" t="s">
        <v>876</v>
      </c>
      <c r="G137" s="368">
        <f>ROUND(B137/1000,0)</f>
        <v>0</v>
      </c>
      <c r="H137" s="368">
        <f>ROUND(C137/1000,0)</f>
        <v>0</v>
      </c>
      <c r="I137" s="370"/>
      <c r="J137" s="368">
        <f>ROUND(E137/1000,0)</f>
        <v>0</v>
      </c>
      <c r="K137" s="814">
        <f t="shared" si="2"/>
        <v>0</v>
      </c>
      <c r="L137" s="804">
        <v>0</v>
      </c>
      <c r="M137" s="804">
        <f t="shared" si="3"/>
        <v>0</v>
      </c>
    </row>
    <row r="138" spans="1:13" ht="38.25">
      <c r="A138" s="92" t="s">
        <v>930</v>
      </c>
      <c r="B138" s="368"/>
      <c r="C138" s="368"/>
      <c r="D138" s="364"/>
      <c r="E138" s="368"/>
      <c r="F138" s="92" t="s">
        <v>930</v>
      </c>
      <c r="G138" s="366"/>
      <c r="H138" s="366"/>
      <c r="I138" s="364"/>
      <c r="J138" s="368"/>
      <c r="K138" s="814">
        <f aca="true" t="shared" si="4" ref="K138:K147">H138</f>
        <v>0</v>
      </c>
      <c r="M138" s="804">
        <f aca="true" t="shared" si="5" ref="M138:M147">K138-L138</f>
        <v>0</v>
      </c>
    </row>
    <row r="139" spans="1:13" ht="12.75" customHeight="1">
      <c r="A139" s="371" t="s">
        <v>0</v>
      </c>
      <c r="B139" s="372">
        <v>321426</v>
      </c>
      <c r="C139" s="372">
        <v>142911</v>
      </c>
      <c r="D139" s="379">
        <f>C139/B139*100</f>
        <v>44.461555692445536</v>
      </c>
      <c r="E139" s="372">
        <f>C139-'[13]augusts'!C139</f>
        <v>58816</v>
      </c>
      <c r="F139" s="367" t="s">
        <v>0</v>
      </c>
      <c r="G139" s="366">
        <f>ROUND(B139/1000,0)</f>
        <v>321</v>
      </c>
      <c r="H139" s="366">
        <f>ROUND(C139/1000,0)</f>
        <v>143</v>
      </c>
      <c r="I139" s="364">
        <f>H139/G139*100</f>
        <v>44.54828660436137</v>
      </c>
      <c r="J139" s="368">
        <f>ROUND(E139/1000,0)</f>
        <v>59</v>
      </c>
      <c r="K139" s="814">
        <f t="shared" si="4"/>
        <v>143</v>
      </c>
      <c r="L139" s="804">
        <v>84</v>
      </c>
      <c r="M139" s="804">
        <f t="shared" si="5"/>
        <v>59</v>
      </c>
    </row>
    <row r="140" spans="1:13" ht="12.75" customHeight="1">
      <c r="A140" s="98" t="s">
        <v>175</v>
      </c>
      <c r="B140" s="366">
        <f>SUM(B141:B142)</f>
        <v>321426</v>
      </c>
      <c r="C140" s="366">
        <f>SUM(C141:C142)</f>
        <v>140687</v>
      </c>
      <c r="D140" s="364">
        <f>C140/B140*100</f>
        <v>43.76963904600126</v>
      </c>
      <c r="E140" s="366">
        <f>E141+E142</f>
        <v>58833</v>
      </c>
      <c r="F140" s="98" t="s">
        <v>175</v>
      </c>
      <c r="G140" s="366">
        <f>SUM(G141:G142)</f>
        <v>321</v>
      </c>
      <c r="H140" s="366">
        <f>SUM(H141:H142)</f>
        <v>141</v>
      </c>
      <c r="I140" s="364">
        <f>H140/G140*100</f>
        <v>43.925233644859816</v>
      </c>
      <c r="J140" s="368">
        <f>SUM(J141:J142)</f>
        <v>59</v>
      </c>
      <c r="K140" s="814">
        <f t="shared" si="4"/>
        <v>141</v>
      </c>
      <c r="L140" s="804">
        <v>82</v>
      </c>
      <c r="M140" s="804">
        <f t="shared" si="5"/>
        <v>59</v>
      </c>
    </row>
    <row r="141" spans="1:13" ht="12.75" customHeight="1">
      <c r="A141" s="107" t="s">
        <v>875</v>
      </c>
      <c r="B141" s="368">
        <v>321426</v>
      </c>
      <c r="C141" s="368">
        <v>140687</v>
      </c>
      <c r="D141" s="364">
        <f>C141/B141*100</f>
        <v>43.76963904600126</v>
      </c>
      <c r="E141" s="368">
        <f>C141-'[13]augusts'!C141</f>
        <v>58833</v>
      </c>
      <c r="F141" s="107" t="s">
        <v>875</v>
      </c>
      <c r="G141" s="368">
        <f>ROUND(B141/1000,0)</f>
        <v>321</v>
      </c>
      <c r="H141" s="368">
        <f>ROUND(C141/1000,0)</f>
        <v>141</v>
      </c>
      <c r="I141" s="364">
        <f>H141/G141*100</f>
        <v>43.925233644859816</v>
      </c>
      <c r="J141" s="368">
        <f>ROUND(E141/1000,0)</f>
        <v>59</v>
      </c>
      <c r="K141" s="814">
        <f t="shared" si="4"/>
        <v>141</v>
      </c>
      <c r="L141" s="804">
        <v>82</v>
      </c>
      <c r="M141" s="804">
        <f t="shared" si="5"/>
        <v>59</v>
      </c>
    </row>
    <row r="142" spans="1:13" ht="12.75" customHeight="1">
      <c r="A142" s="107" t="s">
        <v>876</v>
      </c>
      <c r="B142" s="368"/>
      <c r="C142" s="368"/>
      <c r="D142" s="364" t="e">
        <f>C142/B142*100</f>
        <v>#DIV/0!</v>
      </c>
      <c r="E142" s="368">
        <f>C142-'[13]augusts'!C142</f>
        <v>0</v>
      </c>
      <c r="F142" s="107" t="s">
        <v>876</v>
      </c>
      <c r="G142" s="368">
        <f>ROUND(B142/1000,0)</f>
        <v>0</v>
      </c>
      <c r="H142" s="368">
        <f>ROUND(C142/1000,0)</f>
        <v>0</v>
      </c>
      <c r="I142" s="364">
        <v>0</v>
      </c>
      <c r="J142" s="368">
        <f>ROUND(E142/1000,0)</f>
        <v>0</v>
      </c>
      <c r="K142" s="814">
        <f t="shared" si="4"/>
        <v>0</v>
      </c>
      <c r="L142" s="804">
        <v>0</v>
      </c>
      <c r="M142" s="804">
        <f t="shared" si="5"/>
        <v>0</v>
      </c>
    </row>
    <row r="143" spans="1:13" ht="25.5">
      <c r="A143" s="92" t="s">
        <v>932</v>
      </c>
      <c r="B143" s="366"/>
      <c r="C143" s="366"/>
      <c r="D143" s="364"/>
      <c r="E143" s="366"/>
      <c r="F143" s="92" t="s">
        <v>932</v>
      </c>
      <c r="G143" s="366"/>
      <c r="H143" s="366"/>
      <c r="I143" s="364"/>
      <c r="J143" s="368"/>
      <c r="K143" s="814">
        <f t="shared" si="4"/>
        <v>0</v>
      </c>
      <c r="M143" s="804">
        <f t="shared" si="5"/>
        <v>0</v>
      </c>
    </row>
    <row r="144" spans="1:13" ht="12.75" customHeight="1">
      <c r="A144" s="367" t="s">
        <v>0</v>
      </c>
      <c r="B144" s="366">
        <v>96100</v>
      </c>
      <c r="C144" s="366">
        <v>20298</v>
      </c>
      <c r="D144" s="364">
        <f>C144/B144*100</f>
        <v>21.12174817898023</v>
      </c>
      <c r="E144" s="366">
        <f>C144-'[13]augusts'!C144</f>
        <v>991</v>
      </c>
      <c r="F144" s="367" t="s">
        <v>0</v>
      </c>
      <c r="G144" s="366">
        <f>ROUND(B144/1000,0)</f>
        <v>96</v>
      </c>
      <c r="H144" s="366">
        <f>ROUND(C144/1000,0)</f>
        <v>20</v>
      </c>
      <c r="I144" s="364">
        <f>H144/G144*100</f>
        <v>20.833333333333336</v>
      </c>
      <c r="J144" s="368">
        <f>ROUND(E144/1000,0)-1</f>
        <v>0</v>
      </c>
      <c r="K144" s="814">
        <f t="shared" si="4"/>
        <v>20</v>
      </c>
      <c r="L144" s="804">
        <v>20</v>
      </c>
      <c r="M144" s="804">
        <f t="shared" si="5"/>
        <v>0</v>
      </c>
    </row>
    <row r="145" spans="1:13" ht="12.75" customHeight="1">
      <c r="A145" s="98" t="s">
        <v>175</v>
      </c>
      <c r="B145" s="366">
        <f>SUM(B146:B147)</f>
        <v>96100</v>
      </c>
      <c r="C145" s="366">
        <f>SUM(C146:C147)</f>
        <v>27687</v>
      </c>
      <c r="D145" s="364">
        <f>C145/B145*100</f>
        <v>28.810613943808534</v>
      </c>
      <c r="E145" s="366">
        <f>E146+E147</f>
        <v>3154</v>
      </c>
      <c r="F145" s="98" t="s">
        <v>175</v>
      </c>
      <c r="G145" s="366">
        <f>SUM(G146:G147)</f>
        <v>96</v>
      </c>
      <c r="H145" s="366">
        <f>SUM(H146:H147)</f>
        <v>28</v>
      </c>
      <c r="I145" s="364">
        <f>H145/G145*100</f>
        <v>29.166666666666668</v>
      </c>
      <c r="J145" s="368">
        <f>SUM(J146:J147)</f>
        <v>3</v>
      </c>
      <c r="K145" s="814">
        <f t="shared" si="4"/>
        <v>28</v>
      </c>
      <c r="L145" s="804">
        <v>25</v>
      </c>
      <c r="M145" s="804">
        <f t="shared" si="5"/>
        <v>3</v>
      </c>
    </row>
    <row r="146" spans="1:13" ht="12.75" customHeight="1">
      <c r="A146" s="107" t="s">
        <v>875</v>
      </c>
      <c r="B146" s="368">
        <v>96100</v>
      </c>
      <c r="C146" s="368">
        <v>26893</v>
      </c>
      <c r="D146" s="364">
        <f>C146/B146*100</f>
        <v>27.984391259105102</v>
      </c>
      <c r="E146" s="368">
        <f>C146-'[13]augusts'!C146</f>
        <v>3154</v>
      </c>
      <c r="F146" s="107" t="s">
        <v>875</v>
      </c>
      <c r="G146" s="368">
        <f>ROUND(B146/1000,0)</f>
        <v>96</v>
      </c>
      <c r="H146" s="368">
        <f>ROUND(C146/1000,0)</f>
        <v>27</v>
      </c>
      <c r="I146" s="364">
        <f>H146/G146*100</f>
        <v>28.125</v>
      </c>
      <c r="J146" s="368">
        <f>ROUND(E146/1000,0)</f>
        <v>3</v>
      </c>
      <c r="K146" s="814">
        <f t="shared" si="4"/>
        <v>27</v>
      </c>
      <c r="L146" s="804">
        <v>24</v>
      </c>
      <c r="M146" s="804">
        <f t="shared" si="5"/>
        <v>3</v>
      </c>
    </row>
    <row r="147" spans="1:13" ht="12.75" customHeight="1">
      <c r="A147" s="107" t="s">
        <v>876</v>
      </c>
      <c r="B147" s="368"/>
      <c r="C147" s="368">
        <v>794</v>
      </c>
      <c r="D147" s="364"/>
      <c r="E147" s="368">
        <f>C147-'[13]augusts'!C147</f>
        <v>0</v>
      </c>
      <c r="F147" s="107" t="s">
        <v>876</v>
      </c>
      <c r="G147" s="368">
        <f>ROUND(B147/1000,0)</f>
        <v>0</v>
      </c>
      <c r="H147" s="368">
        <f>ROUND(C147/1000,0)</f>
        <v>1</v>
      </c>
      <c r="I147" s="364"/>
      <c r="J147" s="368">
        <f>ROUND(E147/1000,0)</f>
        <v>0</v>
      </c>
      <c r="K147" s="814">
        <f t="shared" si="4"/>
        <v>1</v>
      </c>
      <c r="L147" s="804">
        <v>1</v>
      </c>
      <c r="M147" s="804">
        <f t="shared" si="5"/>
        <v>0</v>
      </c>
    </row>
    <row r="148" spans="2:10" ht="14.25" customHeight="1">
      <c r="B148" s="1"/>
      <c r="C148" s="1"/>
      <c r="D148" s="1"/>
      <c r="E148" s="1"/>
      <c r="F148" s="423"/>
      <c r="G148" s="403"/>
      <c r="H148" s="1"/>
      <c r="I148" s="1"/>
      <c r="J148" s="1"/>
    </row>
    <row r="149" spans="2:10" ht="17.25" customHeight="1">
      <c r="B149" s="1"/>
      <c r="C149" s="1"/>
      <c r="D149" s="1"/>
      <c r="E149" s="1"/>
      <c r="G149"/>
      <c r="H149" s="1"/>
      <c r="I149" s="1"/>
      <c r="J149" s="1"/>
    </row>
    <row r="150" spans="2:10" ht="17.25" customHeight="1">
      <c r="B150" s="1"/>
      <c r="C150" s="1"/>
      <c r="D150" s="1"/>
      <c r="E150" s="1"/>
      <c r="F150" s="41"/>
      <c r="G150" s="1"/>
      <c r="H150" s="1"/>
      <c r="I150" s="1"/>
      <c r="J150" s="1"/>
    </row>
    <row r="151" spans="1:10" ht="17.25" customHeight="1">
      <c r="A151" s="41" t="s">
        <v>709</v>
      </c>
      <c r="B151" s="39"/>
      <c r="C151" s="39"/>
      <c r="D151" s="39" t="s">
        <v>859</v>
      </c>
      <c r="E151" s="1"/>
      <c r="F151" s="139" t="s">
        <v>460</v>
      </c>
      <c r="G151" s="6"/>
      <c r="H151" s="6"/>
      <c r="I151" s="845" t="s">
        <v>859</v>
      </c>
      <c r="J151" s="845"/>
    </row>
    <row r="152" spans="2:10" ht="17.25" customHeight="1">
      <c r="B152" s="1"/>
      <c r="C152" s="1"/>
      <c r="D152" s="1"/>
      <c r="E152" s="1"/>
      <c r="G152" s="1"/>
      <c r="H152" s="1"/>
      <c r="I152" s="1"/>
      <c r="J152" s="1"/>
    </row>
    <row r="153" spans="2:10" ht="17.25" customHeight="1">
      <c r="B153" s="1"/>
      <c r="C153" s="1"/>
      <c r="D153" s="1"/>
      <c r="E153" s="1"/>
      <c r="G153" s="1"/>
      <c r="H153" s="1"/>
      <c r="I153" s="1"/>
      <c r="J153" s="1"/>
    </row>
    <row r="154" spans="2:10" ht="17.25" customHeight="1">
      <c r="B154" s="1"/>
      <c r="C154" s="1"/>
      <c r="D154" s="1"/>
      <c r="E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G156" s="1"/>
      <c r="H156" s="1"/>
      <c r="I156" s="1"/>
      <c r="J156" s="1"/>
    </row>
    <row r="157" spans="2:10" ht="17.25" customHeight="1">
      <c r="B157" s="1"/>
      <c r="C157" s="1"/>
      <c r="D157" s="1"/>
      <c r="E157" s="1"/>
      <c r="G157" s="1"/>
      <c r="H157" s="1"/>
      <c r="I157" s="1"/>
      <c r="J157" s="1"/>
    </row>
    <row r="158" spans="2:10" ht="17.25" customHeight="1">
      <c r="B158" s="1"/>
      <c r="C158" s="1"/>
      <c r="D158" s="1"/>
      <c r="E158" s="1"/>
      <c r="G158" s="1"/>
      <c r="H158" s="1"/>
      <c r="I158" s="1"/>
      <c r="J158" s="1"/>
    </row>
    <row r="159" spans="2:10" ht="17.25" customHeight="1">
      <c r="B159" s="1"/>
      <c r="C159" s="1"/>
      <c r="D159" s="1"/>
      <c r="E159" s="1"/>
      <c r="G159" s="1"/>
      <c r="H159" s="1"/>
      <c r="I159" s="1"/>
      <c r="J159" s="1"/>
    </row>
    <row r="160" spans="2:10" ht="17.25" customHeight="1">
      <c r="B160" s="1"/>
      <c r="C160" s="1"/>
      <c r="D160" s="1"/>
      <c r="E160" s="1"/>
      <c r="G160" s="1"/>
      <c r="H160" s="1"/>
      <c r="I160" s="1"/>
      <c r="J160" s="1"/>
    </row>
    <row r="161" spans="2:10" ht="15" customHeight="1">
      <c r="B161" s="1"/>
      <c r="C161" s="1"/>
      <c r="D161" s="1"/>
      <c r="E161" s="1"/>
      <c r="G161" s="1"/>
      <c r="H161" s="1"/>
      <c r="I161" s="1"/>
      <c r="J161" s="1"/>
    </row>
    <row r="162" spans="2:10" ht="15" customHeight="1">
      <c r="B162" s="1"/>
      <c r="C162" s="1"/>
      <c r="D162" s="1"/>
      <c r="E162" s="1"/>
      <c r="G162" s="1"/>
      <c r="H162" s="1"/>
      <c r="I162" s="1"/>
      <c r="J162" s="1"/>
    </row>
    <row r="170" ht="17.25" customHeight="1">
      <c r="F170" s="206" t="s">
        <v>823</v>
      </c>
    </row>
    <row r="171" ht="17.25" customHeight="1">
      <c r="F171" s="206" t="s">
        <v>100</v>
      </c>
    </row>
  </sheetData>
  <mergeCells count="7">
    <mergeCell ref="A5:E5"/>
    <mergeCell ref="F5:J5"/>
    <mergeCell ref="I151:J151"/>
    <mergeCell ref="A2:E2"/>
    <mergeCell ref="F2:J2"/>
    <mergeCell ref="A4:E4"/>
    <mergeCell ref="F4:J4"/>
  </mergeCells>
  <printOptions horizontalCentered="1"/>
  <pageMargins left="0.9448818897637796" right="0.15748031496062992" top="0.984251968503937" bottom="0.4330708661417323" header="0.5118110236220472" footer="0.2362204724409449"/>
  <pageSetup firstPageNumber="23" useFirstPageNumber="1" horizontalDpi="300" verticalDpi="300" orientation="portrait" paperSize="9" scale="81" r:id="rId1"/>
  <headerFooter alignWithMargins="0">
    <oddFooter>&amp;R&amp;9&amp;P</oddFooter>
  </headerFooter>
  <rowBreaks count="2" manualBreakCount="2">
    <brk id="62" min="5" max="9" man="1"/>
    <brk id="122" min="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F1">
      <selection activeCell="F5" sqref="F5:J5"/>
    </sheetView>
  </sheetViews>
  <sheetFormatPr defaultColWidth="9.140625" defaultRowHeight="17.25" customHeight="1"/>
  <cols>
    <col min="1" max="1" width="37.421875" style="232" hidden="1" customWidth="1"/>
    <col min="2" max="2" width="13.140625" style="232" hidden="1" customWidth="1"/>
    <col min="3" max="3" width="11.7109375" style="380" hidden="1" customWidth="1"/>
    <col min="4" max="4" width="12.421875" style="39" hidden="1" customWidth="1"/>
    <col min="5" max="5" width="11.00390625" style="42" hidden="1" customWidth="1"/>
    <col min="6" max="6" width="37.421875" style="232" customWidth="1"/>
    <col min="7" max="7" width="13.140625" style="232" customWidth="1"/>
    <col min="8" max="8" width="8.8515625" style="42" customWidth="1"/>
    <col min="9" max="9" width="12.421875" style="39" customWidth="1"/>
    <col min="10" max="10" width="9.8515625" style="42" customWidth="1"/>
    <col min="11" max="13" width="9.140625" style="0" hidden="1" customWidth="1"/>
  </cols>
  <sheetData>
    <row r="1" spans="2:10" ht="17.25" customHeight="1">
      <c r="B1" s="51"/>
      <c r="E1" s="380" t="s">
        <v>176</v>
      </c>
      <c r="G1" s="51"/>
      <c r="H1" s="381"/>
      <c r="J1" s="380" t="s">
        <v>176</v>
      </c>
    </row>
    <row r="2" spans="1:6" ht="17.25" customHeight="1">
      <c r="A2" s="232" t="s">
        <v>177</v>
      </c>
      <c r="F2" s="232" t="s">
        <v>177</v>
      </c>
    </row>
    <row r="4" spans="1:10" ht="32.25" customHeight="1">
      <c r="A4" s="839" t="s">
        <v>178</v>
      </c>
      <c r="B4" s="839"/>
      <c r="C4" s="839"/>
      <c r="D4" s="839"/>
      <c r="E4" s="839"/>
      <c r="F4" s="840" t="s">
        <v>178</v>
      </c>
      <c r="G4" s="840"/>
      <c r="H4" s="840"/>
      <c r="I4" s="840"/>
      <c r="J4" s="840"/>
    </row>
    <row r="5" spans="1:10" ht="17.25" customHeight="1">
      <c r="A5" s="846"/>
      <c r="B5" s="846"/>
      <c r="C5" s="846"/>
      <c r="D5" s="846"/>
      <c r="E5" s="846"/>
      <c r="F5" s="846" t="s">
        <v>98</v>
      </c>
      <c r="G5" s="846"/>
      <c r="H5" s="846"/>
      <c r="I5" s="846"/>
      <c r="J5" s="846"/>
    </row>
    <row r="6" spans="1:10" s="38" customFormat="1" ht="13.5" customHeight="1">
      <c r="A6" s="237"/>
      <c r="B6" s="237"/>
      <c r="C6" s="382"/>
      <c r="D6" s="3"/>
      <c r="E6" s="382" t="s">
        <v>749</v>
      </c>
      <c r="F6" s="237"/>
      <c r="G6" s="237"/>
      <c r="H6" s="383"/>
      <c r="I6" s="3"/>
      <c r="J6" s="382" t="s">
        <v>749</v>
      </c>
    </row>
    <row r="7" spans="1:13" ht="51">
      <c r="A7" s="278" t="s">
        <v>644</v>
      </c>
      <c r="B7" s="278" t="s">
        <v>865</v>
      </c>
      <c r="C7" s="279" t="s">
        <v>179</v>
      </c>
      <c r="D7" s="278" t="s">
        <v>180</v>
      </c>
      <c r="E7" s="9" t="s">
        <v>117</v>
      </c>
      <c r="F7" s="278" t="s">
        <v>644</v>
      </c>
      <c r="G7" s="278" t="s">
        <v>865</v>
      </c>
      <c r="H7" s="279" t="s">
        <v>179</v>
      </c>
      <c r="I7" s="278" t="s">
        <v>180</v>
      </c>
      <c r="J7" s="9" t="s">
        <v>117</v>
      </c>
      <c r="K7" s="812" t="s">
        <v>118</v>
      </c>
      <c r="L7" s="806" t="s">
        <v>459</v>
      </c>
      <c r="M7" t="s">
        <v>461</v>
      </c>
    </row>
    <row r="8" spans="1:10" ht="12.75">
      <c r="A8" s="243">
        <v>1</v>
      </c>
      <c r="B8" s="243">
        <v>2</v>
      </c>
      <c r="C8" s="384">
        <v>3</v>
      </c>
      <c r="D8" s="243">
        <v>4</v>
      </c>
      <c r="E8" s="327">
        <v>5</v>
      </c>
      <c r="F8" s="243">
        <v>1</v>
      </c>
      <c r="G8" s="243">
        <v>2</v>
      </c>
      <c r="H8" s="327">
        <v>3</v>
      </c>
      <c r="I8" s="243">
        <v>4</v>
      </c>
      <c r="J8" s="327">
        <v>5</v>
      </c>
    </row>
    <row r="9" spans="1:13" ht="25.5">
      <c r="A9" s="92" t="s">
        <v>181</v>
      </c>
      <c r="B9" s="385">
        <f>SUM(B10:B12)</f>
        <v>5524909</v>
      </c>
      <c r="C9" s="385">
        <f>SUM(C10:C12)</f>
        <v>2946909</v>
      </c>
      <c r="D9" s="386">
        <f>C9/B9*100</f>
        <v>53.33859797509787</v>
      </c>
      <c r="E9" s="385">
        <f>E10+E11+E12</f>
        <v>178767</v>
      </c>
      <c r="F9" s="92" t="s">
        <v>181</v>
      </c>
      <c r="G9" s="385">
        <f>SUM(G10:G12)</f>
        <v>5525</v>
      </c>
      <c r="H9" s="385">
        <f>SUM(H10:H12)</f>
        <v>2947</v>
      </c>
      <c r="I9" s="388">
        <f>H9/G9*100</f>
        <v>53.339366515837106</v>
      </c>
      <c r="J9" s="387">
        <f>SUM(J10:J12)</f>
        <v>178</v>
      </c>
      <c r="K9">
        <f aca="true" t="shared" si="0" ref="K9:K36">H9</f>
        <v>2947</v>
      </c>
      <c r="L9">
        <v>2769</v>
      </c>
      <c r="M9">
        <f aca="true" t="shared" si="1" ref="M9:M36">K9-L9</f>
        <v>178</v>
      </c>
    </row>
    <row r="10" spans="1:13" ht="25.5">
      <c r="A10" s="69" t="s">
        <v>182</v>
      </c>
      <c r="B10" s="384">
        <v>4446313</v>
      </c>
      <c r="C10" s="384">
        <f>'[11]septembris'!$B$5</f>
        <v>2417871</v>
      </c>
      <c r="D10" s="389">
        <f>C10/B10*100</f>
        <v>54.37923511007885</v>
      </c>
      <c r="E10" s="384">
        <f>C10-'[12]augusts'!C10</f>
        <v>127314</v>
      </c>
      <c r="F10" s="69" t="s">
        <v>182</v>
      </c>
      <c r="G10" s="384">
        <f>ROUND(B10/1000,)</f>
        <v>4446</v>
      </c>
      <c r="H10" s="384">
        <f>ROUND(C10/1000,)</f>
        <v>2418</v>
      </c>
      <c r="I10" s="391">
        <f>H10/G10*100</f>
        <v>54.385964912280706</v>
      </c>
      <c r="J10" s="390">
        <f>ROUND(E10/1000,)</f>
        <v>127</v>
      </c>
      <c r="K10">
        <f t="shared" si="0"/>
        <v>2418</v>
      </c>
      <c r="L10">
        <v>2291</v>
      </c>
      <c r="M10">
        <f t="shared" si="1"/>
        <v>127</v>
      </c>
    </row>
    <row r="11" spans="1:13" ht="25.5">
      <c r="A11" s="69" t="s">
        <v>183</v>
      </c>
      <c r="B11" s="384">
        <v>1078596</v>
      </c>
      <c r="C11" s="384">
        <f>'[11]septembris'!$B$6+26627</f>
        <v>475443</v>
      </c>
      <c r="D11" s="389">
        <f>C11/B11*100</f>
        <v>44.07980374486833</v>
      </c>
      <c r="E11" s="384">
        <f>C11-'[12]augusts'!C11</f>
        <v>51453</v>
      </c>
      <c r="F11" s="69" t="s">
        <v>183</v>
      </c>
      <c r="G11" s="384">
        <f>ROUND(B11/1000,)</f>
        <v>1079</v>
      </c>
      <c r="H11" s="384">
        <f>ROUND(C11/1000,)</f>
        <v>475</v>
      </c>
      <c r="I11" s="391">
        <f>H11/G11*100</f>
        <v>44.02224281742354</v>
      </c>
      <c r="J11" s="390">
        <f>ROUND(E11/1000,)</f>
        <v>51</v>
      </c>
      <c r="K11">
        <f t="shared" si="0"/>
        <v>475</v>
      </c>
      <c r="L11">
        <v>424</v>
      </c>
      <c r="M11">
        <f t="shared" si="1"/>
        <v>51</v>
      </c>
    </row>
    <row r="12" spans="1:13" ht="25.5">
      <c r="A12" s="69" t="s">
        <v>184</v>
      </c>
      <c r="B12" s="327" t="s">
        <v>650</v>
      </c>
      <c r="C12" s="384">
        <f>'[11]septembris'!$B$7</f>
        <v>53595</v>
      </c>
      <c r="D12" s="389"/>
      <c r="E12" s="384">
        <f>C12-'[12]augusts'!C12</f>
        <v>0</v>
      </c>
      <c r="F12" s="69" t="s">
        <v>184</v>
      </c>
      <c r="G12" s="243" t="s">
        <v>650</v>
      </c>
      <c r="H12" s="390">
        <f>ROUND(C12/1000,)</f>
        <v>54</v>
      </c>
      <c r="I12" s="243" t="s">
        <v>650</v>
      </c>
      <c r="J12" s="390">
        <f>ROUND(E12/1000,)</f>
        <v>0</v>
      </c>
      <c r="K12">
        <f t="shared" si="0"/>
        <v>54</v>
      </c>
      <c r="L12">
        <v>54</v>
      </c>
      <c r="M12">
        <f t="shared" si="1"/>
        <v>0</v>
      </c>
    </row>
    <row r="13" spans="1:13" ht="17.25" customHeight="1">
      <c r="A13" s="92" t="s">
        <v>185</v>
      </c>
      <c r="B13" s="96">
        <f>SUM(B14,B31)</f>
        <v>6010038</v>
      </c>
      <c r="C13" s="344">
        <f>SUM(C14,C31)</f>
        <v>3217112.84</v>
      </c>
      <c r="D13" s="389">
        <f>C13/B13*100</f>
        <v>53.52899332749643</v>
      </c>
      <c r="E13" s="384">
        <f>C13-'[12]augusts'!C13</f>
        <v>435648.83999999985</v>
      </c>
      <c r="F13" s="92" t="s">
        <v>185</v>
      </c>
      <c r="G13" s="344">
        <f>SUM(G14,G31)</f>
        <v>6010</v>
      </c>
      <c r="H13" s="344">
        <f>SUM(H14,H31)</f>
        <v>3218</v>
      </c>
      <c r="I13" s="388">
        <f>H13/G13*100</f>
        <v>53.5440931780366</v>
      </c>
      <c r="J13" s="344">
        <f>J14+J31</f>
        <v>436</v>
      </c>
      <c r="K13">
        <f t="shared" si="0"/>
        <v>3218</v>
      </c>
      <c r="L13">
        <v>2782</v>
      </c>
      <c r="M13">
        <f t="shared" si="1"/>
        <v>436</v>
      </c>
    </row>
    <row r="14" spans="1:13" ht="17.25" customHeight="1">
      <c r="A14" s="98" t="s">
        <v>70</v>
      </c>
      <c r="B14" s="96">
        <f>SUM(B15,B22,B25)</f>
        <v>5447890</v>
      </c>
      <c r="C14" s="392">
        <f>SUM(C15,C22,C25)</f>
        <v>2954957.84</v>
      </c>
      <c r="D14" s="389">
        <f>C14/B14*100</f>
        <v>54.240409406210475</v>
      </c>
      <c r="E14" s="384">
        <f>C14-'[12]augusts'!C14</f>
        <v>402458.83999999985</v>
      </c>
      <c r="F14" s="98" t="s">
        <v>70</v>
      </c>
      <c r="G14" s="344">
        <f>SUM(G15,G22,G25)</f>
        <v>5447</v>
      </c>
      <c r="H14" s="344">
        <f>SUM(H15,H22,H25)</f>
        <v>2956</v>
      </c>
      <c r="I14" s="388">
        <f>H14/G14*100</f>
        <v>54.26840462639986</v>
      </c>
      <c r="J14" s="344">
        <f>J15+J22+J25</f>
        <v>403</v>
      </c>
      <c r="K14">
        <f t="shared" si="0"/>
        <v>2956</v>
      </c>
      <c r="L14">
        <v>2553</v>
      </c>
      <c r="M14">
        <f t="shared" si="1"/>
        <v>403</v>
      </c>
    </row>
    <row r="15" spans="1:13" ht="17.25" customHeight="1">
      <c r="A15" s="98" t="s">
        <v>955</v>
      </c>
      <c r="B15" s="344">
        <f>SUM(B16,B17,B18,B21)</f>
        <v>4724409</v>
      </c>
      <c r="C15" s="392">
        <f>SUM(C16,C17,C18,C21)</f>
        <v>2518015.84</v>
      </c>
      <c r="D15" s="389">
        <f>C15/B15*100</f>
        <v>53.29800700997733</v>
      </c>
      <c r="E15" s="384">
        <f>C15-'[12]augusts'!C15</f>
        <v>331574.83999999985</v>
      </c>
      <c r="F15" s="98" t="s">
        <v>955</v>
      </c>
      <c r="G15" s="344">
        <f>SUM(G16,G17,G18,G21)</f>
        <v>4724</v>
      </c>
      <c r="H15" s="344">
        <f>SUM(H16,H17,H18,H21)</f>
        <v>2519</v>
      </c>
      <c r="I15" s="388">
        <f>H15/G15*100</f>
        <v>53.32345469940728</v>
      </c>
      <c r="J15" s="344">
        <f>SUM(J16:J18)</f>
        <v>332</v>
      </c>
      <c r="K15">
        <f t="shared" si="0"/>
        <v>2519</v>
      </c>
      <c r="L15">
        <v>2187</v>
      </c>
      <c r="M15">
        <f t="shared" si="1"/>
        <v>332</v>
      </c>
    </row>
    <row r="16" spans="1:13" ht="17.25" customHeight="1">
      <c r="A16" s="218" t="s">
        <v>956</v>
      </c>
      <c r="B16" s="384">
        <v>658066</v>
      </c>
      <c r="C16" s="384">
        <f>'[11]septembris'!$B$16</f>
        <v>434762</v>
      </c>
      <c r="D16" s="389">
        <f>C16/B16*100</f>
        <v>66.06662553604046</v>
      </c>
      <c r="E16" s="384">
        <f>C16-'[12]augusts'!C16</f>
        <v>47855</v>
      </c>
      <c r="F16" s="218" t="s">
        <v>956</v>
      </c>
      <c r="G16" s="390">
        <f>ROUND(B16/1000,)</f>
        <v>658</v>
      </c>
      <c r="H16" s="390">
        <f>ROUND(C16/1000,)</f>
        <v>435</v>
      </c>
      <c r="I16" s="391">
        <f>H16/G16*100</f>
        <v>66.10942249240122</v>
      </c>
      <c r="J16" s="390">
        <f>ROUND(E16/1000,)</f>
        <v>48</v>
      </c>
      <c r="K16">
        <f t="shared" si="0"/>
        <v>435</v>
      </c>
      <c r="L16">
        <v>387</v>
      </c>
      <c r="M16">
        <f t="shared" si="1"/>
        <v>48</v>
      </c>
    </row>
    <row r="17" spans="1:13" ht="25.5">
      <c r="A17" s="69" t="s">
        <v>186</v>
      </c>
      <c r="B17" s="308" t="s">
        <v>650</v>
      </c>
      <c r="C17" s="384">
        <f>'[11]septembris'!$B$17</f>
        <v>60555</v>
      </c>
      <c r="D17" s="389"/>
      <c r="E17" s="384">
        <f>C17-'[12]augusts'!C17</f>
        <v>7007</v>
      </c>
      <c r="F17" s="69" t="s">
        <v>186</v>
      </c>
      <c r="G17" s="363" t="s">
        <v>650</v>
      </c>
      <c r="H17" s="390">
        <f>ROUND(C17/1000,)</f>
        <v>61</v>
      </c>
      <c r="I17" s="391"/>
      <c r="J17" s="390">
        <f>ROUND(E17/1000,)</f>
        <v>7</v>
      </c>
      <c r="K17">
        <f t="shared" si="0"/>
        <v>61</v>
      </c>
      <c r="L17">
        <v>54</v>
      </c>
      <c r="M17">
        <f t="shared" si="1"/>
        <v>7</v>
      </c>
    </row>
    <row r="18" spans="1:13" ht="17.25" customHeight="1">
      <c r="A18" s="69" t="s">
        <v>958</v>
      </c>
      <c r="B18" s="257">
        <v>4066343</v>
      </c>
      <c r="C18" s="384">
        <f>'[11]septembris'!$B$18+26627</f>
        <v>2022698.84</v>
      </c>
      <c r="D18" s="389">
        <f>C18/B18*100</f>
        <v>49.74245507572775</v>
      </c>
      <c r="E18" s="384">
        <f>C18-'[12]augusts'!C18</f>
        <v>276712.8400000001</v>
      </c>
      <c r="F18" s="69" t="s">
        <v>958</v>
      </c>
      <c r="G18" s="384">
        <f>ROUND(B18/1000,)</f>
        <v>4066</v>
      </c>
      <c r="H18" s="384">
        <f>H19+H20</f>
        <v>2023</v>
      </c>
      <c r="I18" s="391">
        <f>H18/G18*100</f>
        <v>49.75405804230202</v>
      </c>
      <c r="J18" s="390">
        <f>ROUND(E18/1000,)</f>
        <v>277</v>
      </c>
      <c r="K18">
        <f t="shared" si="0"/>
        <v>2023</v>
      </c>
      <c r="L18">
        <v>1746</v>
      </c>
      <c r="M18">
        <f t="shared" si="1"/>
        <v>277</v>
      </c>
    </row>
    <row r="19" spans="1:13" ht="17.25" customHeight="1">
      <c r="A19" s="310" t="s">
        <v>187</v>
      </c>
      <c r="B19" s="393" t="s">
        <v>650</v>
      </c>
      <c r="C19" s="384">
        <f>'[11]septembris'!$B$19</f>
        <v>1710734.84</v>
      </c>
      <c r="D19" s="389"/>
      <c r="E19" s="384">
        <f>C19-'[12]augusts'!C19</f>
        <v>219367.84000000008</v>
      </c>
      <c r="F19" s="310" t="s">
        <v>187</v>
      </c>
      <c r="G19" s="807" t="s">
        <v>650</v>
      </c>
      <c r="H19" s="384">
        <f>ROUND(C19/1000,)+1</f>
        <v>1712</v>
      </c>
      <c r="I19" s="391"/>
      <c r="J19" s="390">
        <f>ROUND(E19/1000,)+1</f>
        <v>220</v>
      </c>
      <c r="K19">
        <f t="shared" si="0"/>
        <v>1712</v>
      </c>
      <c r="L19">
        <v>1492</v>
      </c>
      <c r="M19">
        <f t="shared" si="1"/>
        <v>220</v>
      </c>
    </row>
    <row r="20" spans="1:13" ht="12.75">
      <c r="A20" s="310" t="s">
        <v>188</v>
      </c>
      <c r="B20" s="393" t="s">
        <v>650</v>
      </c>
      <c r="C20" s="384">
        <f>'[11]septembris'!$B$20+26627</f>
        <v>311964</v>
      </c>
      <c r="D20" s="389"/>
      <c r="E20" s="384">
        <f>C20-'[12]augusts'!C20</f>
        <v>57345</v>
      </c>
      <c r="F20" s="310" t="s">
        <v>188</v>
      </c>
      <c r="G20" s="807" t="s">
        <v>650</v>
      </c>
      <c r="H20" s="384">
        <f>ROUND(C20/1000,)-1</f>
        <v>311</v>
      </c>
      <c r="I20" s="391"/>
      <c r="J20" s="390">
        <f>ROUND(E20/1000,)</f>
        <v>57</v>
      </c>
      <c r="K20">
        <f t="shared" si="0"/>
        <v>311</v>
      </c>
      <c r="L20">
        <v>254</v>
      </c>
      <c r="M20">
        <f t="shared" si="1"/>
        <v>57</v>
      </c>
    </row>
    <row r="21" spans="1:13" ht="12.75">
      <c r="A21" s="69" t="s">
        <v>189</v>
      </c>
      <c r="B21" s="308"/>
      <c r="C21" s="384">
        <f>'[11]septembris'!$B$21</f>
        <v>0</v>
      </c>
      <c r="D21" s="389"/>
      <c r="E21" s="384">
        <f>C21-'[12]augusts'!C21</f>
        <v>0</v>
      </c>
      <c r="F21" s="69" t="s">
        <v>189</v>
      </c>
      <c r="G21" s="363"/>
      <c r="H21" s="384"/>
      <c r="I21" s="391"/>
      <c r="J21" s="390"/>
      <c r="K21">
        <f t="shared" si="0"/>
        <v>0</v>
      </c>
      <c r="M21">
        <f t="shared" si="1"/>
        <v>0</v>
      </c>
    </row>
    <row r="22" spans="1:13" ht="25.5">
      <c r="A22" s="76" t="s">
        <v>959</v>
      </c>
      <c r="B22" s="308"/>
      <c r="C22" s="384">
        <f>'[11]septembris'!$B$22</f>
        <v>0</v>
      </c>
      <c r="D22" s="389"/>
      <c r="E22" s="384">
        <f>C22-'[12]augusts'!C22</f>
        <v>0</v>
      </c>
      <c r="F22" s="76" t="s">
        <v>959</v>
      </c>
      <c r="G22" s="363"/>
      <c r="H22" s="344"/>
      <c r="I22" s="391"/>
      <c r="J22" s="344"/>
      <c r="K22">
        <f t="shared" si="0"/>
        <v>0</v>
      </c>
      <c r="M22">
        <f t="shared" si="1"/>
        <v>0</v>
      </c>
    </row>
    <row r="23" spans="1:13" ht="25.5">
      <c r="A23" s="69" t="s">
        <v>190</v>
      </c>
      <c r="B23" s="308"/>
      <c r="C23" s="384">
        <f>'[11]septembris'!$B$23</f>
        <v>0</v>
      </c>
      <c r="D23" s="389"/>
      <c r="E23" s="384">
        <f>C23-'[12]augusts'!C23</f>
        <v>0</v>
      </c>
      <c r="F23" s="69" t="s">
        <v>190</v>
      </c>
      <c r="G23" s="363"/>
      <c r="H23" s="384"/>
      <c r="I23" s="391"/>
      <c r="J23" s="384"/>
      <c r="K23">
        <f t="shared" si="0"/>
        <v>0</v>
      </c>
      <c r="M23">
        <f t="shared" si="1"/>
        <v>0</v>
      </c>
    </row>
    <row r="24" spans="1:13" ht="25.5">
      <c r="A24" s="69" t="s">
        <v>191</v>
      </c>
      <c r="B24" s="308"/>
      <c r="C24" s="384">
        <f>'[11]septembris'!$B$24</f>
        <v>0</v>
      </c>
      <c r="D24" s="389"/>
      <c r="E24" s="384">
        <f>C24-'[12]augusts'!C24</f>
        <v>0</v>
      </c>
      <c r="F24" s="69" t="s">
        <v>191</v>
      </c>
      <c r="G24" s="363"/>
      <c r="H24" s="384"/>
      <c r="I24" s="391"/>
      <c r="J24" s="384"/>
      <c r="K24">
        <f t="shared" si="0"/>
        <v>0</v>
      </c>
      <c r="M24">
        <f t="shared" si="1"/>
        <v>0</v>
      </c>
    </row>
    <row r="25" spans="1:13" ht="12.75">
      <c r="A25" s="32" t="s">
        <v>963</v>
      </c>
      <c r="B25" s="344">
        <f>SUM(B26:B30)</f>
        <v>723481</v>
      </c>
      <c r="C25" s="384">
        <f>'[11]septembris'!$B$25</f>
        <v>436942</v>
      </c>
      <c r="D25" s="389">
        <f>C25/B25*100</f>
        <v>60.39439874716821</v>
      </c>
      <c r="E25" s="384">
        <f>C25-'[12]augusts'!C25</f>
        <v>70884</v>
      </c>
      <c r="F25" s="32" t="s">
        <v>963</v>
      </c>
      <c r="G25" s="344">
        <f>SUM(G26:G30)</f>
        <v>723</v>
      </c>
      <c r="H25" s="344">
        <f>SUM(H26:H30)</f>
        <v>437</v>
      </c>
      <c r="I25" s="388">
        <f>H25/G25*100</f>
        <v>60.44260027662517</v>
      </c>
      <c r="J25" s="394">
        <f>J26+J27+J28+J29+J30</f>
        <v>71</v>
      </c>
      <c r="K25">
        <f t="shared" si="0"/>
        <v>437</v>
      </c>
      <c r="L25">
        <v>366</v>
      </c>
      <c r="M25">
        <f t="shared" si="1"/>
        <v>71</v>
      </c>
    </row>
    <row r="26" spans="1:13" ht="12.75">
      <c r="A26" s="218" t="s">
        <v>964</v>
      </c>
      <c r="B26" s="363">
        <v>18300</v>
      </c>
      <c r="C26" s="384">
        <f>'[11]septembris'!$B$26</f>
        <v>12300</v>
      </c>
      <c r="D26" s="389">
        <f>C26/B26*100</f>
        <v>67.21311475409836</v>
      </c>
      <c r="E26" s="384">
        <f>C26-'[12]augusts'!C26</f>
        <v>0</v>
      </c>
      <c r="F26" s="218" t="s">
        <v>964</v>
      </c>
      <c r="G26" s="390">
        <f>ROUND(B26/1000,)</f>
        <v>18</v>
      </c>
      <c r="H26" s="390">
        <f>ROUND(C26/1000,)</f>
        <v>12</v>
      </c>
      <c r="I26" s="391">
        <f>H26/G26*100</f>
        <v>66.66666666666666</v>
      </c>
      <c r="J26" s="390">
        <f>ROUND(E26/1000,)</f>
        <v>0</v>
      </c>
      <c r="K26">
        <f t="shared" si="0"/>
        <v>12</v>
      </c>
      <c r="L26">
        <v>12</v>
      </c>
      <c r="M26">
        <f t="shared" si="1"/>
        <v>0</v>
      </c>
    </row>
    <row r="27" spans="1:13" ht="12.75">
      <c r="A27" s="218" t="s">
        <v>965</v>
      </c>
      <c r="B27" s="363"/>
      <c r="C27" s="384">
        <f>'[11]septembris'!$B$27</f>
        <v>300</v>
      </c>
      <c r="D27" s="389"/>
      <c r="E27" s="384">
        <f>C27-'[12]augusts'!C27</f>
        <v>0</v>
      </c>
      <c r="F27" s="218" t="s">
        <v>965</v>
      </c>
      <c r="G27" s="363"/>
      <c r="H27" s="390"/>
      <c r="I27" s="391"/>
      <c r="J27" s="390"/>
      <c r="K27">
        <f t="shared" si="0"/>
        <v>0</v>
      </c>
      <c r="M27">
        <f t="shared" si="1"/>
        <v>0</v>
      </c>
    </row>
    <row r="28" spans="1:13" ht="12.75">
      <c r="A28" s="69" t="s">
        <v>966</v>
      </c>
      <c r="B28" s="363"/>
      <c r="C28" s="384">
        <f>'[11]septembris'!$B$28</f>
        <v>0</v>
      </c>
      <c r="D28" s="389"/>
      <c r="E28" s="384">
        <f>C28-'[12]augusts'!C28</f>
        <v>0</v>
      </c>
      <c r="F28" s="69" t="s">
        <v>966</v>
      </c>
      <c r="G28" s="363"/>
      <c r="H28" s="390"/>
      <c r="I28" s="391"/>
      <c r="J28" s="390"/>
      <c r="K28">
        <f t="shared" si="0"/>
        <v>0</v>
      </c>
      <c r="M28">
        <f t="shared" si="1"/>
        <v>0</v>
      </c>
    </row>
    <row r="29" spans="1:13" ht="12.75">
      <c r="A29" s="69" t="s">
        <v>192</v>
      </c>
      <c r="B29" s="384">
        <v>378054</v>
      </c>
      <c r="C29" s="384">
        <f>'[11]septembris'!$B$29</f>
        <v>253647</v>
      </c>
      <c r="D29" s="389">
        <f>C29/B29*100</f>
        <v>67.09279626719993</v>
      </c>
      <c r="E29" s="384">
        <f>C29-'[12]augusts'!C29</f>
        <v>61055</v>
      </c>
      <c r="F29" s="69" t="s">
        <v>192</v>
      </c>
      <c r="G29" s="390">
        <f>ROUND(B29/1000,)</f>
        <v>378</v>
      </c>
      <c r="H29" s="390">
        <f>ROUND(C29/1000,)</f>
        <v>254</v>
      </c>
      <c r="I29" s="391">
        <f>H29/G29*100</f>
        <v>67.1957671957672</v>
      </c>
      <c r="J29" s="390">
        <f>ROUND(E29/1000,)</f>
        <v>61</v>
      </c>
      <c r="K29">
        <f t="shared" si="0"/>
        <v>254</v>
      </c>
      <c r="L29">
        <v>193</v>
      </c>
      <c r="M29">
        <f t="shared" si="1"/>
        <v>61</v>
      </c>
    </row>
    <row r="30" spans="1:13" ht="12.75">
      <c r="A30" s="69" t="s">
        <v>969</v>
      </c>
      <c r="B30" s="384">
        <v>327127</v>
      </c>
      <c r="C30" s="384">
        <f>'[11]septembris'!$B$30</f>
        <v>170695</v>
      </c>
      <c r="D30" s="389">
        <f>C30/B30*100</f>
        <v>52.18004016788586</v>
      </c>
      <c r="E30" s="384">
        <f>C30-'[12]augusts'!C30</f>
        <v>9829</v>
      </c>
      <c r="F30" s="69" t="s">
        <v>969</v>
      </c>
      <c r="G30" s="390">
        <f>ROUND(B30/1000,)</f>
        <v>327</v>
      </c>
      <c r="H30" s="390">
        <f>ROUND(C30/1000,)</f>
        <v>171</v>
      </c>
      <c r="I30" s="391">
        <f>H30/G30*100</f>
        <v>52.293577981651374</v>
      </c>
      <c r="J30" s="390">
        <f>ROUND(E30/1000,)</f>
        <v>10</v>
      </c>
      <c r="K30">
        <f t="shared" si="0"/>
        <v>171</v>
      </c>
      <c r="L30">
        <v>161</v>
      </c>
      <c r="M30">
        <f t="shared" si="1"/>
        <v>10</v>
      </c>
    </row>
    <row r="31" spans="1:13" ht="12.75">
      <c r="A31" s="128" t="s">
        <v>193</v>
      </c>
      <c r="B31" s="344">
        <f>SUM(B32:B33)</f>
        <v>562148</v>
      </c>
      <c r="C31" s="384">
        <f>'[11]septembris'!$B$31</f>
        <v>262155</v>
      </c>
      <c r="D31" s="389">
        <f>C31/B31*100</f>
        <v>46.63451617723447</v>
      </c>
      <c r="E31" s="384">
        <f>C31-'[12]augusts'!C31</f>
        <v>33190</v>
      </c>
      <c r="F31" s="128" t="s">
        <v>193</v>
      </c>
      <c r="G31" s="344">
        <f>SUM(G32:G33)</f>
        <v>563</v>
      </c>
      <c r="H31" s="180">
        <f>SUM(H32:H33)</f>
        <v>262</v>
      </c>
      <c r="I31" s="388">
        <f>H31/G31*100</f>
        <v>46.53641207815276</v>
      </c>
      <c r="J31" s="394">
        <f>J32+J33</f>
        <v>33</v>
      </c>
      <c r="K31">
        <f t="shared" si="0"/>
        <v>262</v>
      </c>
      <c r="L31">
        <v>229</v>
      </c>
      <c r="M31">
        <f t="shared" si="1"/>
        <v>33</v>
      </c>
    </row>
    <row r="32" spans="1:13" ht="17.25" customHeight="1">
      <c r="A32" s="69" t="s">
        <v>194</v>
      </c>
      <c r="B32" s="384">
        <v>560538</v>
      </c>
      <c r="C32" s="384">
        <f>'[11]septembris'!$B$32</f>
        <v>262155</v>
      </c>
      <c r="D32" s="389">
        <f>C32/B32*100</f>
        <v>46.76846172784004</v>
      </c>
      <c r="E32" s="384">
        <f>C32-'[12]augusts'!C32</f>
        <v>33190</v>
      </c>
      <c r="F32" s="69" t="s">
        <v>194</v>
      </c>
      <c r="G32" s="390">
        <f>ROUND(B32/1000,)</f>
        <v>561</v>
      </c>
      <c r="H32" s="390">
        <f>ROUND(C32/1000,)</f>
        <v>262</v>
      </c>
      <c r="I32" s="391">
        <f>H32/G32*100</f>
        <v>46.702317290552585</v>
      </c>
      <c r="J32" s="390">
        <f>ROUND(E32/1000,)</f>
        <v>33</v>
      </c>
      <c r="K32">
        <f t="shared" si="0"/>
        <v>262</v>
      </c>
      <c r="L32">
        <v>229</v>
      </c>
      <c r="M32">
        <f t="shared" si="1"/>
        <v>33</v>
      </c>
    </row>
    <row r="33" spans="1:13" ht="17.25" customHeight="1">
      <c r="A33" s="69" t="s">
        <v>195</v>
      </c>
      <c r="B33" s="390">
        <v>1610</v>
      </c>
      <c r="C33" s="384">
        <f>'[11]septembris'!$B$33</f>
        <v>0</v>
      </c>
      <c r="D33" s="389"/>
      <c r="E33" s="384">
        <f>C33-'[12]augusts'!C33</f>
        <v>0</v>
      </c>
      <c r="F33" s="69" t="s">
        <v>195</v>
      </c>
      <c r="G33" s="390">
        <f>ROUND(B33/1000,)</f>
        <v>2</v>
      </c>
      <c r="H33" s="390">
        <f>ROUND(C33/1000,)</f>
        <v>0</v>
      </c>
      <c r="I33" s="391"/>
      <c r="J33" s="390">
        <f>ROUND(E33/1000,)</f>
        <v>0</v>
      </c>
      <c r="K33">
        <f t="shared" si="0"/>
        <v>0</v>
      </c>
      <c r="L33">
        <v>0</v>
      </c>
      <c r="M33">
        <f t="shared" si="1"/>
        <v>0</v>
      </c>
    </row>
    <row r="34" spans="1:13" ht="12.75">
      <c r="A34" s="128" t="s">
        <v>196</v>
      </c>
      <c r="B34" s="363">
        <f>B9-B13</f>
        <v>-485129</v>
      </c>
      <c r="C34" s="363">
        <f>C9-C13</f>
        <v>-270203.83999999985</v>
      </c>
      <c r="D34" s="389">
        <f>C34/B34*100</f>
        <v>55.697317620674056</v>
      </c>
      <c r="E34" s="384">
        <f>C34-'[12]augusts'!C34</f>
        <v>-256881.83999999985</v>
      </c>
      <c r="F34" s="128" t="s">
        <v>196</v>
      </c>
      <c r="G34" s="363">
        <f>G9-G13</f>
        <v>-485</v>
      </c>
      <c r="H34" s="384">
        <f>(H9-H13)</f>
        <v>-271</v>
      </c>
      <c r="I34" s="391">
        <f>H34/G34*100</f>
        <v>55.876288659793815</v>
      </c>
      <c r="J34" s="384">
        <f>J9-J13</f>
        <v>-258</v>
      </c>
      <c r="K34">
        <f t="shared" si="0"/>
        <v>-271</v>
      </c>
      <c r="L34">
        <v>-13</v>
      </c>
      <c r="M34">
        <f t="shared" si="1"/>
        <v>-258</v>
      </c>
    </row>
    <row r="35" spans="1:13" ht="12.75">
      <c r="A35" s="128" t="s">
        <v>989</v>
      </c>
      <c r="B35" s="395">
        <f>-B34</f>
        <v>485129</v>
      </c>
      <c r="C35" s="395">
        <f>-C34</f>
        <v>270203.83999999985</v>
      </c>
      <c r="D35" s="389">
        <f>C35/B35*100</f>
        <v>55.697317620674056</v>
      </c>
      <c r="E35" s="384">
        <f>C35-'[12]augusts'!C35</f>
        <v>256881.83999999985</v>
      </c>
      <c r="F35" s="128" t="s">
        <v>989</v>
      </c>
      <c r="G35" s="363">
        <f>ROUND(B35/1000,)</f>
        <v>485</v>
      </c>
      <c r="H35" s="384">
        <f>-H34</f>
        <v>271</v>
      </c>
      <c r="I35" s="391">
        <f>-H35/G35*100</f>
        <v>-55.876288659793815</v>
      </c>
      <c r="J35" s="384">
        <f>-J34</f>
        <v>258</v>
      </c>
      <c r="K35">
        <f t="shared" si="0"/>
        <v>271</v>
      </c>
      <c r="L35">
        <v>13</v>
      </c>
      <c r="M35">
        <f t="shared" si="1"/>
        <v>258</v>
      </c>
    </row>
    <row r="36" spans="1:13" ht="25.5">
      <c r="A36" s="131" t="s">
        <v>197</v>
      </c>
      <c r="B36" s="395">
        <f>B35</f>
        <v>485129</v>
      </c>
      <c r="C36" s="384">
        <f>C35</f>
        <v>270203.83999999985</v>
      </c>
      <c r="D36" s="389">
        <f>C36/B36*100</f>
        <v>55.697317620674056</v>
      </c>
      <c r="E36" s="384">
        <f>C36-'[12]augusts'!C36</f>
        <v>256881.83999999985</v>
      </c>
      <c r="F36" s="131" t="s">
        <v>197</v>
      </c>
      <c r="G36" s="363">
        <f>ROUND(B36/1000,)</f>
        <v>485</v>
      </c>
      <c r="H36" s="384">
        <f>H35</f>
        <v>271</v>
      </c>
      <c r="I36" s="391">
        <f>-H36/G36*100</f>
        <v>-55.876288659793815</v>
      </c>
      <c r="J36" s="384">
        <f>J35</f>
        <v>258</v>
      </c>
      <c r="K36">
        <f t="shared" si="0"/>
        <v>271</v>
      </c>
      <c r="L36">
        <v>13</v>
      </c>
      <c r="M36">
        <f t="shared" si="1"/>
        <v>258</v>
      </c>
    </row>
    <row r="37" spans="1:10" ht="12.75">
      <c r="A37" s="665"/>
      <c r="B37" s="396"/>
      <c r="C37" s="666"/>
      <c r="D37" s="667"/>
      <c r="E37" s="666"/>
      <c r="F37" s="423"/>
      <c r="G37" s="403"/>
      <c r="H37" s="666"/>
      <c r="I37" s="668"/>
      <c r="J37" s="666"/>
    </row>
    <row r="38" spans="1:10" ht="12.75">
      <c r="A38" s="665"/>
      <c r="B38" s="396"/>
      <c r="C38" s="666"/>
      <c r="D38" s="667"/>
      <c r="E38" s="666"/>
      <c r="F38" s="49"/>
      <c r="G38"/>
      <c r="H38" s="666"/>
      <c r="I38" s="668"/>
      <c r="J38" s="666"/>
    </row>
    <row r="39" spans="1:10" ht="12.75">
      <c r="A39" s="665"/>
      <c r="B39" s="396"/>
      <c r="C39" s="666"/>
      <c r="D39" s="667"/>
      <c r="E39" s="666"/>
      <c r="F39" s="665"/>
      <c r="G39" s="669"/>
      <c r="H39" s="666"/>
      <c r="I39" s="668"/>
      <c r="J39" s="666"/>
    </row>
    <row r="40" spans="1:10" ht="12.75">
      <c r="A40" s="665"/>
      <c r="B40" s="396"/>
      <c r="C40" s="666"/>
      <c r="D40" s="667"/>
      <c r="E40" s="666"/>
      <c r="F40" s="665"/>
      <c r="G40" s="669"/>
      <c r="H40" s="666"/>
      <c r="I40" s="668"/>
      <c r="J40" s="666"/>
    </row>
    <row r="41" spans="1:11" ht="17.25" customHeight="1">
      <c r="A41" s="41" t="s">
        <v>198</v>
      </c>
      <c r="B41" s="39"/>
      <c r="C41" s="275"/>
      <c r="D41" s="39" t="s">
        <v>859</v>
      </c>
      <c r="E41" s="1"/>
      <c r="F41" s="768" t="s">
        <v>462</v>
      </c>
      <c r="G41" s="748"/>
      <c r="H41" s="769"/>
      <c r="I41" s="748" t="s">
        <v>859</v>
      </c>
      <c r="K41" s="49"/>
    </row>
    <row r="42" spans="1:10" ht="17.25" customHeight="1">
      <c r="A42" s="84"/>
      <c r="B42" s="396"/>
      <c r="C42" s="397"/>
      <c r="D42" s="322"/>
      <c r="E42" s="398"/>
      <c r="F42" s="84"/>
      <c r="G42" s="396"/>
      <c r="H42" s="398"/>
      <c r="I42" s="322"/>
      <c r="J42" s="398"/>
    </row>
    <row r="43" spans="1:10" ht="17.25" customHeight="1">
      <c r="A43" s="84"/>
      <c r="B43" s="84"/>
      <c r="C43" s="397"/>
      <c r="D43" s="354"/>
      <c r="E43" s="398"/>
      <c r="H43" s="399"/>
      <c r="I43" s="354"/>
      <c r="J43" s="398"/>
    </row>
    <row r="45" spans="1:9" ht="17.25" customHeight="1">
      <c r="A45" s="84"/>
      <c r="B45" s="396"/>
      <c r="C45" s="397"/>
      <c r="D45" s="322"/>
      <c r="F45" s="232" t="s">
        <v>745</v>
      </c>
      <c r="G45" s="396"/>
      <c r="H45" s="398"/>
      <c r="I45" s="322"/>
    </row>
    <row r="46" spans="2:10" ht="17.25" customHeight="1">
      <c r="B46" s="400"/>
      <c r="D46" s="401"/>
      <c r="E46" s="381"/>
      <c r="F46" s="232" t="s">
        <v>116</v>
      </c>
      <c r="G46" s="400"/>
      <c r="H46" s="381"/>
      <c r="I46" s="401"/>
      <c r="J46" s="381"/>
    </row>
    <row r="47" spans="2:9" ht="17.25" customHeight="1">
      <c r="B47" s="42"/>
      <c r="D47" s="401"/>
      <c r="G47" s="42"/>
      <c r="I47" s="401"/>
    </row>
    <row r="48" spans="2:9" ht="17.25" customHeight="1">
      <c r="B48" s="42"/>
      <c r="D48" s="401"/>
      <c r="G48" s="42"/>
      <c r="I48" s="401"/>
    </row>
    <row r="49" spans="2:9" ht="17.25" customHeight="1">
      <c r="B49" s="42"/>
      <c r="D49" s="401"/>
      <c r="G49" s="42"/>
      <c r="I49" s="401"/>
    </row>
    <row r="50" spans="1:9" ht="17.25" customHeight="1">
      <c r="A50" s="1"/>
      <c r="B50" s="42"/>
      <c r="D50" s="401"/>
      <c r="F50" s="1"/>
      <c r="G50" s="42"/>
      <c r="I50" s="401"/>
    </row>
    <row r="51" spans="1:6" ht="17.25" customHeight="1">
      <c r="A51" s="1"/>
      <c r="F51" s="1"/>
    </row>
    <row r="52" spans="1:6" ht="17.25" customHeight="1">
      <c r="A52" s="268"/>
      <c r="F52" s="268"/>
    </row>
    <row r="53" spans="2:9" ht="17.25" customHeight="1">
      <c r="B53" s="42"/>
      <c r="D53" s="401"/>
      <c r="G53" s="42"/>
      <c r="I53" s="401"/>
    </row>
  </sheetData>
  <mergeCells count="4">
    <mergeCell ref="A4:E4"/>
    <mergeCell ref="F4:J4"/>
    <mergeCell ref="A5:E5"/>
    <mergeCell ref="F5:J5"/>
  </mergeCells>
  <printOptions horizontalCentered="1"/>
  <pageMargins left="0.9448818897637796" right="0.35433070866141736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H1">
      <selection activeCell="H7" sqref="H7"/>
    </sheetView>
  </sheetViews>
  <sheetFormatPr defaultColWidth="9.140625" defaultRowHeight="12.75"/>
  <cols>
    <col min="1" max="1" width="32.7109375" style="0" hidden="1" customWidth="1"/>
    <col min="2" max="2" width="9.140625" style="0" hidden="1" customWidth="1"/>
    <col min="3" max="3" width="10.8515625" style="0" hidden="1" customWidth="1"/>
    <col min="4" max="4" width="10.00390625" style="0" hidden="1" customWidth="1"/>
    <col min="5" max="5" width="10.140625" style="0" hidden="1" customWidth="1"/>
    <col min="6" max="6" width="9.140625" style="0" hidden="1" customWidth="1"/>
    <col min="7" max="7" width="9.140625" style="402" hidden="1" customWidth="1"/>
    <col min="8" max="8" width="32.7109375" style="0" customWidth="1"/>
    <col min="10" max="10" width="10.57421875" style="0" customWidth="1"/>
    <col min="11" max="11" width="10.00390625" style="0" customWidth="1"/>
    <col min="12" max="12" width="10.7109375" style="0" customWidth="1"/>
    <col min="14" max="17" width="9.140625" style="0" hidden="1" customWidth="1"/>
  </cols>
  <sheetData>
    <row r="1" spans="13:14" ht="12.75">
      <c r="M1" s="38" t="s">
        <v>199</v>
      </c>
      <c r="N1" s="38"/>
    </row>
    <row r="2" spans="2:14" ht="12.75">
      <c r="B2" t="s">
        <v>826</v>
      </c>
      <c r="I2" s="751"/>
      <c r="J2" s="751" t="s">
        <v>826</v>
      </c>
      <c r="K2" s="751"/>
      <c r="L2" s="751"/>
      <c r="M2" s="751"/>
      <c r="N2" s="751"/>
    </row>
    <row r="4" spans="2:14" ht="12.75">
      <c r="B4" s="751" t="s">
        <v>200</v>
      </c>
      <c r="C4" s="751"/>
      <c r="D4" s="751"/>
      <c r="E4" s="751"/>
      <c r="J4" s="224" t="s">
        <v>200</v>
      </c>
      <c r="L4" s="224"/>
      <c r="M4" s="224"/>
      <c r="N4" s="224"/>
    </row>
    <row r="5" spans="2:14" ht="12.75">
      <c r="B5" s="403" t="s">
        <v>448</v>
      </c>
      <c r="I5" s="1"/>
      <c r="J5" s="89" t="s">
        <v>98</v>
      </c>
      <c r="K5" s="1"/>
      <c r="L5" s="39"/>
      <c r="M5" s="39"/>
      <c r="N5" s="39"/>
    </row>
    <row r="6" spans="13:14" ht="12.75">
      <c r="M6" s="38"/>
      <c r="N6" s="38"/>
    </row>
    <row r="7" spans="1:17" ht="47.25" customHeight="1">
      <c r="A7" s="404" t="s">
        <v>644</v>
      </c>
      <c r="B7" s="405" t="s">
        <v>201</v>
      </c>
      <c r="C7" s="406" t="s">
        <v>865</v>
      </c>
      <c r="D7" s="407" t="s">
        <v>179</v>
      </c>
      <c r="E7" s="406" t="s">
        <v>180</v>
      </c>
      <c r="F7" s="406" t="s">
        <v>446</v>
      </c>
      <c r="H7" s="408" t="s">
        <v>644</v>
      </c>
      <c r="I7" s="409" t="s">
        <v>201</v>
      </c>
      <c r="J7" s="406" t="s">
        <v>865</v>
      </c>
      <c r="K7" s="407" t="s">
        <v>179</v>
      </c>
      <c r="L7" s="406" t="s">
        <v>202</v>
      </c>
      <c r="M7" s="406" t="s">
        <v>101</v>
      </c>
      <c r="N7" s="808"/>
      <c r="P7" t="s">
        <v>459</v>
      </c>
      <c r="Q7" t="s">
        <v>463</v>
      </c>
    </row>
    <row r="8" spans="1:14" ht="12.75">
      <c r="A8" s="404">
        <v>1</v>
      </c>
      <c r="B8" s="404">
        <v>2</v>
      </c>
      <c r="D8" s="404">
        <v>3</v>
      </c>
      <c r="E8" s="404">
        <v>4</v>
      </c>
      <c r="F8" s="404">
        <v>5</v>
      </c>
      <c r="H8" s="410">
        <v>1</v>
      </c>
      <c r="I8" s="410">
        <v>2</v>
      </c>
      <c r="J8" s="410">
        <v>3</v>
      </c>
      <c r="K8" s="410">
        <v>4</v>
      </c>
      <c r="L8" s="410">
        <v>5</v>
      </c>
      <c r="M8" s="91">
        <v>6</v>
      </c>
      <c r="N8" s="561"/>
    </row>
    <row r="9" spans="1:18" ht="19.5" customHeight="1">
      <c r="A9" s="411" t="s">
        <v>881</v>
      </c>
      <c r="B9" s="403"/>
      <c r="C9" s="402">
        <f>SUM(C10:C23)</f>
        <v>6010039</v>
      </c>
      <c r="D9" s="402">
        <f>SUM(D10:D23)</f>
        <v>3217113</v>
      </c>
      <c r="E9" s="412">
        <f aca="true" t="shared" si="0" ref="E9:E22">D9/C9*100</f>
        <v>53.52898708311211</v>
      </c>
      <c r="F9" s="402">
        <f>SUM(F10:F23)</f>
        <v>435649</v>
      </c>
      <c r="G9" s="402">
        <f>D9-'[10]augusts'!D9</f>
        <v>435649</v>
      </c>
      <c r="H9" s="413" t="s">
        <v>881</v>
      </c>
      <c r="I9" s="809"/>
      <c r="J9" s="415">
        <f>SUM(J10:J23)</f>
        <v>6010</v>
      </c>
      <c r="K9" s="415">
        <f>SUM(K10:K23)</f>
        <v>3218</v>
      </c>
      <c r="L9" s="416">
        <f aca="true" t="shared" si="1" ref="L9:L22">K9/J9*100</f>
        <v>53.5440931780366</v>
      </c>
      <c r="M9" s="417">
        <f>SUM(M10:M23)</f>
        <v>436</v>
      </c>
      <c r="N9" s="780"/>
      <c r="O9" s="803">
        <f>K9</f>
        <v>3218</v>
      </c>
      <c r="P9" s="803">
        <v>2782</v>
      </c>
      <c r="Q9" s="803">
        <f>O9-P9</f>
        <v>436</v>
      </c>
      <c r="R9" s="803"/>
    </row>
    <row r="10" spans="1:18" ht="19.5" customHeight="1">
      <c r="A10" s="403" t="s">
        <v>1003</v>
      </c>
      <c r="B10" s="418" t="s">
        <v>203</v>
      </c>
      <c r="C10" s="402">
        <v>909366</v>
      </c>
      <c r="D10" s="402">
        <f>395283+26627</f>
        <v>421910</v>
      </c>
      <c r="E10" s="412">
        <f t="shared" si="0"/>
        <v>46.39606055207694</v>
      </c>
      <c r="F10" s="402">
        <f>D10-'[10]augusts'!D10</f>
        <v>128661</v>
      </c>
      <c r="G10" s="402">
        <f>D10-'[10]augusts'!D10</f>
        <v>128661</v>
      </c>
      <c r="H10" s="414" t="s">
        <v>1003</v>
      </c>
      <c r="I10" s="419" t="s">
        <v>203</v>
      </c>
      <c r="J10" s="420">
        <f aca="true" t="shared" si="2" ref="J10:K18">ROUND(C10/1000,)</f>
        <v>909</v>
      </c>
      <c r="K10" s="420">
        <f t="shared" si="2"/>
        <v>422</v>
      </c>
      <c r="L10" s="810">
        <f t="shared" si="1"/>
        <v>46.424642464246425</v>
      </c>
      <c r="M10" s="414">
        <f aca="true" t="shared" si="3" ref="M10:M17">ROUND(F10/1000,)</f>
        <v>129</v>
      </c>
      <c r="N10" s="811"/>
      <c r="O10" s="803">
        <f aca="true" t="shared" si="4" ref="O10:O23">K10</f>
        <v>422</v>
      </c>
      <c r="P10" s="803">
        <v>293</v>
      </c>
      <c r="Q10" s="803">
        <f aca="true" t="shared" si="5" ref="Q10:Q23">O10-P10</f>
        <v>129</v>
      </c>
      <c r="R10" s="803"/>
    </row>
    <row r="11" spans="1:18" ht="19.5" customHeight="1">
      <c r="A11" s="403" t="s">
        <v>1004</v>
      </c>
      <c r="B11" s="418" t="s">
        <v>204</v>
      </c>
      <c r="C11" s="402">
        <v>46060</v>
      </c>
      <c r="D11" s="402">
        <v>22857</v>
      </c>
      <c r="E11" s="412">
        <f t="shared" si="0"/>
        <v>49.62440295267043</v>
      </c>
      <c r="F11" s="402">
        <f>D11-'[10]augusts'!D11</f>
        <v>1253</v>
      </c>
      <c r="G11" s="402">
        <f>D11-'[10]augusts'!D11</f>
        <v>1253</v>
      </c>
      <c r="H11" s="414" t="s">
        <v>1004</v>
      </c>
      <c r="I11" s="419" t="s">
        <v>204</v>
      </c>
      <c r="J11" s="420">
        <f>ROUND(C11/1000,)</f>
        <v>46</v>
      </c>
      <c r="K11" s="420">
        <f t="shared" si="2"/>
        <v>23</v>
      </c>
      <c r="L11" s="810">
        <f t="shared" si="1"/>
        <v>50</v>
      </c>
      <c r="M11" s="414">
        <f t="shared" si="3"/>
        <v>1</v>
      </c>
      <c r="N11" s="811"/>
      <c r="O11" s="803">
        <f t="shared" si="4"/>
        <v>23</v>
      </c>
      <c r="P11" s="803">
        <v>22</v>
      </c>
      <c r="Q11" s="803">
        <f t="shared" si="5"/>
        <v>1</v>
      </c>
      <c r="R11" s="803"/>
    </row>
    <row r="12" spans="1:18" ht="26.25" customHeight="1">
      <c r="A12" s="421" t="s">
        <v>1005</v>
      </c>
      <c r="B12" s="404">
        <v>3</v>
      </c>
      <c r="C12" s="402">
        <v>393876</v>
      </c>
      <c r="D12" s="402">
        <v>171573</v>
      </c>
      <c r="E12" s="412">
        <f t="shared" si="0"/>
        <v>43.56015598817902</v>
      </c>
      <c r="F12" s="402">
        <f>D12-'[10]augusts'!D12</f>
        <v>8641</v>
      </c>
      <c r="G12" s="402">
        <f>D12-'[10]augusts'!D12</f>
        <v>8641</v>
      </c>
      <c r="H12" s="422" t="s">
        <v>1005</v>
      </c>
      <c r="I12" s="419" t="s">
        <v>102</v>
      </c>
      <c r="J12" s="420">
        <f t="shared" si="2"/>
        <v>394</v>
      </c>
      <c r="K12" s="420">
        <f t="shared" si="2"/>
        <v>172</v>
      </c>
      <c r="L12" s="810">
        <f t="shared" si="1"/>
        <v>43.65482233502538</v>
      </c>
      <c r="M12" s="414">
        <f t="shared" si="3"/>
        <v>9</v>
      </c>
      <c r="N12" s="811"/>
      <c r="O12" s="803">
        <f t="shared" si="4"/>
        <v>172</v>
      </c>
      <c r="P12" s="803">
        <v>163</v>
      </c>
      <c r="Q12" s="803">
        <f t="shared" si="5"/>
        <v>9</v>
      </c>
      <c r="R12" s="803"/>
    </row>
    <row r="13" spans="1:18" ht="19.5" customHeight="1">
      <c r="A13" s="403" t="s">
        <v>1006</v>
      </c>
      <c r="B13" s="404">
        <v>4</v>
      </c>
      <c r="C13" s="402">
        <v>2404888</v>
      </c>
      <c r="D13" s="402">
        <v>1092535</v>
      </c>
      <c r="E13" s="412">
        <f t="shared" si="0"/>
        <v>45.42976637581459</v>
      </c>
      <c r="F13" s="402">
        <f>D13-'[10]augusts'!D13</f>
        <v>148149</v>
      </c>
      <c r="G13" s="402">
        <f>D13-'[10]augusts'!D13</f>
        <v>148149</v>
      </c>
      <c r="H13" s="414" t="s">
        <v>1006</v>
      </c>
      <c r="I13" s="419" t="s">
        <v>103</v>
      </c>
      <c r="J13" s="420">
        <f t="shared" si="2"/>
        <v>2405</v>
      </c>
      <c r="K13" s="420">
        <f>ROUND(D13/1000,)-1</f>
        <v>1092</v>
      </c>
      <c r="L13" s="810">
        <f t="shared" si="1"/>
        <v>45.40540540540541</v>
      </c>
      <c r="M13" s="414">
        <f t="shared" si="3"/>
        <v>148</v>
      </c>
      <c r="N13" s="811"/>
      <c r="O13" s="803">
        <f t="shared" si="4"/>
        <v>1092</v>
      </c>
      <c r="P13" s="803">
        <v>944</v>
      </c>
      <c r="Q13" s="803">
        <f t="shared" si="5"/>
        <v>148</v>
      </c>
      <c r="R13" s="803"/>
    </row>
    <row r="14" spans="1:18" ht="19.5" customHeight="1">
      <c r="A14" s="403" t="s">
        <v>1007</v>
      </c>
      <c r="B14" s="404">
        <v>5</v>
      </c>
      <c r="C14" s="402">
        <v>767930</v>
      </c>
      <c r="D14" s="402">
        <v>525698</v>
      </c>
      <c r="E14" s="412">
        <f t="shared" si="0"/>
        <v>68.4564999414009</v>
      </c>
      <c r="F14" s="402">
        <f>D14-'[10]augusts'!D14</f>
        <v>22795</v>
      </c>
      <c r="G14" s="402">
        <f>D14-'[10]augusts'!D14</f>
        <v>22795</v>
      </c>
      <c r="H14" s="414" t="s">
        <v>1007</v>
      </c>
      <c r="I14" s="419" t="s">
        <v>104</v>
      </c>
      <c r="J14" s="420">
        <f t="shared" si="2"/>
        <v>768</v>
      </c>
      <c r="K14" s="420">
        <f t="shared" si="2"/>
        <v>526</v>
      </c>
      <c r="L14" s="810">
        <f t="shared" si="1"/>
        <v>68.48958333333334</v>
      </c>
      <c r="M14" s="414">
        <f t="shared" si="3"/>
        <v>23</v>
      </c>
      <c r="N14" s="811"/>
      <c r="O14" s="803">
        <f t="shared" si="4"/>
        <v>526</v>
      </c>
      <c r="P14" s="803">
        <v>503</v>
      </c>
      <c r="Q14" s="803">
        <f t="shared" si="5"/>
        <v>23</v>
      </c>
      <c r="R14" s="803"/>
    </row>
    <row r="15" spans="1:18" ht="25.5" customHeight="1">
      <c r="A15" s="421" t="s">
        <v>1008</v>
      </c>
      <c r="B15" s="404">
        <v>6</v>
      </c>
      <c r="C15" s="402">
        <v>33851</v>
      </c>
      <c r="D15" s="402">
        <v>19880</v>
      </c>
      <c r="E15" s="412">
        <f t="shared" si="0"/>
        <v>58.727954861008534</v>
      </c>
      <c r="F15" s="402">
        <f>D15-'[10]augusts'!D15</f>
        <v>549</v>
      </c>
      <c r="G15" s="402">
        <f>D15-'[10]augusts'!D15</f>
        <v>549</v>
      </c>
      <c r="H15" s="422" t="s">
        <v>1008</v>
      </c>
      <c r="I15" s="419" t="s">
        <v>105</v>
      </c>
      <c r="J15" s="420">
        <f>ROUND(C15/1000,)</f>
        <v>34</v>
      </c>
      <c r="K15" s="420">
        <f t="shared" si="2"/>
        <v>20</v>
      </c>
      <c r="L15" s="810">
        <f t="shared" si="1"/>
        <v>58.82352941176471</v>
      </c>
      <c r="M15" s="414">
        <f t="shared" si="3"/>
        <v>1</v>
      </c>
      <c r="N15" s="811"/>
      <c r="O15" s="803">
        <f t="shared" si="4"/>
        <v>20</v>
      </c>
      <c r="P15" s="803">
        <v>19</v>
      </c>
      <c r="Q15" s="803">
        <f t="shared" si="5"/>
        <v>1</v>
      </c>
      <c r="R15" s="803"/>
    </row>
    <row r="16" spans="1:18" ht="24.75" customHeight="1">
      <c r="A16" s="421" t="s">
        <v>1009</v>
      </c>
      <c r="B16" s="404">
        <v>7</v>
      </c>
      <c r="C16" s="402">
        <v>173847</v>
      </c>
      <c r="D16" s="402">
        <v>55851</v>
      </c>
      <c r="E16" s="412">
        <f t="shared" si="0"/>
        <v>32.126525047886936</v>
      </c>
      <c r="F16" s="402">
        <f>D16-'[10]augusts'!D16</f>
        <v>2921</v>
      </c>
      <c r="G16" s="402">
        <f>D16-'[10]augusts'!D16</f>
        <v>2921</v>
      </c>
      <c r="H16" s="422" t="s">
        <v>1009</v>
      </c>
      <c r="I16" s="419" t="s">
        <v>106</v>
      </c>
      <c r="J16" s="420">
        <f t="shared" si="2"/>
        <v>174</v>
      </c>
      <c r="K16" s="420">
        <f t="shared" si="2"/>
        <v>56</v>
      </c>
      <c r="L16" s="810">
        <f t="shared" si="1"/>
        <v>32.18390804597701</v>
      </c>
      <c r="M16" s="414">
        <f t="shared" si="3"/>
        <v>3</v>
      </c>
      <c r="N16" s="811"/>
      <c r="O16" s="803">
        <f t="shared" si="4"/>
        <v>56</v>
      </c>
      <c r="P16" s="803">
        <v>53</v>
      </c>
      <c r="Q16" s="803">
        <f t="shared" si="5"/>
        <v>3</v>
      </c>
      <c r="R16" s="803"/>
    </row>
    <row r="17" spans="1:18" ht="19.5" customHeight="1">
      <c r="A17" s="403" t="s">
        <v>205</v>
      </c>
      <c r="B17" s="404">
        <v>8</v>
      </c>
      <c r="C17" s="402">
        <v>1174275</v>
      </c>
      <c r="D17" s="402">
        <v>780312</v>
      </c>
      <c r="E17" s="412">
        <f t="shared" si="0"/>
        <v>66.45053330778565</v>
      </c>
      <c r="F17" s="402">
        <f>D17-'[10]augusts'!D17</f>
        <v>121197</v>
      </c>
      <c r="G17" s="402">
        <f>D17-'[10]augusts'!D17</f>
        <v>121197</v>
      </c>
      <c r="H17" s="414" t="s">
        <v>205</v>
      </c>
      <c r="I17" s="419" t="s">
        <v>107</v>
      </c>
      <c r="J17" s="420">
        <f t="shared" si="2"/>
        <v>1174</v>
      </c>
      <c r="K17" s="420">
        <f t="shared" si="2"/>
        <v>780</v>
      </c>
      <c r="L17" s="810">
        <f t="shared" si="1"/>
        <v>66.43952299829643</v>
      </c>
      <c r="M17" s="414">
        <f t="shared" si="3"/>
        <v>121</v>
      </c>
      <c r="N17" s="811"/>
      <c r="O17" s="803">
        <f t="shared" si="4"/>
        <v>780</v>
      </c>
      <c r="P17" s="803">
        <v>659</v>
      </c>
      <c r="Q17" s="803">
        <f t="shared" si="5"/>
        <v>121</v>
      </c>
      <c r="R17" s="803"/>
    </row>
    <row r="18" spans="1:18" ht="19.5" customHeight="1">
      <c r="A18" s="403" t="s">
        <v>1011</v>
      </c>
      <c r="B18" s="404">
        <v>9</v>
      </c>
      <c r="C18" s="402"/>
      <c r="D18" s="402"/>
      <c r="E18" s="412"/>
      <c r="F18" s="402">
        <f>D18-'[10]augusts'!D18</f>
        <v>0</v>
      </c>
      <c r="G18" s="402">
        <f>D18-'[10]augusts'!D18</f>
        <v>0</v>
      </c>
      <c r="H18" s="414" t="s">
        <v>1011</v>
      </c>
      <c r="I18" s="419" t="s">
        <v>108</v>
      </c>
      <c r="J18" s="420"/>
      <c r="K18" s="420">
        <f t="shared" si="2"/>
        <v>0</v>
      </c>
      <c r="L18" s="810"/>
      <c r="M18" s="414"/>
      <c r="N18" s="811"/>
      <c r="O18" s="803">
        <f t="shared" si="4"/>
        <v>0</v>
      </c>
      <c r="P18" s="803">
        <v>0</v>
      </c>
      <c r="Q18" s="803">
        <f t="shared" si="5"/>
        <v>0</v>
      </c>
      <c r="R18" s="803"/>
    </row>
    <row r="19" spans="1:18" ht="27.75" customHeight="1">
      <c r="A19" s="421" t="s">
        <v>206</v>
      </c>
      <c r="B19" s="404">
        <v>10</v>
      </c>
      <c r="C19" s="402">
        <v>98382</v>
      </c>
      <c r="D19" s="402">
        <v>71224</v>
      </c>
      <c r="E19" s="412">
        <f t="shared" si="0"/>
        <v>72.39535687422496</v>
      </c>
      <c r="F19" s="402">
        <f>D19-'[10]augusts'!D19</f>
        <v>4534</v>
      </c>
      <c r="G19" s="402">
        <f>D19-'[10]augusts'!D19</f>
        <v>4534</v>
      </c>
      <c r="H19" s="422" t="s">
        <v>206</v>
      </c>
      <c r="I19" s="419" t="s">
        <v>109</v>
      </c>
      <c r="J19" s="420">
        <f>ROUND(C19/1000,)</f>
        <v>98</v>
      </c>
      <c r="K19" s="420">
        <f>ROUND(D19/1000,)</f>
        <v>71</v>
      </c>
      <c r="L19" s="810">
        <f t="shared" si="1"/>
        <v>72.44897959183673</v>
      </c>
      <c r="M19" s="414">
        <f>ROUND(F19/1000,)-1</f>
        <v>4</v>
      </c>
      <c r="N19" s="811"/>
      <c r="O19" s="803">
        <f t="shared" si="4"/>
        <v>71</v>
      </c>
      <c r="P19" s="803">
        <v>67</v>
      </c>
      <c r="Q19" s="803">
        <f t="shared" si="5"/>
        <v>4</v>
      </c>
      <c r="R19" s="803"/>
    </row>
    <row r="20" spans="1:18" ht="22.5" customHeight="1">
      <c r="A20" s="421" t="s">
        <v>1013</v>
      </c>
      <c r="B20" s="404">
        <v>11</v>
      </c>
      <c r="C20" s="402"/>
      <c r="D20" s="402"/>
      <c r="E20" s="412"/>
      <c r="F20" s="402">
        <f>D20-'[10]augusts'!D20</f>
        <v>0</v>
      </c>
      <c r="G20" s="402">
        <f>D20-'[10]augusts'!D20</f>
        <v>0</v>
      </c>
      <c r="H20" s="422" t="s">
        <v>1013</v>
      </c>
      <c r="I20" s="419" t="s">
        <v>110</v>
      </c>
      <c r="J20" s="420"/>
      <c r="K20" s="420">
        <f>ROUND(D20/1000,)</f>
        <v>0</v>
      </c>
      <c r="L20" s="810"/>
      <c r="M20" s="414"/>
      <c r="N20" s="811"/>
      <c r="O20" s="803">
        <f t="shared" si="4"/>
        <v>0</v>
      </c>
      <c r="P20" s="803">
        <v>0</v>
      </c>
      <c r="Q20" s="803">
        <f t="shared" si="5"/>
        <v>0</v>
      </c>
      <c r="R20" s="803"/>
    </row>
    <row r="21" spans="1:18" ht="19.5" customHeight="1">
      <c r="A21" s="403" t="s">
        <v>1014</v>
      </c>
      <c r="B21" s="404">
        <v>12</v>
      </c>
      <c r="C21" s="402"/>
      <c r="D21" s="402"/>
      <c r="E21" s="412"/>
      <c r="F21" s="402">
        <f>D21-'[10]augusts'!D21</f>
        <v>0</v>
      </c>
      <c r="G21" s="402">
        <f>D21-'[10]augusts'!D21</f>
        <v>0</v>
      </c>
      <c r="H21" s="414" t="s">
        <v>1014</v>
      </c>
      <c r="I21" s="419" t="s">
        <v>111</v>
      </c>
      <c r="J21" s="420"/>
      <c r="K21" s="420"/>
      <c r="L21" s="810"/>
      <c r="M21" s="414"/>
      <c r="N21" s="811"/>
      <c r="O21" s="803">
        <f t="shared" si="4"/>
        <v>0</v>
      </c>
      <c r="P21" s="803">
        <v>0</v>
      </c>
      <c r="Q21" s="803">
        <f t="shared" si="5"/>
        <v>0</v>
      </c>
      <c r="R21" s="803"/>
    </row>
    <row r="22" spans="1:18" ht="19.5" customHeight="1">
      <c r="A22" s="403" t="s">
        <v>1015</v>
      </c>
      <c r="B22" s="404">
        <v>13</v>
      </c>
      <c r="C22" s="402">
        <v>7564</v>
      </c>
      <c r="D22" s="402">
        <f>1730-52</f>
        <v>1678</v>
      </c>
      <c r="E22" s="412">
        <f t="shared" si="0"/>
        <v>22.184029613960867</v>
      </c>
      <c r="F22" s="402">
        <f>D22-'[10]augusts'!D22</f>
        <v>-3051</v>
      </c>
      <c r="G22" s="402">
        <f>D22-'[10]augusts'!D22</f>
        <v>-3051</v>
      </c>
      <c r="H22" s="414" t="s">
        <v>1015</v>
      </c>
      <c r="I22" s="419" t="s">
        <v>112</v>
      </c>
      <c r="J22" s="420">
        <f>ROUND(C22/1000,)</f>
        <v>8</v>
      </c>
      <c r="K22" s="420">
        <f>ROUND(D22/1000,)</f>
        <v>2</v>
      </c>
      <c r="L22" s="810">
        <f t="shared" si="1"/>
        <v>25</v>
      </c>
      <c r="M22" s="414">
        <f>ROUND(F22/1000,)</f>
        <v>-3</v>
      </c>
      <c r="N22" s="811"/>
      <c r="O22" s="803">
        <f t="shared" si="4"/>
        <v>2</v>
      </c>
      <c r="P22" s="803">
        <v>5</v>
      </c>
      <c r="Q22" s="803">
        <f t="shared" si="5"/>
        <v>-3</v>
      </c>
      <c r="R22" s="803"/>
    </row>
    <row r="23" spans="1:18" ht="27" customHeight="1">
      <c r="A23" s="421" t="s">
        <v>464</v>
      </c>
      <c r="B23" s="404">
        <v>14</v>
      </c>
      <c r="C23" s="402"/>
      <c r="D23" s="402">
        <v>53595</v>
      </c>
      <c r="E23" s="412"/>
      <c r="F23" s="402">
        <f>D23-'[10]augusts'!D23</f>
        <v>0</v>
      </c>
      <c r="G23" s="402">
        <f>D23-'[10]augusts'!D23</f>
        <v>0</v>
      </c>
      <c r="H23" s="422" t="s">
        <v>113</v>
      </c>
      <c r="I23" s="419" t="s">
        <v>114</v>
      </c>
      <c r="J23" s="420"/>
      <c r="K23" s="420">
        <f>ROUND(D23/1000,)</f>
        <v>54</v>
      </c>
      <c r="L23" s="416"/>
      <c r="M23" s="414">
        <f>ROUND(F23/1000,)</f>
        <v>0</v>
      </c>
      <c r="N23" s="811"/>
      <c r="O23" s="803">
        <f t="shared" si="4"/>
        <v>54</v>
      </c>
      <c r="P23" s="803">
        <v>54</v>
      </c>
      <c r="Q23" s="803">
        <f t="shared" si="5"/>
        <v>0</v>
      </c>
      <c r="R23" s="803"/>
    </row>
    <row r="24" spans="1:14" ht="12.75">
      <c r="A24" s="403"/>
      <c r="B24" s="403"/>
      <c r="C24" s="402"/>
      <c r="D24" s="402"/>
      <c r="F24" s="402"/>
      <c r="H24" s="423"/>
      <c r="I24" s="403"/>
      <c r="J24" s="402"/>
      <c r="K24" s="402"/>
      <c r="M24" s="403"/>
      <c r="N24" s="403"/>
    </row>
    <row r="25" spans="3:12" ht="12.75">
      <c r="C25" s="803"/>
      <c r="D25" s="803"/>
      <c r="F25" s="803"/>
      <c r="H25" s="49" t="s">
        <v>465</v>
      </c>
      <c r="L25" s="1"/>
    </row>
    <row r="26" ht="12.75">
      <c r="L26" s="39"/>
    </row>
    <row r="27" spans="8:12" ht="12.75">
      <c r="H27" s="49"/>
      <c r="I27" s="396"/>
      <c r="J27" s="398"/>
      <c r="K27" s="322"/>
      <c r="L27" s="398"/>
    </row>
    <row r="28" spans="3:12" ht="12.75">
      <c r="C28" s="803"/>
      <c r="D28" s="803"/>
      <c r="F28" s="803"/>
      <c r="H28" s="49"/>
      <c r="I28" s="396"/>
      <c r="J28" s="398"/>
      <c r="K28" s="322"/>
      <c r="L28" s="398"/>
    </row>
    <row r="29" spans="4:14" ht="12.75">
      <c r="D29" s="803"/>
      <c r="H29" s="41" t="s">
        <v>115</v>
      </c>
      <c r="I29" s="39"/>
      <c r="J29" s="39"/>
      <c r="K29" s="39" t="s">
        <v>859</v>
      </c>
      <c r="M29" s="49"/>
      <c r="N29" s="49"/>
    </row>
    <row r="30" spans="8:12" ht="12.75">
      <c r="H30" s="232"/>
      <c r="I30" s="232"/>
      <c r="J30" s="42"/>
      <c r="K30" s="39"/>
      <c r="L30" s="42"/>
    </row>
    <row r="31" spans="8:12" ht="12.75">
      <c r="H31" s="84"/>
      <c r="I31" s="396"/>
      <c r="J31" s="398"/>
      <c r="K31" s="322"/>
      <c r="L31" s="42"/>
    </row>
    <row r="32" spans="8:12" ht="12.75">
      <c r="H32" s="232"/>
      <c r="I32" s="400"/>
      <c r="J32" s="381"/>
      <c r="K32" s="401"/>
      <c r="L32" s="381"/>
    </row>
    <row r="33" spans="8:12" ht="12.75">
      <c r="H33" s="232"/>
      <c r="I33" s="42"/>
      <c r="J33" s="42"/>
      <c r="K33" s="401"/>
      <c r="L33" s="42"/>
    </row>
    <row r="34" spans="9:12" ht="12.75">
      <c r="I34" s="42"/>
      <c r="J34" s="42"/>
      <c r="K34" s="401"/>
      <c r="L34" s="42"/>
    </row>
    <row r="35" spans="9:12" ht="12.75">
      <c r="I35" s="42"/>
      <c r="J35" s="42"/>
      <c r="K35" s="401"/>
      <c r="L35" s="42"/>
    </row>
    <row r="43" ht="12.75">
      <c r="H43" s="268" t="s">
        <v>745</v>
      </c>
    </row>
    <row r="44" ht="12.75">
      <c r="H44" s="268" t="s">
        <v>116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27" useFirstPageNumber="1" horizontalDpi="300" verticalDpi="300" orientation="portrait" paperSize="9" scale="96" r:id="rId1"/>
  <headerFooter alignWithMargins="0">
    <oddFooter>&amp;R&amp;9&amp;P</oddFooter>
  </headerFooter>
  <colBreaks count="2" manualBreakCount="2">
    <brk id="6" max="34" man="1"/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72"/>
  <sheetViews>
    <sheetView workbookViewId="0" topLeftCell="H46">
      <selection activeCell="H6" sqref="H6"/>
    </sheetView>
  </sheetViews>
  <sheetFormatPr defaultColWidth="9.140625" defaultRowHeight="12.75"/>
  <cols>
    <col min="1" max="1" width="36.00390625" style="49" customWidth="1"/>
    <col min="2" max="2" width="11.421875" style="49" customWidth="1"/>
    <col min="3" max="4" width="9.57421875" style="49" customWidth="1"/>
    <col min="5" max="5" width="2.7109375" style="49" customWidth="1"/>
    <col min="6" max="6" width="2.8515625" style="49" customWidth="1"/>
    <col min="7" max="7" width="8.00390625" style="38" customWidth="1"/>
    <col min="8" max="8" width="33.57421875" style="49" customWidth="1"/>
    <col min="9" max="9" width="10.8515625" style="49" customWidth="1"/>
    <col min="10" max="10" width="10.57421875" style="49" customWidth="1"/>
    <col min="11" max="11" width="8.140625" style="49" customWidth="1"/>
    <col min="12" max="12" width="8.7109375" style="49" customWidth="1"/>
    <col min="13" max="13" width="9.57421875" style="49" customWidth="1"/>
    <col min="14" max="14" width="8.57421875" style="49" customWidth="1"/>
    <col min="15" max="104" width="11.421875" style="0" customWidth="1"/>
    <col min="105" max="16384" width="11.421875" style="49" customWidth="1"/>
  </cols>
  <sheetData>
    <row r="1" spans="1:14" ht="17.25" customHeight="1">
      <c r="A1" s="51" t="s">
        <v>862</v>
      </c>
      <c r="B1" s="51"/>
      <c r="C1" s="174"/>
      <c r="D1" s="51"/>
      <c r="E1" s="51"/>
      <c r="F1" s="174"/>
      <c r="G1" s="38" t="s">
        <v>207</v>
      </c>
      <c r="H1" s="51" t="s">
        <v>862</v>
      </c>
      <c r="I1" s="51"/>
      <c r="J1" s="174"/>
      <c r="K1" s="51"/>
      <c r="L1" s="51"/>
      <c r="M1" s="174"/>
      <c r="N1" s="1" t="s">
        <v>208</v>
      </c>
    </row>
    <row r="2" spans="1:14" ht="12.75">
      <c r="A2" s="51"/>
      <c r="B2" s="51"/>
      <c r="C2" s="174"/>
      <c r="D2" s="51"/>
      <c r="E2" s="51"/>
      <c r="F2" s="174"/>
      <c r="H2" s="51"/>
      <c r="I2" s="51"/>
      <c r="J2" s="174"/>
      <c r="K2" s="51"/>
      <c r="L2" s="51"/>
      <c r="M2" s="174"/>
      <c r="N2" s="1"/>
    </row>
    <row r="3" spans="1:14" ht="18.75" customHeight="1">
      <c r="A3" s="424" t="s">
        <v>209</v>
      </c>
      <c r="B3" s="174"/>
      <c r="C3" s="174"/>
      <c r="D3" s="174"/>
      <c r="E3" s="174"/>
      <c r="F3" s="174"/>
      <c r="H3" s="424" t="s">
        <v>209</v>
      </c>
      <c r="I3" s="174"/>
      <c r="J3" s="174"/>
      <c r="K3" s="174"/>
      <c r="L3" s="174"/>
      <c r="M3" s="174"/>
      <c r="N3" s="1"/>
    </row>
    <row r="4" spans="1:14" ht="15" customHeight="1">
      <c r="A4" s="424" t="s">
        <v>97</v>
      </c>
      <c r="B4" s="174"/>
      <c r="C4" s="174"/>
      <c r="D4" s="174"/>
      <c r="E4" s="174"/>
      <c r="F4" s="174"/>
      <c r="H4" s="425" t="s">
        <v>98</v>
      </c>
      <c r="I4" s="174"/>
      <c r="J4" s="174"/>
      <c r="K4" s="174"/>
      <c r="L4" s="174"/>
      <c r="M4" s="174"/>
      <c r="N4" s="1"/>
    </row>
    <row r="5" spans="1:14" ht="11.25" customHeight="1">
      <c r="A5" s="1"/>
      <c r="B5" s="1"/>
      <c r="C5" s="1"/>
      <c r="D5" s="5"/>
      <c r="E5" s="39"/>
      <c r="F5" s="1"/>
      <c r="G5" s="2" t="s">
        <v>210</v>
      </c>
      <c r="H5" s="1"/>
      <c r="I5" s="1"/>
      <c r="J5" s="1"/>
      <c r="K5" s="5"/>
      <c r="L5" s="39"/>
      <c r="M5" s="1"/>
      <c r="N5" s="2" t="s">
        <v>998</v>
      </c>
    </row>
    <row r="6" spans="1:14" ht="79.5" customHeight="1">
      <c r="A6" s="9" t="s">
        <v>644</v>
      </c>
      <c r="B6" s="9" t="s">
        <v>750</v>
      </c>
      <c r="C6" s="9" t="s">
        <v>865</v>
      </c>
      <c r="D6" s="9" t="s">
        <v>751</v>
      </c>
      <c r="E6" s="9" t="s">
        <v>866</v>
      </c>
      <c r="F6" s="9" t="s">
        <v>211</v>
      </c>
      <c r="G6" s="9" t="s">
        <v>212</v>
      </c>
      <c r="H6" s="9" t="s">
        <v>644</v>
      </c>
      <c r="I6" s="9" t="s">
        <v>750</v>
      </c>
      <c r="J6" s="9" t="s">
        <v>865</v>
      </c>
      <c r="K6" s="9" t="s">
        <v>751</v>
      </c>
      <c r="L6" s="9" t="s">
        <v>866</v>
      </c>
      <c r="M6" s="9" t="s">
        <v>867</v>
      </c>
      <c r="N6" s="9" t="s">
        <v>99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3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1">
        <v>7</v>
      </c>
    </row>
    <row r="8" spans="1:104" ht="38.25">
      <c r="A8" s="426" t="s">
        <v>213</v>
      </c>
      <c r="B8" s="427">
        <f>B9+B12</f>
        <v>60252297</v>
      </c>
      <c r="C8" s="427">
        <f>C9+C12</f>
        <v>32768568</v>
      </c>
      <c r="D8" s="427">
        <f>D9+D12</f>
        <v>15834860</v>
      </c>
      <c r="E8" s="428">
        <f aca="true" t="shared" si="0" ref="E8:E71">IF(ISERROR(D8/B8)," ",(D8/B8))</f>
        <v>0.26280923364631226</v>
      </c>
      <c r="F8" s="428">
        <f aca="true" t="shared" si="1" ref="F8:F71">IF(ISERROR(D8/C8)," ",(D8/C8))</f>
        <v>0.48323320079168547</v>
      </c>
      <c r="G8" s="429">
        <f>D8-'[9]Augusts'!D8</f>
        <v>2310045</v>
      </c>
      <c r="H8" s="426" t="s">
        <v>213</v>
      </c>
      <c r="I8" s="427">
        <f>I9+I12</f>
        <v>60252</v>
      </c>
      <c r="J8" s="430">
        <f>J9+J12</f>
        <v>32768</v>
      </c>
      <c r="K8" s="430">
        <f>SUM(K15,K18,K23,K26,K32,K39,K46,K52,K59,K65,K72,K79,K86,K91,K98,K104)</f>
        <v>15835</v>
      </c>
      <c r="L8" s="431">
        <f aca="true" t="shared" si="2" ref="L8:L71">IF(ISERROR(ROUND(K8,0)/ROUND(I8,0))," ",(ROUND(K8,)/ROUND(I8,)))*100</f>
        <v>26.281285268538802</v>
      </c>
      <c r="M8" s="431">
        <f aca="true" t="shared" si="3" ref="M8:M45">IF(ISERROR(ROUND(K8,0)/ROUND(J8,0))," ",(ROUND(K8,)/ROUND(J8,)))*100</f>
        <v>48.3245849609375</v>
      </c>
      <c r="N8" s="430">
        <f>K8-'[9]Augusts'!K8</f>
        <v>2310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1:104" s="433" customFormat="1" ht="15" customHeight="1">
      <c r="A9" s="432" t="s">
        <v>873</v>
      </c>
      <c r="B9" s="427">
        <f>SUM(B10:B11)</f>
        <v>51309574</v>
      </c>
      <c r="C9" s="427">
        <f>SUM(C10:C11)</f>
        <v>26969402</v>
      </c>
      <c r="D9" s="427">
        <f>SUM(D10:D11)</f>
        <v>11580257</v>
      </c>
      <c r="E9" s="428">
        <f t="shared" si="0"/>
        <v>0.22569388317275837</v>
      </c>
      <c r="F9" s="428">
        <f t="shared" si="1"/>
        <v>0.4293850119479846</v>
      </c>
      <c r="G9" s="429">
        <f>D9-'[9]Augusts'!D9</f>
        <v>1132667</v>
      </c>
      <c r="H9" s="432" t="s">
        <v>873</v>
      </c>
      <c r="I9" s="427">
        <f>SUM(I10:I11)</f>
        <v>51309</v>
      </c>
      <c r="J9" s="427">
        <f>SUM(J10:J11)</f>
        <v>26969</v>
      </c>
      <c r="K9" s="427">
        <f>SUM(K10:K11)</f>
        <v>11580</v>
      </c>
      <c r="L9" s="431">
        <f t="shared" si="2"/>
        <v>22.56913991697363</v>
      </c>
      <c r="M9" s="431">
        <f t="shared" si="3"/>
        <v>42.93818829025919</v>
      </c>
      <c r="N9" s="427">
        <f>K9-'[9]Augusts'!K9</f>
        <v>1133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437" customFormat="1" ht="13.5" customHeight="1">
      <c r="A10" s="434" t="s">
        <v>214</v>
      </c>
      <c r="B10" s="11">
        <f>SUM(B20,B28,B34,B41,B48,B54,B61,B88,B67,B74,B81,B93,B100,B106)</f>
        <v>31455653</v>
      </c>
      <c r="C10" s="11">
        <f>SUM(C17,C20,C25,C28,C34,C41,C48,C54,C61,C88,C67,C74,C81,C93,C100,C106)</f>
        <v>13564926</v>
      </c>
      <c r="D10" s="11">
        <f>SUM(D17,D20,D25,D28,D34,D41,D48,D54,D61,D88,D67,D74,D81,D93,D100,D106)</f>
        <v>5961164</v>
      </c>
      <c r="E10" s="435">
        <f t="shared" si="0"/>
        <v>0.18951010172956828</v>
      </c>
      <c r="F10" s="435">
        <f t="shared" si="1"/>
        <v>0.43945422186600946</v>
      </c>
      <c r="G10" s="429">
        <f>D10-'[9]Augusts'!D10</f>
        <v>450255</v>
      </c>
      <c r="H10" s="434" t="s">
        <v>214</v>
      </c>
      <c r="I10" s="11">
        <f>SUM(I17,I20,I25,I28,I34,I41,I48,I54,I61,I67,I74,I81,I100,I106,I88,I93)</f>
        <v>31455</v>
      </c>
      <c r="J10" s="366">
        <f>SUM(J17,J20,J25,J28,J34,J41,J48,J54,J61,J88,J67,J74,J81,J93,J100,J106)</f>
        <v>13565</v>
      </c>
      <c r="K10" s="366">
        <f>SUM(K17,K20,K25,K28,K34,K41,K48,K54,K61,K67,K74,K81,K88,K100,K106)</f>
        <v>5961</v>
      </c>
      <c r="L10" s="58">
        <f t="shared" si="2"/>
        <v>18.95088221268479</v>
      </c>
      <c r="M10" s="58">
        <f t="shared" si="3"/>
        <v>43.94397346111316</v>
      </c>
      <c r="N10" s="366">
        <f>K10-'[9]Augusts'!K10</f>
        <v>450</v>
      </c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  <c r="CV10" s="436"/>
      <c r="CW10" s="436"/>
      <c r="CX10" s="436"/>
      <c r="CY10" s="436"/>
      <c r="CZ10" s="436"/>
    </row>
    <row r="11" spans="1:104" s="437" customFormat="1" ht="14.25" customHeight="1">
      <c r="A11" s="434" t="s">
        <v>215</v>
      </c>
      <c r="B11" s="11">
        <f>SUM(B29,B35,B42,B49,B55,B62,B68,B75,B82,B94,B101,)</f>
        <v>19853921</v>
      </c>
      <c r="C11" s="11">
        <f>SUM(C29,C35,C42,C49,C55,C62,C68,C75,C82,C94,C101,)</f>
        <v>13404476</v>
      </c>
      <c r="D11" s="11">
        <f>SUM(D29,D35,D42,D49,D55,D62,D68,D75,D82,D94,D101,)</f>
        <v>5619093</v>
      </c>
      <c r="E11" s="435">
        <f t="shared" si="0"/>
        <v>0.28302182727532765</v>
      </c>
      <c r="F11" s="435">
        <f t="shared" si="1"/>
        <v>0.41919527477239693</v>
      </c>
      <c r="G11" s="429">
        <f>D11-'[9]Augusts'!D11</f>
        <v>682412</v>
      </c>
      <c r="H11" s="434" t="s">
        <v>215</v>
      </c>
      <c r="I11" s="11">
        <f>SUM(I29,I35,I42,I49,I55,I62,I68,I75,I82,I94,I101)</f>
        <v>19854</v>
      </c>
      <c r="J11" s="366">
        <f>SUM(J29,J35,J42,J49,J55,J62,J68,J75,J82,J94,J101,)</f>
        <v>13404</v>
      </c>
      <c r="K11" s="366">
        <f>SUM(K29,K35,K42,K49,K55,K62,K68,K75,K82,)</f>
        <v>5619</v>
      </c>
      <c r="L11" s="58">
        <f t="shared" si="2"/>
        <v>28.301601692354183</v>
      </c>
      <c r="M11" s="58">
        <f t="shared" si="3"/>
        <v>41.92032229185318</v>
      </c>
      <c r="N11" s="366">
        <f>K11-'[9]Augusts'!K11</f>
        <v>683</v>
      </c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6"/>
      <c r="CI11" s="436"/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6"/>
      <c r="CX11" s="436"/>
      <c r="CY11" s="436"/>
      <c r="CZ11" s="436"/>
    </row>
    <row r="12" spans="1:104" s="60" customFormat="1" ht="14.25" customHeight="1">
      <c r="A12" s="432" t="s">
        <v>216</v>
      </c>
      <c r="B12" s="427">
        <f>SUM(B13:B14)</f>
        <v>8942723</v>
      </c>
      <c r="C12" s="427">
        <f>SUM(C13:C14)</f>
        <v>5799166</v>
      </c>
      <c r="D12" s="427">
        <f>SUM(D13:D14)</f>
        <v>4254603</v>
      </c>
      <c r="E12" s="428">
        <f t="shared" si="0"/>
        <v>0.4757614654954649</v>
      </c>
      <c r="F12" s="435">
        <f t="shared" si="1"/>
        <v>0.7336577363020821</v>
      </c>
      <c r="G12" s="429">
        <f>D12-'[9]Augusts'!D12</f>
        <v>1177378</v>
      </c>
      <c r="H12" s="432" t="s">
        <v>216</v>
      </c>
      <c r="I12" s="427">
        <f>SUM(I13:I14)</f>
        <v>8943</v>
      </c>
      <c r="J12" s="430">
        <f>SUM(J13:J14)</f>
        <v>5799</v>
      </c>
      <c r="K12" s="430">
        <f>SUM(K13:K14)</f>
        <v>4255</v>
      </c>
      <c r="L12" s="431">
        <f t="shared" si="2"/>
        <v>47.579112154757915</v>
      </c>
      <c r="M12" s="431">
        <f t="shared" si="3"/>
        <v>73.3747197792723</v>
      </c>
      <c r="N12" s="430">
        <f>K12-'[9]Augusts'!K12</f>
        <v>1177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</row>
    <row r="13" spans="1:104" s="437" customFormat="1" ht="13.5" customHeight="1">
      <c r="A13" s="434" t="s">
        <v>214</v>
      </c>
      <c r="B13" s="11">
        <f>B22+B31+B37+B44+B51+B57+B70+B77+B90+B96+B103+B108</f>
        <v>3721447</v>
      </c>
      <c r="C13" s="11">
        <f>C22+C31+C37+C44+C51+C57+C70+C77+C84+C90+C96+C103+C108</f>
        <v>3041914</v>
      </c>
      <c r="D13" s="11">
        <f>D22+D31+D37+D44+D51+D57+D70+D77+D84+D90+D96+D103+D108</f>
        <v>2618940</v>
      </c>
      <c r="E13" s="435">
        <f t="shared" si="0"/>
        <v>0.7037423883774242</v>
      </c>
      <c r="F13" s="435">
        <f t="shared" si="1"/>
        <v>0.8609513615440805</v>
      </c>
      <c r="G13" s="429">
        <f>D13-'[9]Augusts'!D13</f>
        <v>535424</v>
      </c>
      <c r="H13" s="434" t="s">
        <v>214</v>
      </c>
      <c r="I13" s="11">
        <f>I22+I31+I37+I44+I51+I57+I70+I77+I84+I103+I90+I96+I108</f>
        <v>3721</v>
      </c>
      <c r="J13" s="366">
        <f>J22+J31+J37+J44+J51+J57+J70+J77+J84+J90+J96+J103+J108</f>
        <v>3042</v>
      </c>
      <c r="K13" s="366">
        <f>K22+K31+K37+K44+K51+K57+K70+K77+K84+K90+K96+K103+K108</f>
        <v>2619</v>
      </c>
      <c r="L13" s="58">
        <f t="shared" si="2"/>
        <v>70.38430529427573</v>
      </c>
      <c r="M13" s="58">
        <f t="shared" si="3"/>
        <v>86.09467455621301</v>
      </c>
      <c r="N13" s="366">
        <f>K13-'[9]Augusts'!K13</f>
        <v>535</v>
      </c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6"/>
      <c r="CG13" s="436"/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/>
      <c r="CX13" s="436"/>
      <c r="CY13" s="436"/>
      <c r="CZ13" s="436"/>
    </row>
    <row r="14" spans="1:104" s="437" customFormat="1" ht="14.25" customHeight="1">
      <c r="A14" s="434" t="s">
        <v>215</v>
      </c>
      <c r="B14" s="11">
        <f>B38+B45+B58+B64+B71+B78+B85+B97</f>
        <v>5221276</v>
      </c>
      <c r="C14" s="11">
        <f>C38+C45+C58+C64+C71+C78+C85+C97</f>
        <v>2757252</v>
      </c>
      <c r="D14" s="11">
        <f>D38+D45+D58+D64+D71+D78+D85+D97</f>
        <v>1635663</v>
      </c>
      <c r="E14" s="435">
        <f t="shared" si="0"/>
        <v>0.31326882547484564</v>
      </c>
      <c r="F14" s="435">
        <f t="shared" si="1"/>
        <v>0.5932221646770045</v>
      </c>
      <c r="G14" s="429">
        <f>D14-'[9]Augusts'!D14</f>
        <v>641954</v>
      </c>
      <c r="H14" s="434" t="s">
        <v>215</v>
      </c>
      <c r="I14" s="11">
        <f>I38+I45+I58+I64+I71+I78+I85+I97</f>
        <v>5222</v>
      </c>
      <c r="J14" s="438">
        <f>J38+J45+J58+J64+J71+J78+J85+J97</f>
        <v>2757</v>
      </c>
      <c r="K14" s="438">
        <f>K38+K45+K58+K64+K71+K78+K85+K97</f>
        <v>1636</v>
      </c>
      <c r="L14" s="58">
        <f t="shared" si="2"/>
        <v>31.3289927230946</v>
      </c>
      <c r="M14" s="58">
        <f t="shared" si="3"/>
        <v>59.33986216902431</v>
      </c>
      <c r="N14" s="438">
        <f>K14-'[9]Augusts'!K14</f>
        <v>642</v>
      </c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6"/>
      <c r="CL14" s="436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</row>
    <row r="15" spans="1:104" s="66" customFormat="1" ht="13.5" customHeight="1" hidden="1">
      <c r="A15" s="74" t="s">
        <v>883</v>
      </c>
      <c r="B15" s="366">
        <f aca="true" t="shared" si="4" ref="B15:D16">B16</f>
        <v>0</v>
      </c>
      <c r="C15" s="366">
        <f t="shared" si="4"/>
        <v>0</v>
      </c>
      <c r="D15" s="366">
        <f t="shared" si="4"/>
        <v>0</v>
      </c>
      <c r="E15" s="435" t="str">
        <f t="shared" si="0"/>
        <v> </v>
      </c>
      <c r="F15" s="435" t="str">
        <f t="shared" si="1"/>
        <v> </v>
      </c>
      <c r="G15" s="429">
        <f>D15-'[9]Augusts'!D15</f>
        <v>0</v>
      </c>
      <c r="H15" s="74" t="s">
        <v>883</v>
      </c>
      <c r="I15" s="366">
        <f aca="true" t="shared" si="5" ref="I15:K16">I16</f>
        <v>0</v>
      </c>
      <c r="J15" s="366">
        <f t="shared" si="5"/>
        <v>0</v>
      </c>
      <c r="K15" s="366">
        <f t="shared" si="5"/>
        <v>0</v>
      </c>
      <c r="L15" s="58" t="e">
        <f t="shared" si="2"/>
        <v>#VALUE!</v>
      </c>
      <c r="M15" s="58" t="e">
        <f t="shared" si="3"/>
        <v>#VALUE!</v>
      </c>
      <c r="N15" s="366">
        <f>K15-'[9]Augusts'!K15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437" customFormat="1" ht="12.75" hidden="1">
      <c r="A16" s="439" t="s">
        <v>217</v>
      </c>
      <c r="B16" s="440">
        <f t="shared" si="4"/>
        <v>0</v>
      </c>
      <c r="C16" s="440">
        <f t="shared" si="4"/>
        <v>0</v>
      </c>
      <c r="D16" s="440">
        <f t="shared" si="4"/>
        <v>0</v>
      </c>
      <c r="E16" s="435" t="str">
        <f t="shared" si="0"/>
        <v> </v>
      </c>
      <c r="F16" s="435" t="str">
        <f t="shared" si="1"/>
        <v> </v>
      </c>
      <c r="G16" s="429">
        <f>D16-'[9]Augusts'!D16</f>
        <v>0</v>
      </c>
      <c r="H16" s="439" t="s">
        <v>217</v>
      </c>
      <c r="I16" s="440">
        <f t="shared" si="5"/>
        <v>0</v>
      </c>
      <c r="J16" s="440">
        <f t="shared" si="5"/>
        <v>0</v>
      </c>
      <c r="K16" s="440">
        <f t="shared" si="5"/>
        <v>0</v>
      </c>
      <c r="L16" s="441" t="e">
        <f t="shared" si="2"/>
        <v>#VALUE!</v>
      </c>
      <c r="M16" s="441" t="e">
        <f t="shared" si="3"/>
        <v>#VALUE!</v>
      </c>
      <c r="N16" s="440">
        <f>K16-'[9]Augusts'!K16</f>
        <v>0</v>
      </c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436"/>
      <c r="CT16" s="436"/>
      <c r="CU16" s="436"/>
      <c r="CV16" s="436"/>
      <c r="CW16" s="436"/>
      <c r="CX16" s="436"/>
      <c r="CY16" s="436"/>
      <c r="CZ16" s="436"/>
    </row>
    <row r="17" spans="1:104" s="60" customFormat="1" ht="12.75" hidden="1">
      <c r="A17" s="442" t="s">
        <v>214</v>
      </c>
      <c r="B17" s="443"/>
      <c r="C17" s="443"/>
      <c r="D17" s="443"/>
      <c r="E17" s="435" t="str">
        <f t="shared" si="0"/>
        <v> </v>
      </c>
      <c r="F17" s="435" t="str">
        <f t="shared" si="1"/>
        <v> </v>
      </c>
      <c r="G17" s="429">
        <f>D17-'[9]Augusts'!D17</f>
        <v>0</v>
      </c>
      <c r="H17" s="442" t="s">
        <v>214</v>
      </c>
      <c r="I17" s="443">
        <f>ROUND(B17/1000,0)</f>
        <v>0</v>
      </c>
      <c r="J17" s="443">
        <f>ROUND(C17/1000,0)</f>
        <v>0</v>
      </c>
      <c r="K17" s="443">
        <f>ROUND(D17/1000,0)</f>
        <v>0</v>
      </c>
      <c r="L17" s="81" t="e">
        <f t="shared" si="2"/>
        <v>#VALUE!</v>
      </c>
      <c r="M17" s="81" t="e">
        <f t="shared" si="3"/>
        <v>#VALUE!</v>
      </c>
      <c r="N17" s="443">
        <f>K17-'[9]Augusts'!K17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6" customFormat="1" ht="13.5" customHeight="1">
      <c r="A18" s="74" t="s">
        <v>885</v>
      </c>
      <c r="B18" s="366">
        <f>B19+B21</f>
        <v>288119</v>
      </c>
      <c r="C18" s="366">
        <f>C19+C21</f>
        <v>281546</v>
      </c>
      <c r="D18" s="366">
        <f>D19+D21</f>
        <v>140714</v>
      </c>
      <c r="E18" s="444">
        <f t="shared" si="0"/>
        <v>0.4883884783717839</v>
      </c>
      <c r="F18" s="444">
        <f t="shared" si="1"/>
        <v>0.4997904427695652</v>
      </c>
      <c r="G18" s="429">
        <f>D18-'[9]Augusts'!D18</f>
        <v>101565</v>
      </c>
      <c r="H18" s="74" t="s">
        <v>885</v>
      </c>
      <c r="I18" s="366">
        <f>I19+I21</f>
        <v>288</v>
      </c>
      <c r="J18" s="366">
        <f>J19+J21</f>
        <v>282</v>
      </c>
      <c r="K18" s="366">
        <f>K19+K21</f>
        <v>141</v>
      </c>
      <c r="L18" s="58">
        <f t="shared" si="2"/>
        <v>48.95833333333333</v>
      </c>
      <c r="M18" s="58">
        <f t="shared" si="3"/>
        <v>50</v>
      </c>
      <c r="N18" s="366">
        <f>K18-'[9]Augusts'!K18</f>
        <v>102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437" customFormat="1" ht="12.75">
      <c r="A19" s="439" t="s">
        <v>217</v>
      </c>
      <c r="B19" s="440">
        <f>B20</f>
        <v>261926</v>
      </c>
      <c r="C19" s="440">
        <f>C20</f>
        <v>261926</v>
      </c>
      <c r="D19" s="440">
        <f>D20</f>
        <v>121099</v>
      </c>
      <c r="E19" s="435">
        <f t="shared" si="0"/>
        <v>0.4623405083878653</v>
      </c>
      <c r="F19" s="435">
        <f t="shared" si="1"/>
        <v>0.4623405083878653</v>
      </c>
      <c r="G19" s="429">
        <f>D19-'[9]Augusts'!D19</f>
        <v>99388</v>
      </c>
      <c r="H19" s="439" t="s">
        <v>217</v>
      </c>
      <c r="I19" s="440">
        <f>I20</f>
        <v>262</v>
      </c>
      <c r="J19" s="440">
        <f>J20</f>
        <v>262</v>
      </c>
      <c r="K19" s="440">
        <f>K20</f>
        <v>121</v>
      </c>
      <c r="L19" s="441">
        <f t="shared" si="2"/>
        <v>46.18320610687023</v>
      </c>
      <c r="M19" s="441">
        <f t="shared" si="3"/>
        <v>46.18320610687023</v>
      </c>
      <c r="N19" s="440">
        <f>K19-'[9]Augusts'!K19</f>
        <v>99</v>
      </c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</row>
    <row r="20" spans="1:104" s="60" customFormat="1" ht="12.75">
      <c r="A20" s="442" t="s">
        <v>214</v>
      </c>
      <c r="B20" s="443">
        <v>261926</v>
      </c>
      <c r="C20" s="443">
        <v>261926</v>
      </c>
      <c r="D20" s="443">
        <v>121099</v>
      </c>
      <c r="E20" s="435">
        <f t="shared" si="0"/>
        <v>0.4623405083878653</v>
      </c>
      <c r="F20" s="435">
        <f t="shared" si="1"/>
        <v>0.4623405083878653</v>
      </c>
      <c r="G20" s="429">
        <f>D20-'[9]Augusts'!D20</f>
        <v>99388</v>
      </c>
      <c r="H20" s="442" t="s">
        <v>214</v>
      </c>
      <c r="I20" s="443">
        <f>ROUND(B20/1000,0)</f>
        <v>262</v>
      </c>
      <c r="J20" s="443">
        <f>ROUND(C20/1000,0)</f>
        <v>262</v>
      </c>
      <c r="K20" s="443">
        <f>ROUND(D20/1000,0)</f>
        <v>121</v>
      </c>
      <c r="L20" s="81">
        <f t="shared" si="2"/>
        <v>46.18320610687023</v>
      </c>
      <c r="M20" s="81">
        <f t="shared" si="3"/>
        <v>46.18320610687023</v>
      </c>
      <c r="N20" s="443">
        <f>K20-'[9]Augusts'!K20</f>
        <v>99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437" customFormat="1" ht="12.75">
      <c r="A21" s="439" t="s">
        <v>218</v>
      </c>
      <c r="B21" s="440">
        <f>B22</f>
        <v>26193</v>
      </c>
      <c r="C21" s="440">
        <f>C22</f>
        <v>19620</v>
      </c>
      <c r="D21" s="440">
        <f>D22</f>
        <v>19615</v>
      </c>
      <c r="E21" s="435">
        <f t="shared" si="0"/>
        <v>0.7488642003588745</v>
      </c>
      <c r="F21" s="435">
        <f t="shared" si="1"/>
        <v>0.9997451580020388</v>
      </c>
      <c r="G21" s="429">
        <f>D21-'[9]Augusts'!D21</f>
        <v>2177</v>
      </c>
      <c r="H21" s="439" t="s">
        <v>218</v>
      </c>
      <c r="I21" s="440">
        <f>I22</f>
        <v>26</v>
      </c>
      <c r="J21" s="440">
        <f>J22</f>
        <v>20</v>
      </c>
      <c r="K21" s="440">
        <f>K22</f>
        <v>20</v>
      </c>
      <c r="L21" s="441">
        <f t="shared" si="2"/>
        <v>76.92307692307693</v>
      </c>
      <c r="M21" s="441">
        <f t="shared" si="3"/>
        <v>100</v>
      </c>
      <c r="N21" s="440">
        <f>K21-'[9]Augusts'!K21</f>
        <v>3</v>
      </c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</row>
    <row r="22" spans="1:104" s="60" customFormat="1" ht="12.75">
      <c r="A22" s="442" t="s">
        <v>214</v>
      </c>
      <c r="B22" s="443">
        <v>26193</v>
      </c>
      <c r="C22" s="443">
        <v>19620</v>
      </c>
      <c r="D22" s="443">
        <v>19615</v>
      </c>
      <c r="E22" s="435">
        <f t="shared" si="0"/>
        <v>0.7488642003588745</v>
      </c>
      <c r="F22" s="435">
        <f t="shared" si="1"/>
        <v>0.9997451580020388</v>
      </c>
      <c r="G22" s="429">
        <f>D22-'[9]Augusts'!D22</f>
        <v>2177</v>
      </c>
      <c r="H22" s="442" t="s">
        <v>214</v>
      </c>
      <c r="I22" s="443">
        <f>ROUND(B22/1000,0)</f>
        <v>26</v>
      </c>
      <c r="J22" s="443">
        <f>ROUND(C22/1000,0)</f>
        <v>20</v>
      </c>
      <c r="K22" s="443">
        <f>ROUND(D22/1000,0)</f>
        <v>20</v>
      </c>
      <c r="L22" s="81">
        <f t="shared" si="2"/>
        <v>76.92307692307693</v>
      </c>
      <c r="M22" s="81">
        <f t="shared" si="3"/>
        <v>100</v>
      </c>
      <c r="N22" s="443">
        <f>K22-'[9]Augusts'!K22</f>
        <v>3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6" customFormat="1" ht="13.5" customHeight="1" hidden="1">
      <c r="A23" s="74" t="s">
        <v>889</v>
      </c>
      <c r="B23" s="366">
        <f aca="true" t="shared" si="6" ref="B23:D24">B24</f>
        <v>0</v>
      </c>
      <c r="C23" s="366">
        <f t="shared" si="6"/>
        <v>0</v>
      </c>
      <c r="D23" s="366">
        <f t="shared" si="6"/>
        <v>0</v>
      </c>
      <c r="E23" s="444" t="str">
        <f t="shared" si="0"/>
        <v> </v>
      </c>
      <c r="F23" s="435" t="str">
        <f t="shared" si="1"/>
        <v> </v>
      </c>
      <c r="G23" s="429">
        <f>D23-'[9]Augusts'!D23</f>
        <v>0</v>
      </c>
      <c r="H23" s="74" t="s">
        <v>889</v>
      </c>
      <c r="I23" s="366">
        <f aca="true" t="shared" si="7" ref="I23:K24">I24</f>
        <v>0</v>
      </c>
      <c r="J23" s="366">
        <f t="shared" si="7"/>
        <v>0</v>
      </c>
      <c r="K23" s="366">
        <f t="shared" si="7"/>
        <v>0</v>
      </c>
      <c r="L23" s="58" t="e">
        <f t="shared" si="2"/>
        <v>#VALUE!</v>
      </c>
      <c r="M23" s="58" t="e">
        <f t="shared" si="3"/>
        <v>#VALUE!</v>
      </c>
      <c r="N23" s="366">
        <f>K23-'[9]Augusts'!K23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s="437" customFormat="1" ht="12.75" hidden="1">
      <c r="A24" s="439" t="s">
        <v>217</v>
      </c>
      <c r="B24" s="440">
        <f t="shared" si="6"/>
        <v>0</v>
      </c>
      <c r="C24" s="440">
        <f t="shared" si="6"/>
        <v>0</v>
      </c>
      <c r="D24" s="440">
        <f t="shared" si="6"/>
        <v>0</v>
      </c>
      <c r="E24" s="435" t="str">
        <f t="shared" si="0"/>
        <v> </v>
      </c>
      <c r="F24" s="435" t="str">
        <f t="shared" si="1"/>
        <v> </v>
      </c>
      <c r="G24" s="429">
        <f>D24-'[9]Augusts'!D24</f>
        <v>0</v>
      </c>
      <c r="H24" s="439" t="s">
        <v>217</v>
      </c>
      <c r="I24" s="440">
        <f t="shared" si="7"/>
        <v>0</v>
      </c>
      <c r="J24" s="440">
        <f t="shared" si="7"/>
        <v>0</v>
      </c>
      <c r="K24" s="440">
        <f t="shared" si="7"/>
        <v>0</v>
      </c>
      <c r="L24" s="441" t="e">
        <f t="shared" si="2"/>
        <v>#VALUE!</v>
      </c>
      <c r="M24" s="441" t="e">
        <f t="shared" si="3"/>
        <v>#VALUE!</v>
      </c>
      <c r="N24" s="440">
        <f>K24-'[9]Augusts'!K24</f>
        <v>0</v>
      </c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6"/>
      <c r="CM24" s="436"/>
      <c r="CN24" s="436"/>
      <c r="CO24" s="436"/>
      <c r="CP24" s="436"/>
      <c r="CQ24" s="436"/>
      <c r="CR24" s="436"/>
      <c r="CS24" s="436"/>
      <c r="CT24" s="436"/>
      <c r="CU24" s="436"/>
      <c r="CV24" s="436"/>
      <c r="CW24" s="436"/>
      <c r="CX24" s="436"/>
      <c r="CY24" s="436"/>
      <c r="CZ24" s="436"/>
    </row>
    <row r="25" spans="1:104" s="60" customFormat="1" ht="12.75" hidden="1">
      <c r="A25" s="442" t="s">
        <v>214</v>
      </c>
      <c r="B25" s="443"/>
      <c r="C25" s="443"/>
      <c r="D25" s="443"/>
      <c r="E25" s="435" t="str">
        <f t="shared" si="0"/>
        <v> </v>
      </c>
      <c r="F25" s="435" t="str">
        <f t="shared" si="1"/>
        <v> </v>
      </c>
      <c r="G25" s="429">
        <f>D25-'[9]Augusts'!D25</f>
        <v>0</v>
      </c>
      <c r="H25" s="442" t="s">
        <v>214</v>
      </c>
      <c r="I25" s="443">
        <f>ROUND(B25/1000,0)</f>
        <v>0</v>
      </c>
      <c r="J25" s="443">
        <f>ROUND(C25/1000,0)</f>
        <v>0</v>
      </c>
      <c r="K25" s="443">
        <f>ROUND(D25/1000,0)</f>
        <v>0</v>
      </c>
      <c r="L25" s="81" t="e">
        <f t="shared" si="2"/>
        <v>#VALUE!</v>
      </c>
      <c r="M25" s="81" t="e">
        <f t="shared" si="3"/>
        <v>#VALUE!</v>
      </c>
      <c r="N25" s="443">
        <f>K25-'[9]Augusts'!K25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6" customFormat="1" ht="12">
      <c r="A26" s="74" t="s">
        <v>891</v>
      </c>
      <c r="B26" s="366">
        <f>B27+B30</f>
        <v>3119346</v>
      </c>
      <c r="C26" s="366">
        <f>C27+C30</f>
        <v>2680573</v>
      </c>
      <c r="D26" s="366">
        <f>D27+D30</f>
        <v>1065919</v>
      </c>
      <c r="E26" s="444">
        <f t="shared" si="0"/>
        <v>0.3417123332903756</v>
      </c>
      <c r="F26" s="444">
        <f t="shared" si="1"/>
        <v>0.3976459510709091</v>
      </c>
      <c r="G26" s="429">
        <f>D26-'[9]Augusts'!D26</f>
        <v>60748</v>
      </c>
      <c r="H26" s="74" t="s">
        <v>891</v>
      </c>
      <c r="I26" s="366">
        <f>I27+I30</f>
        <v>3119</v>
      </c>
      <c r="J26" s="366">
        <f>J27+J30</f>
        <v>2681</v>
      </c>
      <c r="K26" s="366">
        <f>K27+K30</f>
        <v>1066</v>
      </c>
      <c r="L26" s="58">
        <f t="shared" si="2"/>
        <v>34.17762103238217</v>
      </c>
      <c r="M26" s="58">
        <f t="shared" si="3"/>
        <v>39.761283103319656</v>
      </c>
      <c r="N26" s="366">
        <f>K26-'[9]Augusts'!K26</f>
        <v>62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s="437" customFormat="1" ht="12.75">
      <c r="A27" s="439" t="s">
        <v>217</v>
      </c>
      <c r="B27" s="440">
        <f>SUM(B28:B29)</f>
        <v>3102386</v>
      </c>
      <c r="C27" s="440">
        <f>SUM(C28:C29)</f>
        <v>2667853</v>
      </c>
      <c r="D27" s="440">
        <f>SUM(D28:D29)</f>
        <v>1053203</v>
      </c>
      <c r="E27" s="435">
        <f t="shared" si="0"/>
        <v>0.3394816118948448</v>
      </c>
      <c r="F27" s="435">
        <f t="shared" si="1"/>
        <v>0.39477549924977123</v>
      </c>
      <c r="G27" s="429">
        <f>D27-'[9]Augusts'!D27</f>
        <v>56512</v>
      </c>
      <c r="H27" s="439" t="s">
        <v>217</v>
      </c>
      <c r="I27" s="440">
        <f>SUM(I28:I29)</f>
        <v>3102</v>
      </c>
      <c r="J27" s="440">
        <f>SUM(J28:J29)</f>
        <v>2668</v>
      </c>
      <c r="K27" s="440">
        <f>SUM(K28:K29)</f>
        <v>1053</v>
      </c>
      <c r="L27" s="441">
        <f t="shared" si="2"/>
        <v>33.9458413926499</v>
      </c>
      <c r="M27" s="441">
        <f t="shared" si="3"/>
        <v>39.467766116941526</v>
      </c>
      <c r="N27" s="440">
        <f>K27-'[9]Augusts'!K27</f>
        <v>57</v>
      </c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436"/>
      <c r="CV27" s="436"/>
      <c r="CW27" s="436"/>
      <c r="CX27" s="436"/>
      <c r="CY27" s="436"/>
      <c r="CZ27" s="436"/>
    </row>
    <row r="28" spans="1:104" s="60" customFormat="1" ht="12.75">
      <c r="A28" s="442" t="s">
        <v>214</v>
      </c>
      <c r="B28" s="443">
        <v>2952580</v>
      </c>
      <c r="C28" s="443">
        <v>2518047</v>
      </c>
      <c r="D28" s="443">
        <v>976779</v>
      </c>
      <c r="E28" s="435">
        <f t="shared" si="0"/>
        <v>0.33082219618096714</v>
      </c>
      <c r="F28" s="435">
        <f t="shared" si="1"/>
        <v>0.3879113455785376</v>
      </c>
      <c r="G28" s="429">
        <f>D28-'[9]Augusts'!D28</f>
        <v>56512</v>
      </c>
      <c r="H28" s="442" t="s">
        <v>214</v>
      </c>
      <c r="I28" s="443">
        <f>ROUND(B28/1000,0)-1</f>
        <v>2952</v>
      </c>
      <c r="J28" s="443">
        <f aca="true" t="shared" si="8" ref="I28:K29">ROUND(C28/1000,0)</f>
        <v>2518</v>
      </c>
      <c r="K28" s="443">
        <f>ROUND(D28/1000,0)</f>
        <v>977</v>
      </c>
      <c r="L28" s="81">
        <f t="shared" si="2"/>
        <v>33.09620596205962</v>
      </c>
      <c r="M28" s="81">
        <f t="shared" si="3"/>
        <v>38.800635424940424</v>
      </c>
      <c r="N28" s="443">
        <f>K28-'[9]Augusts'!K28</f>
        <v>57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60" customFormat="1" ht="12.75">
      <c r="A29" s="442" t="s">
        <v>215</v>
      </c>
      <c r="B29" s="443">
        <v>149806</v>
      </c>
      <c r="C29" s="443">
        <v>149806</v>
      </c>
      <c r="D29" s="443">
        <v>76424</v>
      </c>
      <c r="E29" s="435">
        <f t="shared" si="0"/>
        <v>0.5101531313832557</v>
      </c>
      <c r="F29" s="435">
        <f t="shared" si="1"/>
        <v>0.5101531313832557</v>
      </c>
      <c r="G29" s="429">
        <f>D29-'[9]Augusts'!D29</f>
        <v>0</v>
      </c>
      <c r="H29" s="442" t="s">
        <v>215</v>
      </c>
      <c r="I29" s="443">
        <f t="shared" si="8"/>
        <v>150</v>
      </c>
      <c r="J29" s="443">
        <f t="shared" si="8"/>
        <v>150</v>
      </c>
      <c r="K29" s="443">
        <f t="shared" si="8"/>
        <v>76</v>
      </c>
      <c r="L29" s="81">
        <f t="shared" si="2"/>
        <v>50.66666666666667</v>
      </c>
      <c r="M29" s="81">
        <f t="shared" si="3"/>
        <v>50.66666666666667</v>
      </c>
      <c r="N29" s="443">
        <f>K29-'[9]Augusts'!K29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437" customFormat="1" ht="12.75">
      <c r="A30" s="439" t="s">
        <v>218</v>
      </c>
      <c r="B30" s="440">
        <f>B31</f>
        <v>16960</v>
      </c>
      <c r="C30" s="440">
        <f>C31</f>
        <v>12720</v>
      </c>
      <c r="D30" s="440">
        <f>D31</f>
        <v>12716</v>
      </c>
      <c r="E30" s="435">
        <f t="shared" si="0"/>
        <v>0.7497641509433962</v>
      </c>
      <c r="F30" s="435">
        <f t="shared" si="1"/>
        <v>0.9996855345911949</v>
      </c>
      <c r="G30" s="429">
        <f>D30-'[9]Augusts'!D30</f>
        <v>4236</v>
      </c>
      <c r="H30" s="439" t="s">
        <v>218</v>
      </c>
      <c r="I30" s="440">
        <f>I31</f>
        <v>17</v>
      </c>
      <c r="J30" s="440">
        <f>J31</f>
        <v>13</v>
      </c>
      <c r="K30" s="440">
        <f>K31</f>
        <v>13</v>
      </c>
      <c r="L30" s="441">
        <f t="shared" si="2"/>
        <v>76.47058823529412</v>
      </c>
      <c r="M30" s="441">
        <f t="shared" si="3"/>
        <v>100</v>
      </c>
      <c r="N30" s="440">
        <f>K30-'[9]Augusts'!K30</f>
        <v>5</v>
      </c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436"/>
      <c r="CM30" s="436"/>
      <c r="CN30" s="436"/>
      <c r="CO30" s="436"/>
      <c r="CP30" s="436"/>
      <c r="CQ30" s="436"/>
      <c r="CR30" s="436"/>
      <c r="CS30" s="436"/>
      <c r="CT30" s="436"/>
      <c r="CU30" s="436"/>
      <c r="CV30" s="436"/>
      <c r="CW30" s="436"/>
      <c r="CX30" s="436"/>
      <c r="CY30" s="436"/>
      <c r="CZ30" s="436"/>
    </row>
    <row r="31" spans="1:104" s="60" customFormat="1" ht="12.75">
      <c r="A31" s="442" t="s">
        <v>214</v>
      </c>
      <c r="B31" s="443">
        <v>16960</v>
      </c>
      <c r="C31" s="443">
        <v>12720</v>
      </c>
      <c r="D31" s="443">
        <v>12716</v>
      </c>
      <c r="E31" s="435">
        <f t="shared" si="0"/>
        <v>0.7497641509433962</v>
      </c>
      <c r="F31" s="435">
        <f t="shared" si="1"/>
        <v>0.9996855345911949</v>
      </c>
      <c r="G31" s="429">
        <f>D31-'[9]Augusts'!D31</f>
        <v>4236</v>
      </c>
      <c r="H31" s="442" t="s">
        <v>214</v>
      </c>
      <c r="I31" s="443">
        <f>ROUND(B31/1000,0)</f>
        <v>17</v>
      </c>
      <c r="J31" s="443">
        <f>ROUND(C31/1000,0)</f>
        <v>13</v>
      </c>
      <c r="K31" s="443">
        <f>ROUND(D31/1000,0)</f>
        <v>13</v>
      </c>
      <c r="L31" s="81">
        <f t="shared" si="2"/>
        <v>76.47058823529412</v>
      </c>
      <c r="M31" s="81">
        <f t="shared" si="3"/>
        <v>100</v>
      </c>
      <c r="N31" s="443">
        <f>K31-'[9]Augusts'!K31</f>
        <v>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6" customFormat="1" ht="12">
      <c r="A32" s="74" t="s">
        <v>893</v>
      </c>
      <c r="B32" s="366">
        <f>B33+B36</f>
        <v>3899330</v>
      </c>
      <c r="C32" s="366">
        <f>C33+C36</f>
        <v>2603898</v>
      </c>
      <c r="D32" s="366">
        <f>D33+D36</f>
        <v>1310725</v>
      </c>
      <c r="E32" s="444">
        <f t="shared" si="0"/>
        <v>0.3361410806471881</v>
      </c>
      <c r="F32" s="444">
        <f t="shared" si="1"/>
        <v>0.5033703317103819</v>
      </c>
      <c r="G32" s="429">
        <f>D32-'[9]Augusts'!D32</f>
        <v>229296</v>
      </c>
      <c r="H32" s="74" t="s">
        <v>893</v>
      </c>
      <c r="I32" s="366">
        <f>I33+I36</f>
        <v>3899</v>
      </c>
      <c r="J32" s="366">
        <f>J33+J36</f>
        <v>2603</v>
      </c>
      <c r="K32" s="366">
        <f>K33+K36</f>
        <v>1311</v>
      </c>
      <c r="L32" s="58">
        <f t="shared" si="2"/>
        <v>33.62400615542447</v>
      </c>
      <c r="M32" s="58">
        <f t="shared" si="3"/>
        <v>50.36496350364964</v>
      </c>
      <c r="N32" s="366">
        <f>K32-'[9]Augusts'!K32</f>
        <v>229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s="437" customFormat="1" ht="12.75">
      <c r="A33" s="439" t="s">
        <v>217</v>
      </c>
      <c r="B33" s="440">
        <f>SUM(B34:B35)</f>
        <v>3028980</v>
      </c>
      <c r="C33" s="440">
        <f>SUM(C34:C35)</f>
        <v>2074898</v>
      </c>
      <c r="D33" s="440">
        <f>SUM(D34:D35)</f>
        <v>1110288</v>
      </c>
      <c r="E33" s="435">
        <f t="shared" si="0"/>
        <v>0.3665550779470317</v>
      </c>
      <c r="F33" s="435">
        <f t="shared" si="1"/>
        <v>0.5351048581665219</v>
      </c>
      <c r="G33" s="429">
        <f>D33-'[9]Augusts'!D33</f>
        <v>229296</v>
      </c>
      <c r="H33" s="439" t="s">
        <v>217</v>
      </c>
      <c r="I33" s="440">
        <f>SUM(I34:I35)</f>
        <v>3029</v>
      </c>
      <c r="J33" s="440">
        <f>SUM(J34:J35)</f>
        <v>2074</v>
      </c>
      <c r="K33" s="440">
        <f>SUM(K34:K35)</f>
        <v>1110</v>
      </c>
      <c r="L33" s="441">
        <f t="shared" si="2"/>
        <v>36.645757675800596</v>
      </c>
      <c r="M33" s="441">
        <f t="shared" si="3"/>
        <v>53.51976856316297</v>
      </c>
      <c r="N33" s="440">
        <f>K33-'[9]Augusts'!K33</f>
        <v>229</v>
      </c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</row>
    <row r="34" spans="1:104" s="60" customFormat="1" ht="12.75">
      <c r="A34" s="442" t="s">
        <v>214</v>
      </c>
      <c r="B34" s="443">
        <v>1815117</v>
      </c>
      <c r="C34" s="443">
        <v>1033335</v>
      </c>
      <c r="D34" s="443">
        <v>385920</v>
      </c>
      <c r="E34" s="435">
        <f t="shared" si="0"/>
        <v>0.21261439345232291</v>
      </c>
      <c r="F34" s="435">
        <f t="shared" si="1"/>
        <v>0.3734703653703784</v>
      </c>
      <c r="G34" s="429">
        <f>D34-'[9]Augusts'!D34</f>
        <v>96920</v>
      </c>
      <c r="H34" s="442" t="s">
        <v>214</v>
      </c>
      <c r="I34" s="443">
        <f aca="true" t="shared" si="9" ref="I34:K35">ROUND(B34/1000,0)</f>
        <v>1815</v>
      </c>
      <c r="J34" s="443">
        <f t="shared" si="9"/>
        <v>1033</v>
      </c>
      <c r="K34" s="443">
        <f t="shared" si="9"/>
        <v>386</v>
      </c>
      <c r="L34" s="81">
        <f t="shared" si="2"/>
        <v>21.26721763085399</v>
      </c>
      <c r="M34" s="81">
        <f t="shared" si="3"/>
        <v>37.36689254598258</v>
      </c>
      <c r="N34" s="443">
        <f>K34-'[9]Augusts'!K34</f>
        <v>97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60" customFormat="1" ht="12.75">
      <c r="A35" s="442" t="s">
        <v>215</v>
      </c>
      <c r="B35" s="443">
        <v>1213863</v>
      </c>
      <c r="C35" s="443">
        <v>1041563</v>
      </c>
      <c r="D35" s="443">
        <v>724368</v>
      </c>
      <c r="E35" s="435">
        <f t="shared" si="0"/>
        <v>0.5967460907861926</v>
      </c>
      <c r="F35" s="435">
        <f t="shared" si="1"/>
        <v>0.6954624924272463</v>
      </c>
      <c r="G35" s="429">
        <f>D35-'[9]Augusts'!D35</f>
        <v>132376</v>
      </c>
      <c r="H35" s="442" t="s">
        <v>215</v>
      </c>
      <c r="I35" s="443">
        <f t="shared" si="9"/>
        <v>1214</v>
      </c>
      <c r="J35" s="443">
        <f>ROUND(C35/1000,0)-1</f>
        <v>1041</v>
      </c>
      <c r="K35" s="443">
        <f t="shared" si="9"/>
        <v>724</v>
      </c>
      <c r="L35" s="81">
        <f t="shared" si="2"/>
        <v>59.637561779242176</v>
      </c>
      <c r="M35" s="81">
        <f t="shared" si="3"/>
        <v>69.54851104707012</v>
      </c>
      <c r="N35" s="443">
        <f>K35-'[9]Augusts'!K35</f>
        <v>132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437" customFormat="1" ht="12.75">
      <c r="A36" s="439" t="s">
        <v>218</v>
      </c>
      <c r="B36" s="440">
        <f>SUM(B37:B38)</f>
        <v>870350</v>
      </c>
      <c r="C36" s="440">
        <f>SUM(C37:C38)</f>
        <v>529000</v>
      </c>
      <c r="D36" s="440">
        <f>SUM(D37:D38)</f>
        <v>200437</v>
      </c>
      <c r="E36" s="435">
        <f t="shared" si="0"/>
        <v>0.23029470902510485</v>
      </c>
      <c r="F36" s="435">
        <f t="shared" si="1"/>
        <v>0.37889792060491495</v>
      </c>
      <c r="G36" s="429">
        <f>D36-'[9]Augusts'!D36</f>
        <v>0</v>
      </c>
      <c r="H36" s="439" t="s">
        <v>218</v>
      </c>
      <c r="I36" s="440">
        <f>SUM(I37:I38)</f>
        <v>870</v>
      </c>
      <c r="J36" s="440">
        <f>SUM(J37:J38)</f>
        <v>529</v>
      </c>
      <c r="K36" s="440">
        <f>SUM(K37:K38)</f>
        <v>201</v>
      </c>
      <c r="L36" s="441">
        <f t="shared" si="2"/>
        <v>23.103448275862068</v>
      </c>
      <c r="M36" s="441">
        <f t="shared" si="3"/>
        <v>37.99621928166352</v>
      </c>
      <c r="N36" s="440">
        <f>K36-'[9]Augusts'!K36</f>
        <v>0</v>
      </c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6"/>
      <c r="CU36" s="436"/>
      <c r="CV36" s="436"/>
      <c r="CW36" s="436"/>
      <c r="CX36" s="436"/>
      <c r="CY36" s="436"/>
      <c r="CZ36" s="436"/>
    </row>
    <row r="37" spans="1:104" s="60" customFormat="1" ht="12.75">
      <c r="A37" s="442" t="s">
        <v>214</v>
      </c>
      <c r="B37" s="443">
        <v>73450</v>
      </c>
      <c r="C37" s="443">
        <v>31000</v>
      </c>
      <c r="D37" s="443">
        <v>2453</v>
      </c>
      <c r="E37" s="435">
        <f t="shared" si="0"/>
        <v>0.033396868618107554</v>
      </c>
      <c r="F37" s="435">
        <f t="shared" si="1"/>
        <v>0.07912903225806452</v>
      </c>
      <c r="G37" s="429">
        <f>D37-'[9]Augusts'!D37</f>
        <v>0</v>
      </c>
      <c r="H37" s="442" t="s">
        <v>214</v>
      </c>
      <c r="I37" s="443">
        <f aca="true" t="shared" si="10" ref="I37:K38">ROUND(B37/1000,0)</f>
        <v>73</v>
      </c>
      <c r="J37" s="443">
        <f t="shared" si="10"/>
        <v>31</v>
      </c>
      <c r="K37" s="443">
        <f>ROUND(D37/1000,0)+1</f>
        <v>3</v>
      </c>
      <c r="L37" s="81">
        <f t="shared" si="2"/>
        <v>4.10958904109589</v>
      </c>
      <c r="M37" s="81">
        <f t="shared" si="3"/>
        <v>9.67741935483871</v>
      </c>
      <c r="N37" s="443">
        <f>K37-'[9]Augusts'!K37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60" customFormat="1" ht="12.75">
      <c r="A38" s="442" t="s">
        <v>215</v>
      </c>
      <c r="B38" s="443">
        <v>796900</v>
      </c>
      <c r="C38" s="443">
        <v>498000</v>
      </c>
      <c r="D38" s="443">
        <v>197984</v>
      </c>
      <c r="E38" s="435">
        <f t="shared" si="0"/>
        <v>0.24844271552265026</v>
      </c>
      <c r="F38" s="435">
        <f t="shared" si="1"/>
        <v>0.39755823293172693</v>
      </c>
      <c r="G38" s="429">
        <f>D38-'[9]Augusts'!D38</f>
        <v>0</v>
      </c>
      <c r="H38" s="442" t="s">
        <v>215</v>
      </c>
      <c r="I38" s="443">
        <f t="shared" si="10"/>
        <v>797</v>
      </c>
      <c r="J38" s="443">
        <f t="shared" si="10"/>
        <v>498</v>
      </c>
      <c r="K38" s="443">
        <f t="shared" si="10"/>
        <v>198</v>
      </c>
      <c r="L38" s="81">
        <f t="shared" si="2"/>
        <v>24.843161856963615</v>
      </c>
      <c r="M38" s="81">
        <f t="shared" si="3"/>
        <v>39.75903614457831</v>
      </c>
      <c r="N38" s="443">
        <f>K38-'[9]Augusts'!K38</f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6" customFormat="1" ht="12">
      <c r="A39" s="74" t="s">
        <v>895</v>
      </c>
      <c r="B39" s="366">
        <f>B40+B43</f>
        <v>4195425</v>
      </c>
      <c r="C39" s="366">
        <f>C40+C43</f>
        <v>3246004</v>
      </c>
      <c r="D39" s="366">
        <f>D40+D43</f>
        <v>897251</v>
      </c>
      <c r="E39" s="444">
        <f t="shared" si="0"/>
        <v>0.21386414963919032</v>
      </c>
      <c r="F39" s="444">
        <f t="shared" si="1"/>
        <v>0.2764170962204606</v>
      </c>
      <c r="G39" s="429">
        <f>D39-'[9]Augusts'!D39</f>
        <v>606203</v>
      </c>
      <c r="H39" s="74" t="s">
        <v>895</v>
      </c>
      <c r="I39" s="366">
        <f>I40+I43</f>
        <v>4196</v>
      </c>
      <c r="J39" s="366">
        <f>J40+J43</f>
        <v>3246</v>
      </c>
      <c r="K39" s="366">
        <f>K40+K43</f>
        <v>898</v>
      </c>
      <c r="L39" s="58">
        <f t="shared" si="2"/>
        <v>21.401334604385127</v>
      </c>
      <c r="M39" s="58">
        <f t="shared" si="3"/>
        <v>27.664818237831177</v>
      </c>
      <c r="N39" s="366">
        <f>K39-'[9]Augusts'!K39</f>
        <v>607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s="437" customFormat="1" ht="12.75">
      <c r="A40" s="439" t="s">
        <v>217</v>
      </c>
      <c r="B40" s="440">
        <f>SUM(B41:B42)</f>
        <v>3361152</v>
      </c>
      <c r="C40" s="440">
        <f>SUM(C41:C42)</f>
        <v>2773325</v>
      </c>
      <c r="D40" s="440">
        <f>SUM(D41:D42)</f>
        <v>563811</v>
      </c>
      <c r="E40" s="435">
        <f t="shared" si="0"/>
        <v>0.16774338084085458</v>
      </c>
      <c r="F40" s="435">
        <f t="shared" si="1"/>
        <v>0.20329784644785592</v>
      </c>
      <c r="G40" s="429">
        <f>D40-'[9]Augusts'!D40</f>
        <v>288783</v>
      </c>
      <c r="H40" s="439" t="s">
        <v>217</v>
      </c>
      <c r="I40" s="440">
        <f>SUM(I41:I42)</f>
        <v>3361</v>
      </c>
      <c r="J40" s="440">
        <f>SUM(J41:J42)</f>
        <v>2773</v>
      </c>
      <c r="K40" s="440">
        <f>SUM(K41:K42)</f>
        <v>564</v>
      </c>
      <c r="L40" s="441">
        <f t="shared" si="2"/>
        <v>16.780720023802438</v>
      </c>
      <c r="M40" s="441">
        <f t="shared" si="3"/>
        <v>20.33898305084746</v>
      </c>
      <c r="N40" s="440">
        <f>K40-'[9]Augusts'!K40</f>
        <v>289</v>
      </c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6"/>
      <c r="CC40" s="436"/>
      <c r="CD40" s="436"/>
      <c r="CE40" s="436"/>
      <c r="CF40" s="436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</row>
    <row r="41" spans="1:104" s="60" customFormat="1" ht="12.75">
      <c r="A41" s="442" t="s">
        <v>214</v>
      </c>
      <c r="B41" s="443">
        <v>240052</v>
      </c>
      <c r="C41" s="443">
        <v>206825</v>
      </c>
      <c r="D41" s="443">
        <v>47596</v>
      </c>
      <c r="E41" s="435">
        <f t="shared" si="0"/>
        <v>0.1982737073634046</v>
      </c>
      <c r="F41" s="435">
        <f t="shared" si="1"/>
        <v>0.23012691889278375</v>
      </c>
      <c r="G41" s="429">
        <f>D41-'[9]Augusts'!D41</f>
        <v>0</v>
      </c>
      <c r="H41" s="442" t="s">
        <v>214</v>
      </c>
      <c r="I41" s="443">
        <f aca="true" t="shared" si="11" ref="I41:K42">ROUND(B41/1000,0)</f>
        <v>240</v>
      </c>
      <c r="J41" s="443">
        <f t="shared" si="11"/>
        <v>207</v>
      </c>
      <c r="K41" s="443">
        <f t="shared" si="11"/>
        <v>48</v>
      </c>
      <c r="L41" s="81">
        <f t="shared" si="2"/>
        <v>20</v>
      </c>
      <c r="M41" s="81">
        <f t="shared" si="3"/>
        <v>23.18840579710145</v>
      </c>
      <c r="N41" s="443">
        <f>K41-'[9]Augusts'!K41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60" customFormat="1" ht="12.75">
      <c r="A42" s="442" t="s">
        <v>215</v>
      </c>
      <c r="B42" s="443">
        <v>3121100</v>
      </c>
      <c r="C42" s="443">
        <v>2566500</v>
      </c>
      <c r="D42" s="443">
        <v>516215</v>
      </c>
      <c r="E42" s="435">
        <f t="shared" si="0"/>
        <v>0.16539521322610617</v>
      </c>
      <c r="F42" s="435">
        <f t="shared" si="1"/>
        <v>0.2011357880381843</v>
      </c>
      <c r="G42" s="429">
        <f>D42-'[9]Augusts'!D42</f>
        <v>288783</v>
      </c>
      <c r="H42" s="442" t="s">
        <v>215</v>
      </c>
      <c r="I42" s="443">
        <f t="shared" si="11"/>
        <v>3121</v>
      </c>
      <c r="J42" s="443">
        <f>ROUND(C42/1000,0)-1</f>
        <v>2566</v>
      </c>
      <c r="K42" s="443">
        <f t="shared" si="11"/>
        <v>516</v>
      </c>
      <c r="L42" s="81">
        <f t="shared" si="2"/>
        <v>16.533162447933357</v>
      </c>
      <c r="M42" s="81">
        <f t="shared" si="3"/>
        <v>20.1091192517537</v>
      </c>
      <c r="N42" s="443">
        <f>K42-'[9]Augusts'!K42</f>
        <v>289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437" customFormat="1" ht="12.75">
      <c r="A43" s="439" t="s">
        <v>218</v>
      </c>
      <c r="B43" s="440">
        <f>SUM(B44:B45)</f>
        <v>834273</v>
      </c>
      <c r="C43" s="440">
        <f>SUM(C44:C45)</f>
        <v>472679</v>
      </c>
      <c r="D43" s="440">
        <f>SUM(D44:D45)</f>
        <v>333440</v>
      </c>
      <c r="E43" s="435">
        <f t="shared" si="0"/>
        <v>0.3996773238496272</v>
      </c>
      <c r="F43" s="435">
        <f t="shared" si="1"/>
        <v>0.7054258809890009</v>
      </c>
      <c r="G43" s="429">
        <f>D43-'[9]Augusts'!D43</f>
        <v>317420</v>
      </c>
      <c r="H43" s="439" t="s">
        <v>218</v>
      </c>
      <c r="I43" s="440">
        <f>SUM(I44:I45)</f>
        <v>835</v>
      </c>
      <c r="J43" s="440">
        <f>SUM(J44:J45)</f>
        <v>473</v>
      </c>
      <c r="K43" s="440">
        <f>SUM(K44:K45)</f>
        <v>334</v>
      </c>
      <c r="L43" s="441">
        <f t="shared" si="2"/>
        <v>40</v>
      </c>
      <c r="M43" s="441">
        <f t="shared" si="3"/>
        <v>70.61310782241014</v>
      </c>
      <c r="N43" s="440">
        <f>K43-'[9]Augusts'!K43</f>
        <v>318</v>
      </c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</row>
    <row r="44" spans="1:104" s="60" customFormat="1" ht="12.75">
      <c r="A44" s="442" t="s">
        <v>214</v>
      </c>
      <c r="B44" s="443">
        <v>6623</v>
      </c>
      <c r="C44" s="443">
        <v>6623</v>
      </c>
      <c r="D44" s="443"/>
      <c r="E44" s="435">
        <f t="shared" si="0"/>
        <v>0</v>
      </c>
      <c r="F44" s="435">
        <f t="shared" si="1"/>
        <v>0</v>
      </c>
      <c r="G44" s="429">
        <f>D44-'[9]Augusts'!D44</f>
        <v>0</v>
      </c>
      <c r="H44" s="442" t="s">
        <v>214</v>
      </c>
      <c r="I44" s="443">
        <f aca="true" t="shared" si="12" ref="I44:K45">ROUND(B44/1000,0)</f>
        <v>7</v>
      </c>
      <c r="J44" s="443">
        <f t="shared" si="12"/>
        <v>7</v>
      </c>
      <c r="K44" s="443">
        <f t="shared" si="12"/>
        <v>0</v>
      </c>
      <c r="L44" s="81">
        <f t="shared" si="2"/>
        <v>0</v>
      </c>
      <c r="M44" s="81">
        <f t="shared" si="3"/>
        <v>0</v>
      </c>
      <c r="N44" s="443">
        <f>K44-'[9]Augusts'!K44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60" customFormat="1" ht="12.75">
      <c r="A45" s="442" t="s">
        <v>215</v>
      </c>
      <c r="B45" s="443">
        <v>827650</v>
      </c>
      <c r="C45" s="443">
        <v>466056</v>
      </c>
      <c r="D45" s="443">
        <v>333440</v>
      </c>
      <c r="E45" s="435">
        <f t="shared" si="0"/>
        <v>0.4028756116716003</v>
      </c>
      <c r="F45" s="435">
        <f t="shared" si="1"/>
        <v>0.7154505038021182</v>
      </c>
      <c r="G45" s="429">
        <f>D45-'[9]Augusts'!D45</f>
        <v>317420</v>
      </c>
      <c r="H45" s="442" t="s">
        <v>215</v>
      </c>
      <c r="I45" s="443">
        <f t="shared" si="12"/>
        <v>828</v>
      </c>
      <c r="J45" s="443">
        <f>ROUND(C45/1000,0)</f>
        <v>466</v>
      </c>
      <c r="K45" s="443">
        <f>ROUND(D45/1000,0)+1</f>
        <v>334</v>
      </c>
      <c r="L45" s="81">
        <f t="shared" si="2"/>
        <v>40.33816425120773</v>
      </c>
      <c r="M45" s="81">
        <f t="shared" si="3"/>
        <v>71.67381974248927</v>
      </c>
      <c r="N45" s="443">
        <f>K45-'[9]Augusts'!K45</f>
        <v>318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66" customFormat="1" ht="12">
      <c r="A46" s="59" t="s">
        <v>897</v>
      </c>
      <c r="B46" s="366">
        <f>B47+B50</f>
        <v>5945668</v>
      </c>
      <c r="C46" s="366">
        <f>C47+C50</f>
        <v>5563367</v>
      </c>
      <c r="D46" s="366">
        <f>D47+D50</f>
        <v>4715203</v>
      </c>
      <c r="E46" s="444">
        <f t="shared" si="0"/>
        <v>0.7930484850482739</v>
      </c>
      <c r="F46" s="444">
        <f t="shared" si="1"/>
        <v>0.8475448411007219</v>
      </c>
      <c r="G46" s="429">
        <f>D46-'[9]Augusts'!D46</f>
        <v>493414</v>
      </c>
      <c r="H46" s="59" t="s">
        <v>897</v>
      </c>
      <c r="I46" s="366">
        <f>I47+I50</f>
        <v>5946</v>
      </c>
      <c r="J46" s="366">
        <f>J47+J50</f>
        <v>5564</v>
      </c>
      <c r="K46" s="366">
        <f>K47+K50</f>
        <v>4715</v>
      </c>
      <c r="L46" s="58">
        <f t="shared" si="2"/>
        <v>79.29700639085098</v>
      </c>
      <c r="M46" s="58">
        <f>IF(ISERROR(ROUND(K46,0)/ROUND(J46,0))," ",(ROUND(K46,)/ROUND(J46,)))*100</f>
        <v>84.7411933860532</v>
      </c>
      <c r="N46" s="366">
        <f>K46-'[9]Augusts'!K46</f>
        <v>494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s="437" customFormat="1" ht="12.75" customHeight="1">
      <c r="A47" s="439" t="s">
        <v>217</v>
      </c>
      <c r="B47" s="440">
        <f>SUM(B48:B49)</f>
        <v>3292889</v>
      </c>
      <c r="C47" s="440">
        <f>SUM(C48:C49)</f>
        <v>3145389</v>
      </c>
      <c r="D47" s="440">
        <f>SUM(D48:D49)</f>
        <v>2423330</v>
      </c>
      <c r="E47" s="435">
        <f t="shared" si="0"/>
        <v>0.7359282380912323</v>
      </c>
      <c r="F47" s="435">
        <f t="shared" si="1"/>
        <v>0.7704388868912557</v>
      </c>
      <c r="G47" s="429">
        <f>D47-'[9]Augusts'!D47</f>
        <v>7547</v>
      </c>
      <c r="H47" s="439" t="s">
        <v>217</v>
      </c>
      <c r="I47" s="440">
        <f>I48+I49</f>
        <v>3293</v>
      </c>
      <c r="J47" s="440">
        <f>J48+J49</f>
        <v>3146</v>
      </c>
      <c r="K47" s="440">
        <f>K48+K49</f>
        <v>2423</v>
      </c>
      <c r="L47" s="441">
        <f t="shared" si="2"/>
        <v>73.58032189492863</v>
      </c>
      <c r="M47" s="441">
        <f>IF(ISERROR(ROUND(K47,0)/ROUND(J47,0))," ",(ROUND(K47,)/ROUND(J47,)))*100</f>
        <v>77.0184361093452</v>
      </c>
      <c r="N47" s="440">
        <f>K47-'[9]Augusts'!K47</f>
        <v>8</v>
      </c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</row>
    <row r="48" spans="1:104" s="60" customFormat="1" ht="12.75">
      <c r="A48" s="442" t="s">
        <v>214</v>
      </c>
      <c r="B48" s="443">
        <v>3209109</v>
      </c>
      <c r="C48" s="443">
        <v>3061609</v>
      </c>
      <c r="D48" s="443">
        <v>2347936</v>
      </c>
      <c r="E48" s="435">
        <f t="shared" si="0"/>
        <v>0.7316473201751639</v>
      </c>
      <c r="F48" s="435">
        <f t="shared" si="1"/>
        <v>0.7668960994039409</v>
      </c>
      <c r="G48" s="429">
        <f>D48-'[9]Augusts'!D48</f>
        <v>7547</v>
      </c>
      <c r="H48" s="442" t="s">
        <v>214</v>
      </c>
      <c r="I48" s="443">
        <f aca="true" t="shared" si="13" ref="I48:K49">ROUND(B48/1000,0)</f>
        <v>3209</v>
      </c>
      <c r="J48" s="443">
        <f>ROUND(C48/1000,0)</f>
        <v>3062</v>
      </c>
      <c r="K48" s="443">
        <f>ROUND(D48/1000,0)</f>
        <v>2348</v>
      </c>
      <c r="L48" s="81">
        <f t="shared" si="2"/>
        <v>73.1692115923964</v>
      </c>
      <c r="M48" s="81">
        <f aca="true" t="shared" si="14" ref="M48:M100">IF(ISERROR(ROUND(K48,0)/ROUND(J48,0))," ",(ROUND(K48,)/ROUND(J48,)))*100</f>
        <v>76.68190725016329</v>
      </c>
      <c r="N48" s="443">
        <f>K48-'[9]Augusts'!K48</f>
        <v>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60" customFormat="1" ht="12.75">
      <c r="A49" s="442" t="s">
        <v>215</v>
      </c>
      <c r="B49" s="443">
        <v>83780</v>
      </c>
      <c r="C49" s="443">
        <v>83780</v>
      </c>
      <c r="D49" s="443">
        <v>75394</v>
      </c>
      <c r="E49" s="435">
        <f t="shared" si="0"/>
        <v>0.8999045118166626</v>
      </c>
      <c r="F49" s="435">
        <f t="shared" si="1"/>
        <v>0.8999045118166626</v>
      </c>
      <c r="G49" s="429">
        <f>D49-'[9]Augusts'!D49</f>
        <v>0</v>
      </c>
      <c r="H49" s="442" t="s">
        <v>215</v>
      </c>
      <c r="I49" s="443">
        <f t="shared" si="13"/>
        <v>84</v>
      </c>
      <c r="J49" s="443">
        <f t="shared" si="13"/>
        <v>84</v>
      </c>
      <c r="K49" s="443">
        <f t="shared" si="13"/>
        <v>75</v>
      </c>
      <c r="L49" s="81">
        <f t="shared" si="2"/>
        <v>89.28571428571429</v>
      </c>
      <c r="M49" s="81">
        <f t="shared" si="14"/>
        <v>89.28571428571429</v>
      </c>
      <c r="N49" s="443">
        <f>K49-'[9]Augusts'!K49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133" customFormat="1" ht="12.75">
      <c r="A50" s="439" t="s">
        <v>218</v>
      </c>
      <c r="B50" s="440">
        <f>B51</f>
        <v>2652779</v>
      </c>
      <c r="C50" s="440">
        <f>C51</f>
        <v>2417978</v>
      </c>
      <c r="D50" s="440">
        <f>D51</f>
        <v>2291873</v>
      </c>
      <c r="E50" s="435">
        <f t="shared" si="0"/>
        <v>0.8639517276033926</v>
      </c>
      <c r="F50" s="435">
        <f t="shared" si="1"/>
        <v>0.9478469200298762</v>
      </c>
      <c r="G50" s="429">
        <f>D50-'[9]Augusts'!D50</f>
        <v>485867</v>
      </c>
      <c r="H50" s="439" t="s">
        <v>218</v>
      </c>
      <c r="I50" s="440">
        <f>I51</f>
        <v>2653</v>
      </c>
      <c r="J50" s="440">
        <f>J51</f>
        <v>2418</v>
      </c>
      <c r="K50" s="440">
        <f>K51</f>
        <v>2292</v>
      </c>
      <c r="L50" s="441">
        <f t="shared" si="2"/>
        <v>86.3927629099133</v>
      </c>
      <c r="M50" s="441">
        <f t="shared" si="14"/>
        <v>94.78908188585608</v>
      </c>
      <c r="N50" s="440">
        <f>K50-'[9]Augusts'!K50</f>
        <v>486</v>
      </c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6"/>
      <c r="BV50" s="436"/>
      <c r="BW50" s="436"/>
      <c r="BX50" s="436"/>
      <c r="BY50" s="436"/>
      <c r="BZ50" s="436"/>
      <c r="CA50" s="436"/>
      <c r="CB50" s="436"/>
      <c r="CC50" s="436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6"/>
      <c r="CO50" s="436"/>
      <c r="CP50" s="436"/>
      <c r="CQ50" s="436"/>
      <c r="CR50" s="436"/>
      <c r="CS50" s="436"/>
      <c r="CT50" s="436"/>
      <c r="CU50" s="436"/>
      <c r="CV50" s="436"/>
      <c r="CW50" s="436"/>
      <c r="CX50" s="436"/>
      <c r="CY50" s="436"/>
      <c r="CZ50" s="436"/>
    </row>
    <row r="51" spans="1:104" s="83" customFormat="1" ht="12.75">
      <c r="A51" s="442" t="s">
        <v>214</v>
      </c>
      <c r="B51" s="443">
        <v>2652779</v>
      </c>
      <c r="C51" s="443">
        <v>2417978</v>
      </c>
      <c r="D51" s="443">
        <v>2291873</v>
      </c>
      <c r="E51" s="435">
        <f t="shared" si="0"/>
        <v>0.8639517276033926</v>
      </c>
      <c r="F51" s="435">
        <f t="shared" si="1"/>
        <v>0.9478469200298762</v>
      </c>
      <c r="G51" s="429">
        <f>D51-'[9]Augusts'!D51</f>
        <v>485867</v>
      </c>
      <c r="H51" s="442" t="s">
        <v>214</v>
      </c>
      <c r="I51" s="443">
        <f>ROUND(B51/1000,0)</f>
        <v>2653</v>
      </c>
      <c r="J51" s="443">
        <f>ROUND(C51/1000,0)</f>
        <v>2418</v>
      </c>
      <c r="K51" s="443">
        <f>ROUND(D51/1000,0)</f>
        <v>2292</v>
      </c>
      <c r="L51" s="81">
        <f t="shared" si="2"/>
        <v>86.3927629099133</v>
      </c>
      <c r="M51" s="81">
        <f t="shared" si="14"/>
        <v>94.78908188585608</v>
      </c>
      <c r="N51" s="443">
        <f>K51-'[9]Augusts'!K51</f>
        <v>486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1" customFormat="1" ht="12">
      <c r="A52" s="74" t="s">
        <v>899</v>
      </c>
      <c r="B52" s="445">
        <f>B53+B56</f>
        <v>16574093</v>
      </c>
      <c r="C52" s="445">
        <f>C53+C56</f>
        <v>2236933</v>
      </c>
      <c r="D52" s="445">
        <f>D53+D56</f>
        <v>790747</v>
      </c>
      <c r="E52" s="444">
        <f t="shared" si="0"/>
        <v>0.04770982038051796</v>
      </c>
      <c r="F52" s="444">
        <f t="shared" si="1"/>
        <v>0.3534960591130803</v>
      </c>
      <c r="G52" s="429">
        <f>D52-'[9]Augusts'!D52</f>
        <v>22951</v>
      </c>
      <c r="H52" s="74" t="s">
        <v>899</v>
      </c>
      <c r="I52" s="366">
        <f>I53+I56</f>
        <v>16574</v>
      </c>
      <c r="J52" s="366">
        <f>J53+J56</f>
        <v>2236</v>
      </c>
      <c r="K52" s="366">
        <f>K53+K56</f>
        <v>791</v>
      </c>
      <c r="L52" s="58">
        <f t="shared" si="2"/>
        <v>4.772535296247134</v>
      </c>
      <c r="M52" s="58">
        <f t="shared" si="14"/>
        <v>35.37567084078712</v>
      </c>
      <c r="N52" s="366">
        <f>K52-'[9]Augusts'!K52</f>
        <v>23</v>
      </c>
    </row>
    <row r="53" spans="1:14" s="436" customFormat="1" ht="12.75">
      <c r="A53" s="439" t="s">
        <v>217</v>
      </c>
      <c r="B53" s="440">
        <f>SUM(B54:B55)</f>
        <v>16233430</v>
      </c>
      <c r="C53" s="440">
        <f>SUM(C54:C55)</f>
        <v>2022870</v>
      </c>
      <c r="D53" s="440">
        <f>SUM(D54:D55)</f>
        <v>629087</v>
      </c>
      <c r="E53" s="435">
        <f t="shared" si="0"/>
        <v>0.0387525618430609</v>
      </c>
      <c r="F53" s="435">
        <f t="shared" si="1"/>
        <v>0.3109873595436187</v>
      </c>
      <c r="G53" s="429">
        <f>D53-'[9]Augusts'!D53</f>
        <v>16711</v>
      </c>
      <c r="H53" s="439" t="s">
        <v>217</v>
      </c>
      <c r="I53" s="440">
        <f>SUM(I54:I55)</f>
        <v>16233</v>
      </c>
      <c r="J53" s="440">
        <f>SUM(J54:J55)</f>
        <v>2023</v>
      </c>
      <c r="K53" s="440">
        <f>SUM(K54:K55)</f>
        <v>629</v>
      </c>
      <c r="L53" s="441">
        <f t="shared" si="2"/>
        <v>3.874822891640486</v>
      </c>
      <c r="M53" s="441">
        <f t="shared" si="14"/>
        <v>31.092436974789916</v>
      </c>
      <c r="N53" s="440">
        <f>K53-'[9]Augusts'!K53</f>
        <v>17</v>
      </c>
    </row>
    <row r="54" spans="1:14" ht="12.75">
      <c r="A54" s="442" t="s">
        <v>214</v>
      </c>
      <c r="B54" s="443">
        <v>14472230</v>
      </c>
      <c r="C54" s="443">
        <v>698470</v>
      </c>
      <c r="D54" s="443">
        <v>139547</v>
      </c>
      <c r="E54" s="435">
        <f t="shared" si="0"/>
        <v>0.00964239788892244</v>
      </c>
      <c r="F54" s="435">
        <f t="shared" si="1"/>
        <v>0.19978953999455953</v>
      </c>
      <c r="G54" s="429">
        <f>D54-'[9]Augusts'!D54</f>
        <v>0</v>
      </c>
      <c r="H54" s="442" t="s">
        <v>214</v>
      </c>
      <c r="I54" s="443">
        <f aca="true" t="shared" si="15" ref="I54:K55">ROUND(B54/1000,0)</f>
        <v>14472</v>
      </c>
      <c r="J54" s="443">
        <f>ROUND(C54/1000,0)+1</f>
        <v>699</v>
      </c>
      <c r="K54" s="443">
        <f>ROUND(D54/1000,0)-1</f>
        <v>139</v>
      </c>
      <c r="L54" s="81">
        <f t="shared" si="2"/>
        <v>0.9604754007739082</v>
      </c>
      <c r="M54" s="81">
        <f t="shared" si="14"/>
        <v>19.88555078683834</v>
      </c>
      <c r="N54" s="443">
        <f>K54-'[9]Augusts'!K54</f>
        <v>0</v>
      </c>
    </row>
    <row r="55" spans="1:14" ht="12.75">
      <c r="A55" s="442" t="s">
        <v>215</v>
      </c>
      <c r="B55" s="443">
        <v>1761200</v>
      </c>
      <c r="C55" s="443">
        <v>1324400</v>
      </c>
      <c r="D55" s="443">
        <v>489540</v>
      </c>
      <c r="E55" s="435">
        <f t="shared" si="0"/>
        <v>0.2779582103111515</v>
      </c>
      <c r="F55" s="435">
        <f t="shared" si="1"/>
        <v>0.36963153125943826</v>
      </c>
      <c r="G55" s="429">
        <f>D55-'[9]Augusts'!D55</f>
        <v>16711</v>
      </c>
      <c r="H55" s="442" t="s">
        <v>215</v>
      </c>
      <c r="I55" s="443">
        <f t="shared" si="15"/>
        <v>1761</v>
      </c>
      <c r="J55" s="443">
        <f t="shared" si="15"/>
        <v>1324</v>
      </c>
      <c r="K55" s="443">
        <f t="shared" si="15"/>
        <v>490</v>
      </c>
      <c r="L55" s="81">
        <f t="shared" si="2"/>
        <v>27.82509937535491</v>
      </c>
      <c r="M55" s="81">
        <f t="shared" si="14"/>
        <v>37.00906344410876</v>
      </c>
      <c r="N55" s="443">
        <f>K55-'[9]Augusts'!K55</f>
        <v>17</v>
      </c>
    </row>
    <row r="56" spans="1:14" s="436" customFormat="1" ht="12.75">
      <c r="A56" s="439" t="s">
        <v>218</v>
      </c>
      <c r="B56" s="440">
        <f>SUM(B57:B58)</f>
        <v>340663</v>
      </c>
      <c r="C56" s="440">
        <f>SUM(C57:C58)</f>
        <v>214063</v>
      </c>
      <c r="D56" s="440">
        <f>SUM(D57:D58)</f>
        <v>161660</v>
      </c>
      <c r="E56" s="435">
        <f t="shared" si="0"/>
        <v>0.4745452250464535</v>
      </c>
      <c r="F56" s="435">
        <f t="shared" si="1"/>
        <v>0.7551982360333173</v>
      </c>
      <c r="G56" s="429">
        <f>D56-'[9]Augusts'!D56</f>
        <v>6240</v>
      </c>
      <c r="H56" s="439" t="s">
        <v>218</v>
      </c>
      <c r="I56" s="440">
        <f>SUM(I57:I58)</f>
        <v>341</v>
      </c>
      <c r="J56" s="440">
        <f>SUM(J57:J58)</f>
        <v>213</v>
      </c>
      <c r="K56" s="440">
        <f>SUM(K57:K58)</f>
        <v>162</v>
      </c>
      <c r="L56" s="441">
        <f t="shared" si="2"/>
        <v>47.50733137829912</v>
      </c>
      <c r="M56" s="441">
        <f t="shared" si="14"/>
        <v>76.05633802816901</v>
      </c>
      <c r="N56" s="440">
        <f>K56-'[9]Augusts'!K56</f>
        <v>6</v>
      </c>
    </row>
    <row r="57" spans="1:14" ht="12.75">
      <c r="A57" s="442" t="s">
        <v>214</v>
      </c>
      <c r="B57" s="443">
        <v>132163</v>
      </c>
      <c r="C57" s="443">
        <v>62563</v>
      </c>
      <c r="D57" s="443">
        <v>12749</v>
      </c>
      <c r="E57" s="435">
        <f t="shared" si="0"/>
        <v>0.09646421464403804</v>
      </c>
      <c r="F57" s="435">
        <f t="shared" si="1"/>
        <v>0.20377859118009048</v>
      </c>
      <c r="G57" s="429">
        <f>D57-'[9]Augusts'!D57</f>
        <v>2239</v>
      </c>
      <c r="H57" s="442" t="s">
        <v>214</v>
      </c>
      <c r="I57" s="443">
        <f aca="true" t="shared" si="16" ref="I57:K58">ROUND(B57/1000,0)</f>
        <v>132</v>
      </c>
      <c r="J57" s="443">
        <f>ROUND(C57/1000,0)-1</f>
        <v>62</v>
      </c>
      <c r="K57" s="443">
        <f t="shared" si="16"/>
        <v>13</v>
      </c>
      <c r="L57" s="81">
        <f t="shared" si="2"/>
        <v>9.848484848484848</v>
      </c>
      <c r="M57" s="81">
        <f t="shared" si="14"/>
        <v>20.967741935483872</v>
      </c>
      <c r="N57" s="443">
        <f>K57-'[9]Augusts'!K57</f>
        <v>2</v>
      </c>
    </row>
    <row r="58" spans="1:14" ht="12.75">
      <c r="A58" s="442" t="s">
        <v>215</v>
      </c>
      <c r="B58" s="443">
        <v>208500</v>
      </c>
      <c r="C58" s="443">
        <v>151500</v>
      </c>
      <c r="D58" s="443">
        <v>148911</v>
      </c>
      <c r="E58" s="435">
        <f t="shared" si="0"/>
        <v>0.7142014388489208</v>
      </c>
      <c r="F58" s="435">
        <f t="shared" si="1"/>
        <v>0.9829108910891089</v>
      </c>
      <c r="G58" s="429">
        <f>D58-'[9]Augusts'!D58</f>
        <v>4001</v>
      </c>
      <c r="H58" s="442" t="s">
        <v>215</v>
      </c>
      <c r="I58" s="443">
        <f t="shared" si="16"/>
        <v>209</v>
      </c>
      <c r="J58" s="443">
        <f>ROUND(C58/1000,0)-1</f>
        <v>151</v>
      </c>
      <c r="K58" s="443">
        <f t="shared" si="16"/>
        <v>149</v>
      </c>
      <c r="L58" s="81">
        <f t="shared" si="2"/>
        <v>71.29186602870813</v>
      </c>
      <c r="M58" s="81">
        <f t="shared" si="14"/>
        <v>98.67549668874173</v>
      </c>
      <c r="N58" s="443">
        <f>K58-'[9]Augusts'!K58</f>
        <v>4</v>
      </c>
    </row>
    <row r="59" spans="1:14" s="1" customFormat="1" ht="12.75" customHeight="1">
      <c r="A59" s="74" t="s">
        <v>901</v>
      </c>
      <c r="B59" s="445">
        <f>B60+B63</f>
        <v>8889527</v>
      </c>
      <c r="C59" s="445">
        <f>C60+C63</f>
        <v>5321777</v>
      </c>
      <c r="D59" s="445">
        <f>D60+D63</f>
        <v>2330986</v>
      </c>
      <c r="E59" s="444">
        <f t="shared" si="0"/>
        <v>0.2622171010898555</v>
      </c>
      <c r="F59" s="444">
        <f t="shared" si="1"/>
        <v>0.4380089582859259</v>
      </c>
      <c r="G59" s="429">
        <f>D59-'[9]Augusts'!D59</f>
        <v>425225</v>
      </c>
      <c r="H59" s="74" t="s">
        <v>901</v>
      </c>
      <c r="I59" s="366">
        <f>I60+I63</f>
        <v>8889</v>
      </c>
      <c r="J59" s="366">
        <f>J60+J63</f>
        <v>5322</v>
      </c>
      <c r="K59" s="366">
        <f>K60+K63</f>
        <v>2331</v>
      </c>
      <c r="L59" s="58">
        <f t="shared" si="2"/>
        <v>26.22342220722241</v>
      </c>
      <c r="M59" s="58">
        <f t="shared" si="14"/>
        <v>43.799323562570464</v>
      </c>
      <c r="N59" s="366">
        <f>K59-'[9]Augusts'!K59</f>
        <v>425</v>
      </c>
    </row>
    <row r="60" spans="1:14" s="436" customFormat="1" ht="12.75" customHeight="1">
      <c r="A60" s="439" t="s">
        <v>217</v>
      </c>
      <c r="B60" s="440">
        <f>SUM(B61:B62)</f>
        <v>6174527</v>
      </c>
      <c r="C60" s="440">
        <f>SUM(C61:C62)</f>
        <v>4002777</v>
      </c>
      <c r="D60" s="440">
        <f>SUM(D61:D62)</f>
        <v>1575279</v>
      </c>
      <c r="E60" s="435">
        <f t="shared" si="0"/>
        <v>0.2551254533343202</v>
      </c>
      <c r="F60" s="435">
        <f t="shared" si="1"/>
        <v>0.3935465303213244</v>
      </c>
      <c r="G60" s="429">
        <f>D60-'[9]Augusts'!D60</f>
        <v>170344</v>
      </c>
      <c r="H60" s="439" t="s">
        <v>217</v>
      </c>
      <c r="I60" s="440">
        <f>I61+I62</f>
        <v>6174</v>
      </c>
      <c r="J60" s="440">
        <f>J61+J62</f>
        <v>4003</v>
      </c>
      <c r="K60" s="440">
        <f>K61+K62</f>
        <v>1575</v>
      </c>
      <c r="L60" s="441">
        <f t="shared" si="2"/>
        <v>25.510204081632654</v>
      </c>
      <c r="M60" s="441">
        <f t="shared" si="14"/>
        <v>39.34549088183862</v>
      </c>
      <c r="N60" s="440">
        <f>K60-'[9]Augusts'!K60</f>
        <v>170</v>
      </c>
    </row>
    <row r="61" spans="1:14" ht="12.75">
      <c r="A61" s="442" t="s">
        <v>214</v>
      </c>
      <c r="B61" s="443">
        <v>477522</v>
      </c>
      <c r="C61" s="443">
        <v>325272</v>
      </c>
      <c r="D61" s="443">
        <v>260315</v>
      </c>
      <c r="E61" s="435">
        <f t="shared" si="0"/>
        <v>0.5451371873966017</v>
      </c>
      <c r="F61" s="435">
        <f t="shared" si="1"/>
        <v>0.800299441698025</v>
      </c>
      <c r="G61" s="429">
        <f>D61-'[9]Augusts'!D61</f>
        <v>0</v>
      </c>
      <c r="H61" s="442" t="s">
        <v>214</v>
      </c>
      <c r="I61" s="443">
        <f>ROUND(B61/1000,0)-1</f>
        <v>477</v>
      </c>
      <c r="J61" s="443">
        <f>ROUND(C61/1000,0)</f>
        <v>325</v>
      </c>
      <c r="K61" s="443">
        <f>ROUND(D61/1000,0)</f>
        <v>260</v>
      </c>
      <c r="L61" s="81">
        <f t="shared" si="2"/>
        <v>54.50733752620545</v>
      </c>
      <c r="M61" s="81">
        <f t="shared" si="14"/>
        <v>80</v>
      </c>
      <c r="N61" s="443">
        <f>K61-'[9]Augusts'!K61</f>
        <v>0</v>
      </c>
    </row>
    <row r="62" spans="1:14" ht="12.75">
      <c r="A62" s="442" t="s">
        <v>215</v>
      </c>
      <c r="B62" s="443">
        <v>5697005</v>
      </c>
      <c r="C62" s="443">
        <v>3677505</v>
      </c>
      <c r="D62" s="443">
        <v>1314964</v>
      </c>
      <c r="E62" s="435">
        <f t="shared" si="0"/>
        <v>0.23081671860916395</v>
      </c>
      <c r="F62" s="435">
        <f t="shared" si="1"/>
        <v>0.3575696022167203</v>
      </c>
      <c r="G62" s="429">
        <f>D62-'[9]Augusts'!D62</f>
        <v>170344</v>
      </c>
      <c r="H62" s="442" t="s">
        <v>215</v>
      </c>
      <c r="I62" s="443">
        <f>ROUND(B62/1000,0)</f>
        <v>5697</v>
      </c>
      <c r="J62" s="443">
        <f>ROUND(C62/1000,0)</f>
        <v>3678</v>
      </c>
      <c r="K62" s="443">
        <f>ROUND(D62/1000,0)</f>
        <v>1315</v>
      </c>
      <c r="L62" s="81">
        <f t="shared" si="2"/>
        <v>23.08232403019133</v>
      </c>
      <c r="M62" s="81">
        <f t="shared" si="14"/>
        <v>35.75312669929309</v>
      </c>
      <c r="N62" s="443">
        <f>K62-'[9]Augusts'!K62</f>
        <v>170</v>
      </c>
    </row>
    <row r="63" spans="1:14" s="436" customFormat="1" ht="12.75">
      <c r="A63" s="439" t="s">
        <v>218</v>
      </c>
      <c r="B63" s="440">
        <f>B64</f>
        <v>2715000</v>
      </c>
      <c r="C63" s="440">
        <f>C64</f>
        <v>1319000</v>
      </c>
      <c r="D63" s="440">
        <f>D64</f>
        <v>755707</v>
      </c>
      <c r="E63" s="435">
        <f t="shared" si="0"/>
        <v>0.2783451197053407</v>
      </c>
      <c r="F63" s="435">
        <f t="shared" si="1"/>
        <v>0.5729393479909022</v>
      </c>
      <c r="G63" s="429">
        <f>D63-'[9]Augusts'!D63</f>
        <v>254881</v>
      </c>
      <c r="H63" s="439" t="s">
        <v>218</v>
      </c>
      <c r="I63" s="440">
        <f>I64</f>
        <v>2715</v>
      </c>
      <c r="J63" s="440">
        <f>J64</f>
        <v>1319</v>
      </c>
      <c r="K63" s="440">
        <f>K64</f>
        <v>756</v>
      </c>
      <c r="L63" s="441">
        <f t="shared" si="2"/>
        <v>27.845303867403317</v>
      </c>
      <c r="M63" s="441">
        <f t="shared" si="14"/>
        <v>57.31614859742229</v>
      </c>
      <c r="N63" s="440">
        <f>K63-'[9]Augusts'!K63</f>
        <v>255</v>
      </c>
    </row>
    <row r="64" spans="1:14" ht="12.75">
      <c r="A64" s="442" t="s">
        <v>215</v>
      </c>
      <c r="B64" s="443">
        <v>2715000</v>
      </c>
      <c r="C64" s="443">
        <v>1319000</v>
      </c>
      <c r="D64" s="443">
        <v>755707</v>
      </c>
      <c r="E64" s="435">
        <f t="shared" si="0"/>
        <v>0.2783451197053407</v>
      </c>
      <c r="F64" s="435">
        <f t="shared" si="1"/>
        <v>0.5729393479909022</v>
      </c>
      <c r="G64" s="429">
        <f>D64-'[9]Augusts'!D64</f>
        <v>254881</v>
      </c>
      <c r="H64" s="442" t="s">
        <v>215</v>
      </c>
      <c r="I64" s="443">
        <f>ROUND(B64/1000,0)</f>
        <v>2715</v>
      </c>
      <c r="J64" s="443">
        <f>ROUND(C64/1000,0)</f>
        <v>1319</v>
      </c>
      <c r="K64" s="443">
        <f>ROUND(D64/1000,0)</f>
        <v>756</v>
      </c>
      <c r="L64" s="81">
        <f t="shared" si="2"/>
        <v>27.845303867403317</v>
      </c>
      <c r="M64" s="81">
        <f t="shared" si="14"/>
        <v>57.31614859742229</v>
      </c>
      <c r="N64" s="443">
        <f>K64-'[9]Augusts'!K64</f>
        <v>255</v>
      </c>
    </row>
    <row r="65" spans="1:14" s="1" customFormat="1" ht="12">
      <c r="A65" s="74" t="s">
        <v>903</v>
      </c>
      <c r="B65" s="445">
        <f>B66+B69</f>
        <v>3393392</v>
      </c>
      <c r="C65" s="445">
        <f>C66+C69</f>
        <v>2415484</v>
      </c>
      <c r="D65" s="445">
        <f>D66+D69</f>
        <v>478044</v>
      </c>
      <c r="E65" s="444">
        <f t="shared" si="0"/>
        <v>0.1408749711203421</v>
      </c>
      <c r="F65" s="444">
        <f t="shared" si="1"/>
        <v>0.19790816250490584</v>
      </c>
      <c r="G65" s="429">
        <f>D65-'[9]Augusts'!D65</f>
        <v>23798</v>
      </c>
      <c r="H65" s="74" t="s">
        <v>903</v>
      </c>
      <c r="I65" s="366">
        <f>I66+I69</f>
        <v>3393</v>
      </c>
      <c r="J65" s="366">
        <f>J66+J69</f>
        <v>2416</v>
      </c>
      <c r="K65" s="366">
        <f>K66+K69</f>
        <v>477</v>
      </c>
      <c r="L65" s="58">
        <f t="shared" si="2"/>
        <v>14.058355437665782</v>
      </c>
      <c r="M65" s="58">
        <f t="shared" si="14"/>
        <v>19.74337748344371</v>
      </c>
      <c r="N65" s="366">
        <f>K65-'[9]Augusts'!K65</f>
        <v>22</v>
      </c>
    </row>
    <row r="66" spans="1:14" s="436" customFormat="1" ht="12.75">
      <c r="A66" s="439" t="s">
        <v>217</v>
      </c>
      <c r="B66" s="440">
        <f>SUM(B67:B68)</f>
        <v>3041252</v>
      </c>
      <c r="C66" s="440">
        <f>SUM(C67:C68)</f>
        <v>2179110</v>
      </c>
      <c r="D66" s="440">
        <f>SUM(D67:D68)</f>
        <v>304379</v>
      </c>
      <c r="E66" s="435">
        <f t="shared" si="0"/>
        <v>0.10008345247286315</v>
      </c>
      <c r="F66" s="435">
        <f t="shared" si="1"/>
        <v>0.13968041998797676</v>
      </c>
      <c r="G66" s="429">
        <f>D66-'[9]Augusts'!D66</f>
        <v>681</v>
      </c>
      <c r="H66" s="439" t="s">
        <v>217</v>
      </c>
      <c r="I66" s="440">
        <f>SUM(I67:I68)</f>
        <v>3041</v>
      </c>
      <c r="J66" s="440">
        <f>SUM(J67:J68)</f>
        <v>2179</v>
      </c>
      <c r="K66" s="440">
        <f>SUM(K67:K68)</f>
        <v>304</v>
      </c>
      <c r="L66" s="441">
        <f t="shared" si="2"/>
        <v>9.996711608023677</v>
      </c>
      <c r="M66" s="441">
        <f t="shared" si="14"/>
        <v>13.951353832033043</v>
      </c>
      <c r="N66" s="440">
        <f>K66-'[9]Augusts'!K66</f>
        <v>0</v>
      </c>
    </row>
    <row r="67" spans="1:14" ht="12.75">
      <c r="A67" s="442" t="s">
        <v>214</v>
      </c>
      <c r="B67" s="443">
        <v>2296193</v>
      </c>
      <c r="C67" s="443">
        <v>1567365</v>
      </c>
      <c r="D67" s="443">
        <v>304379</v>
      </c>
      <c r="E67" s="435">
        <f t="shared" si="0"/>
        <v>0.13255810813812255</v>
      </c>
      <c r="F67" s="435">
        <f t="shared" si="1"/>
        <v>0.19419790540174114</v>
      </c>
      <c r="G67" s="429">
        <f>D67-'[9]Augusts'!D67</f>
        <v>681</v>
      </c>
      <c r="H67" s="442" t="s">
        <v>214</v>
      </c>
      <c r="I67" s="443">
        <f aca="true" t="shared" si="17" ref="I67:K68">ROUND(B67/1000,0)</f>
        <v>2296</v>
      </c>
      <c r="J67" s="443">
        <f>ROUND(C67/1000,0)</f>
        <v>1567</v>
      </c>
      <c r="K67" s="443">
        <f>ROUND(D67/1000,0)</f>
        <v>304</v>
      </c>
      <c r="L67" s="81">
        <f t="shared" si="2"/>
        <v>13.240418118466899</v>
      </c>
      <c r="M67" s="81">
        <f t="shared" si="14"/>
        <v>19.400127632418634</v>
      </c>
      <c r="N67" s="443">
        <f>K67-'[9]Augusts'!K67</f>
        <v>0</v>
      </c>
    </row>
    <row r="68" spans="1:14" ht="12.75">
      <c r="A68" s="442" t="s">
        <v>215</v>
      </c>
      <c r="B68" s="443">
        <v>745059</v>
      </c>
      <c r="C68" s="443">
        <v>611745</v>
      </c>
      <c r="D68" s="443"/>
      <c r="E68" s="435">
        <f t="shared" si="0"/>
        <v>0</v>
      </c>
      <c r="F68" s="435">
        <f t="shared" si="1"/>
        <v>0</v>
      </c>
      <c r="G68" s="429">
        <f>D68-'[9]Augusts'!D68</f>
        <v>0</v>
      </c>
      <c r="H68" s="442" t="s">
        <v>215</v>
      </c>
      <c r="I68" s="443">
        <f t="shared" si="17"/>
        <v>745</v>
      </c>
      <c r="J68" s="443">
        <f t="shared" si="17"/>
        <v>612</v>
      </c>
      <c r="K68" s="443">
        <f t="shared" si="17"/>
        <v>0</v>
      </c>
      <c r="L68" s="81">
        <f t="shared" si="2"/>
        <v>0</v>
      </c>
      <c r="M68" s="81">
        <f t="shared" si="14"/>
        <v>0</v>
      </c>
      <c r="N68" s="443">
        <f>K68-'[9]Augusts'!K68</f>
        <v>0</v>
      </c>
    </row>
    <row r="69" spans="1:14" s="436" customFormat="1" ht="12.75">
      <c r="A69" s="439" t="s">
        <v>218</v>
      </c>
      <c r="B69" s="440">
        <f>SUM(B70:B71)</f>
        <v>352140</v>
      </c>
      <c r="C69" s="440">
        <f>SUM(C70:C71)</f>
        <v>236374</v>
      </c>
      <c r="D69" s="440">
        <f>SUM(D70:D71)</f>
        <v>173665</v>
      </c>
      <c r="E69" s="435">
        <f t="shared" si="0"/>
        <v>0.49317032998239335</v>
      </c>
      <c r="F69" s="435">
        <f t="shared" si="1"/>
        <v>0.7347043245026948</v>
      </c>
      <c r="G69" s="429">
        <f>D69-'[9]Augusts'!D69</f>
        <v>23117</v>
      </c>
      <c r="H69" s="439" t="s">
        <v>218</v>
      </c>
      <c r="I69" s="440">
        <f>SUM(I70:I71)</f>
        <v>352</v>
      </c>
      <c r="J69" s="440">
        <f>SUM(J70:J71)</f>
        <v>237</v>
      </c>
      <c r="K69" s="440">
        <f>SUM(K70:K71)</f>
        <v>173</v>
      </c>
      <c r="L69" s="441">
        <f t="shared" si="2"/>
        <v>49.14772727272727</v>
      </c>
      <c r="M69" s="441">
        <f t="shared" si="14"/>
        <v>72.9957805907173</v>
      </c>
      <c r="N69" s="440">
        <f>K69-'[9]Augusts'!K69</f>
        <v>22</v>
      </c>
    </row>
    <row r="70" spans="1:14" ht="12.75">
      <c r="A70" s="442" t="s">
        <v>214</v>
      </c>
      <c r="B70" s="443">
        <v>256914</v>
      </c>
      <c r="C70" s="443">
        <v>166628</v>
      </c>
      <c r="D70" s="443">
        <v>147639</v>
      </c>
      <c r="E70" s="435">
        <f t="shared" si="0"/>
        <v>0.5746631168406549</v>
      </c>
      <c r="F70" s="435">
        <f t="shared" si="1"/>
        <v>0.8860395611781934</v>
      </c>
      <c r="G70" s="429">
        <f>D70-'[9]Augusts'!D70</f>
        <v>21102</v>
      </c>
      <c r="H70" s="442" t="s">
        <v>214</v>
      </c>
      <c r="I70" s="443">
        <f aca="true" t="shared" si="18" ref="I70:K71">ROUND(B70/1000,0)</f>
        <v>257</v>
      </c>
      <c r="J70" s="443">
        <f>ROUND(C70/1000,0)</f>
        <v>167</v>
      </c>
      <c r="K70" s="443">
        <f>ROUND(D70/1000,0)-1</f>
        <v>147</v>
      </c>
      <c r="L70" s="81">
        <f t="shared" si="2"/>
        <v>57.19844357976653</v>
      </c>
      <c r="M70" s="81">
        <f t="shared" si="14"/>
        <v>88.02395209580838</v>
      </c>
      <c r="N70" s="443">
        <f>K70-'[9]Augusts'!K70</f>
        <v>20</v>
      </c>
    </row>
    <row r="71" spans="1:14" ht="12.75">
      <c r="A71" s="442" t="s">
        <v>215</v>
      </c>
      <c r="B71" s="443">
        <v>95226</v>
      </c>
      <c r="C71" s="443">
        <v>69746</v>
      </c>
      <c r="D71" s="443">
        <v>26026</v>
      </c>
      <c r="E71" s="435">
        <f t="shared" si="0"/>
        <v>0.27330771007918003</v>
      </c>
      <c r="F71" s="435">
        <f t="shared" si="1"/>
        <v>0.37315401600091763</v>
      </c>
      <c r="G71" s="429">
        <f>D71-'[9]Augusts'!D71</f>
        <v>2015</v>
      </c>
      <c r="H71" s="442" t="s">
        <v>215</v>
      </c>
      <c r="I71" s="443">
        <f t="shared" si="18"/>
        <v>95</v>
      </c>
      <c r="J71" s="443">
        <f t="shared" si="18"/>
        <v>70</v>
      </c>
      <c r="K71" s="443">
        <f t="shared" si="18"/>
        <v>26</v>
      </c>
      <c r="L71" s="81">
        <f t="shared" si="2"/>
        <v>27.368421052631582</v>
      </c>
      <c r="M71" s="81">
        <f t="shared" si="14"/>
        <v>37.142857142857146</v>
      </c>
      <c r="N71" s="443">
        <f>K71-'[9]Augusts'!K71</f>
        <v>2</v>
      </c>
    </row>
    <row r="72" spans="1:14" s="1" customFormat="1" ht="12">
      <c r="A72" s="74" t="s">
        <v>219</v>
      </c>
      <c r="B72" s="445">
        <f>B73+B76</f>
        <v>2747804</v>
      </c>
      <c r="C72" s="445">
        <f>C73+C76</f>
        <v>1384828</v>
      </c>
      <c r="D72" s="445">
        <f>D73+D76</f>
        <v>721880</v>
      </c>
      <c r="E72" s="444">
        <f aca="true" t="shared" si="19" ref="E72:E100">IF(ISERROR(D72/B72)," ",(D72/B72))</f>
        <v>0.2627116053401189</v>
      </c>
      <c r="F72" s="444">
        <f aca="true" t="shared" si="20" ref="F72:F96">IF(ISERROR(D72/C72)," ",(D72/C72))</f>
        <v>0.5212777326859365</v>
      </c>
      <c r="G72" s="429">
        <f>D72-'[9]Augusts'!D72</f>
        <v>71216</v>
      </c>
      <c r="H72" s="74" t="s">
        <v>219</v>
      </c>
      <c r="I72" s="366">
        <f>I73+I76</f>
        <v>2748</v>
      </c>
      <c r="J72" s="366">
        <f>J73+J76</f>
        <v>1385</v>
      </c>
      <c r="K72" s="366">
        <f>K73+K76</f>
        <v>722</v>
      </c>
      <c r="L72" s="58">
        <f aca="true" t="shared" si="21" ref="L72:L131">IF(ISERROR(ROUND(K72,0)/ROUND(I72,0))," ",(ROUND(K72,)/ROUND(I72,)))*100</f>
        <v>26.27365356622999</v>
      </c>
      <c r="M72" s="58">
        <f t="shared" si="14"/>
        <v>52.12996389891696</v>
      </c>
      <c r="N72" s="366">
        <f>K72-'[9]Augusts'!K72</f>
        <v>71</v>
      </c>
    </row>
    <row r="73" spans="1:14" s="436" customFormat="1" ht="12.75">
      <c r="A73" s="439" t="s">
        <v>217</v>
      </c>
      <c r="B73" s="440">
        <f>SUM(B74:B75)</f>
        <v>2423104</v>
      </c>
      <c r="C73" s="440">
        <f>SUM(C74:C75)</f>
        <v>1185595</v>
      </c>
      <c r="D73" s="440">
        <f>SUM(D74:D75)</f>
        <v>534347</v>
      </c>
      <c r="E73" s="435">
        <f t="shared" si="19"/>
        <v>0.22052169448773143</v>
      </c>
      <c r="F73" s="435">
        <f t="shared" si="20"/>
        <v>0.4506994378350111</v>
      </c>
      <c r="G73" s="429">
        <f>D73-'[9]Augusts'!D73</f>
        <v>4459</v>
      </c>
      <c r="H73" s="439" t="s">
        <v>217</v>
      </c>
      <c r="I73" s="440">
        <f>SUM(I74:I75)</f>
        <v>2423</v>
      </c>
      <c r="J73" s="440">
        <f>SUM(J74:J75)</f>
        <v>1186</v>
      </c>
      <c r="K73" s="440">
        <f>SUM(K74:K75)</f>
        <v>535</v>
      </c>
      <c r="L73" s="441">
        <f t="shared" si="21"/>
        <v>22.080066033842343</v>
      </c>
      <c r="M73" s="441">
        <f t="shared" si="14"/>
        <v>45.10961214165262</v>
      </c>
      <c r="N73" s="440">
        <f>K73-'[9]Augusts'!K73</f>
        <v>5</v>
      </c>
    </row>
    <row r="74" spans="1:14" ht="12.75">
      <c r="A74" s="442" t="s">
        <v>214</v>
      </c>
      <c r="B74" s="443">
        <v>1855604</v>
      </c>
      <c r="C74" s="443">
        <v>745595</v>
      </c>
      <c r="D74" s="443">
        <v>177647</v>
      </c>
      <c r="E74" s="435">
        <f t="shared" si="19"/>
        <v>0.09573540475230706</v>
      </c>
      <c r="F74" s="435">
        <f t="shared" si="20"/>
        <v>0.23826205916080445</v>
      </c>
      <c r="G74" s="429">
        <f>D74-'[9]Augusts'!D74</f>
        <v>4459</v>
      </c>
      <c r="H74" s="442" t="s">
        <v>214</v>
      </c>
      <c r="I74" s="443">
        <f aca="true" t="shared" si="22" ref="I74:K75">ROUND(B74/1000,0)</f>
        <v>1856</v>
      </c>
      <c r="J74" s="443">
        <f t="shared" si="22"/>
        <v>746</v>
      </c>
      <c r="K74" s="443">
        <f>ROUND(D74/1000,0)</f>
        <v>178</v>
      </c>
      <c r="L74" s="81">
        <f t="shared" si="21"/>
        <v>9.590517241379311</v>
      </c>
      <c r="M74" s="81">
        <f t="shared" si="14"/>
        <v>23.86058981233244</v>
      </c>
      <c r="N74" s="443">
        <f>K74-'[9]Augusts'!K74</f>
        <v>5</v>
      </c>
    </row>
    <row r="75" spans="1:14" ht="12.75">
      <c r="A75" s="442" t="s">
        <v>215</v>
      </c>
      <c r="B75" s="443">
        <v>567500</v>
      </c>
      <c r="C75" s="443">
        <v>440000</v>
      </c>
      <c r="D75" s="443">
        <v>356700</v>
      </c>
      <c r="E75" s="435">
        <f t="shared" si="19"/>
        <v>0.6285462555066079</v>
      </c>
      <c r="F75" s="435">
        <f t="shared" si="20"/>
        <v>0.8106818181818182</v>
      </c>
      <c r="G75" s="429">
        <f>D75-'[9]Augusts'!D75</f>
        <v>0</v>
      </c>
      <c r="H75" s="442" t="s">
        <v>215</v>
      </c>
      <c r="I75" s="443">
        <f>ROUND(B75/1000,0)-1</f>
        <v>567</v>
      </c>
      <c r="J75" s="443">
        <f t="shared" si="22"/>
        <v>440</v>
      </c>
      <c r="K75" s="443">
        <f t="shared" si="22"/>
        <v>357</v>
      </c>
      <c r="L75" s="81">
        <f t="shared" si="21"/>
        <v>62.96296296296296</v>
      </c>
      <c r="M75" s="81">
        <f t="shared" si="14"/>
        <v>81.13636363636364</v>
      </c>
      <c r="N75" s="443">
        <f>K75-'[9]Augusts'!K75</f>
        <v>0</v>
      </c>
    </row>
    <row r="76" spans="1:14" s="436" customFormat="1" ht="12.75">
      <c r="A76" s="439" t="s">
        <v>218</v>
      </c>
      <c r="B76" s="440">
        <f>SUM(B77:B78)</f>
        <v>324700</v>
      </c>
      <c r="C76" s="440">
        <f>SUM(C77:C78)</f>
        <v>199233</v>
      </c>
      <c r="D76" s="440">
        <f>SUM(D77:D78)</f>
        <v>187533</v>
      </c>
      <c r="E76" s="435">
        <f t="shared" si="19"/>
        <v>0.5775577456113336</v>
      </c>
      <c r="F76" s="435">
        <f t="shared" si="20"/>
        <v>0.941274788815106</v>
      </c>
      <c r="G76" s="429">
        <f>D76-'[9]Augusts'!D76</f>
        <v>66757</v>
      </c>
      <c r="H76" s="439" t="s">
        <v>218</v>
      </c>
      <c r="I76" s="440">
        <f>SUM(I77:I78)</f>
        <v>325</v>
      </c>
      <c r="J76" s="440">
        <f>SUM(J77:J78)</f>
        <v>199</v>
      </c>
      <c r="K76" s="440">
        <f>SUM(K77:K78)</f>
        <v>187</v>
      </c>
      <c r="L76" s="441">
        <f t="shared" si="21"/>
        <v>57.53846153846154</v>
      </c>
      <c r="M76" s="441">
        <f t="shared" si="14"/>
        <v>93.96984924623115</v>
      </c>
      <c r="N76" s="440">
        <f>K76-'[9]Augusts'!K76</f>
        <v>66</v>
      </c>
    </row>
    <row r="77" spans="1:14" ht="12.75">
      <c r="A77" s="442" t="s">
        <v>214</v>
      </c>
      <c r="B77" s="443">
        <v>36700</v>
      </c>
      <c r="C77" s="443">
        <v>26283</v>
      </c>
      <c r="D77" s="443">
        <v>26283</v>
      </c>
      <c r="E77" s="435">
        <f t="shared" si="19"/>
        <v>0.716158038147139</v>
      </c>
      <c r="F77" s="435">
        <f t="shared" si="20"/>
        <v>1</v>
      </c>
      <c r="G77" s="429">
        <f>D77-'[9]Augusts'!D77</f>
        <v>3390</v>
      </c>
      <c r="H77" s="442" t="s">
        <v>214</v>
      </c>
      <c r="I77" s="443">
        <f aca="true" t="shared" si="23" ref="I77:K78">ROUND(B77/1000,0)</f>
        <v>37</v>
      </c>
      <c r="J77" s="443">
        <f t="shared" si="23"/>
        <v>26</v>
      </c>
      <c r="K77" s="443">
        <f t="shared" si="23"/>
        <v>26</v>
      </c>
      <c r="L77" s="81">
        <f t="shared" si="21"/>
        <v>70.27027027027027</v>
      </c>
      <c r="M77" s="81">
        <f t="shared" si="14"/>
        <v>100</v>
      </c>
      <c r="N77" s="443">
        <f>K77-'[9]Augusts'!K77</f>
        <v>3</v>
      </c>
    </row>
    <row r="78" spans="1:14" ht="12.75">
      <c r="A78" s="442" t="s">
        <v>215</v>
      </c>
      <c r="B78" s="443">
        <v>288000</v>
      </c>
      <c r="C78" s="443">
        <v>172950</v>
      </c>
      <c r="D78" s="443">
        <v>161250</v>
      </c>
      <c r="E78" s="435">
        <f t="shared" si="19"/>
        <v>0.5598958333333334</v>
      </c>
      <c r="F78" s="435">
        <f t="shared" si="20"/>
        <v>0.9323503902862099</v>
      </c>
      <c r="G78" s="429">
        <f>D78-'[9]Augusts'!D78</f>
        <v>63367</v>
      </c>
      <c r="H78" s="442" t="s">
        <v>215</v>
      </c>
      <c r="I78" s="443">
        <f t="shared" si="23"/>
        <v>288</v>
      </c>
      <c r="J78" s="443">
        <f t="shared" si="23"/>
        <v>173</v>
      </c>
      <c r="K78" s="443">
        <f>ROUND(D78/1000,0)</f>
        <v>161</v>
      </c>
      <c r="L78" s="81">
        <f t="shared" si="21"/>
        <v>55.90277777777778</v>
      </c>
      <c r="M78" s="81">
        <f t="shared" si="14"/>
        <v>93.0635838150289</v>
      </c>
      <c r="N78" s="443">
        <f>K78-'[9]Augusts'!K78</f>
        <v>63</v>
      </c>
    </row>
    <row r="79" spans="1:14" s="1" customFormat="1" ht="24">
      <c r="A79" s="59" t="s">
        <v>220</v>
      </c>
      <c r="B79" s="445">
        <f>B80+B83</f>
        <v>5472458</v>
      </c>
      <c r="C79" s="445">
        <f>C80+C83</f>
        <v>3283090</v>
      </c>
      <c r="D79" s="445">
        <f>D80+D83</f>
        <v>2081954</v>
      </c>
      <c r="E79" s="444">
        <f t="shared" si="19"/>
        <v>0.3804422071398264</v>
      </c>
      <c r="F79" s="444">
        <f t="shared" si="20"/>
        <v>0.6341446624978297</v>
      </c>
      <c r="G79" s="429">
        <f>D79-'[9]Augusts'!D79</f>
        <v>80635</v>
      </c>
      <c r="H79" s="59" t="s">
        <v>220</v>
      </c>
      <c r="I79" s="366">
        <f>I80+I83</f>
        <v>5473</v>
      </c>
      <c r="J79" s="366">
        <f>J80+J83</f>
        <v>3283</v>
      </c>
      <c r="K79" s="366">
        <f>K80+K83</f>
        <v>2082</v>
      </c>
      <c r="L79" s="58">
        <f t="shared" si="21"/>
        <v>38.041293623241366</v>
      </c>
      <c r="M79" s="58">
        <f t="shared" si="14"/>
        <v>63.41760584830948</v>
      </c>
      <c r="N79" s="366">
        <f>K79-'[9]Augusts'!K79</f>
        <v>81</v>
      </c>
    </row>
    <row r="80" spans="1:14" s="436" customFormat="1" ht="12.75">
      <c r="A80" s="439" t="s">
        <v>217</v>
      </c>
      <c r="B80" s="440">
        <f>SUM(B81:B82)</f>
        <v>5222458</v>
      </c>
      <c r="C80" s="440">
        <f>SUM(C81:C82)</f>
        <v>3213090</v>
      </c>
      <c r="D80" s="440">
        <f>SUM(D81:D82)</f>
        <v>2076562</v>
      </c>
      <c r="E80" s="435">
        <f t="shared" si="19"/>
        <v>0.39762157972357076</v>
      </c>
      <c r="F80" s="435">
        <f t="shared" si="20"/>
        <v>0.6462819279883227</v>
      </c>
      <c r="G80" s="429">
        <f>D80-'[9]Augusts'!D80</f>
        <v>80635</v>
      </c>
      <c r="H80" s="439" t="s">
        <v>217</v>
      </c>
      <c r="I80" s="440">
        <f>SUM(I81:I82)</f>
        <v>5223</v>
      </c>
      <c r="J80" s="440">
        <f>SUM(J81:J82)</f>
        <v>3213</v>
      </c>
      <c r="K80" s="440">
        <f>SUM(K81:K82)</f>
        <v>2077</v>
      </c>
      <c r="L80" s="441">
        <f t="shared" si="21"/>
        <v>39.76641776756653</v>
      </c>
      <c r="M80" s="441">
        <f t="shared" si="14"/>
        <v>64.64363523187052</v>
      </c>
      <c r="N80" s="440">
        <f>K80-'[9]Augusts'!K80</f>
        <v>81</v>
      </c>
    </row>
    <row r="81" spans="1:14" ht="12.75">
      <c r="A81" s="442" t="s">
        <v>214</v>
      </c>
      <c r="B81" s="443">
        <v>20600</v>
      </c>
      <c r="C81" s="443">
        <v>32100</v>
      </c>
      <c r="D81" s="443">
        <v>11074</v>
      </c>
      <c r="E81" s="435">
        <f t="shared" si="19"/>
        <v>0.5375728155339806</v>
      </c>
      <c r="F81" s="435">
        <f t="shared" si="20"/>
        <v>0.34498442367601245</v>
      </c>
      <c r="G81" s="429">
        <f>D81-'[9]Augusts'!D81</f>
        <v>6437</v>
      </c>
      <c r="H81" s="442" t="s">
        <v>214</v>
      </c>
      <c r="I81" s="443">
        <f aca="true" t="shared" si="24" ref="I81:K82">ROUND(B81/1000,0)</f>
        <v>21</v>
      </c>
      <c r="J81" s="443">
        <f t="shared" si="24"/>
        <v>32</v>
      </c>
      <c r="K81" s="443">
        <f t="shared" si="24"/>
        <v>11</v>
      </c>
      <c r="L81" s="81">
        <f t="shared" si="21"/>
        <v>52.38095238095239</v>
      </c>
      <c r="M81" s="81">
        <f t="shared" si="14"/>
        <v>34.375</v>
      </c>
      <c r="N81" s="443">
        <f>K81-'[9]Augusts'!K81</f>
        <v>6</v>
      </c>
    </row>
    <row r="82" spans="1:14" ht="12.75">
      <c r="A82" s="446" t="s">
        <v>215</v>
      </c>
      <c r="B82" s="443">
        <v>5201858</v>
      </c>
      <c r="C82" s="443">
        <v>3180990</v>
      </c>
      <c r="D82" s="443">
        <v>2065488</v>
      </c>
      <c r="E82" s="435">
        <f t="shared" si="19"/>
        <v>0.39706735554872896</v>
      </c>
      <c r="F82" s="435">
        <f t="shared" si="20"/>
        <v>0.6493223807682514</v>
      </c>
      <c r="G82" s="429">
        <f>D82-'[9]Augusts'!D82</f>
        <v>74198</v>
      </c>
      <c r="H82" s="446" t="s">
        <v>215</v>
      </c>
      <c r="I82" s="443">
        <f t="shared" si="24"/>
        <v>5202</v>
      </c>
      <c r="J82" s="443">
        <f t="shared" si="24"/>
        <v>3181</v>
      </c>
      <c r="K82" s="443">
        <f>ROUND(D82/1000,0)+1</f>
        <v>2066</v>
      </c>
      <c r="L82" s="81">
        <f t="shared" si="21"/>
        <v>39.715494040753555</v>
      </c>
      <c r="M82" s="81">
        <f t="shared" si="14"/>
        <v>64.94812951901918</v>
      </c>
      <c r="N82" s="443">
        <f>K82-'[9]Augusts'!K82</f>
        <v>75</v>
      </c>
    </row>
    <row r="83" spans="1:14" s="436" customFormat="1" ht="12.75">
      <c r="A83" s="439" t="s">
        <v>218</v>
      </c>
      <c r="B83" s="440">
        <f>SUM(B84:B85)</f>
        <v>250000</v>
      </c>
      <c r="C83" s="440">
        <f>SUM(C84:C85)</f>
        <v>70000</v>
      </c>
      <c r="D83" s="440">
        <f>SUM(D84:D85)</f>
        <v>5392</v>
      </c>
      <c r="E83" s="435">
        <f t="shared" si="19"/>
        <v>0.021568</v>
      </c>
      <c r="F83" s="435">
        <f t="shared" si="20"/>
        <v>0.07702857142857143</v>
      </c>
      <c r="G83" s="429">
        <f>D83-'[9]Augusts'!D83</f>
        <v>0</v>
      </c>
      <c r="H83" s="439" t="s">
        <v>218</v>
      </c>
      <c r="I83" s="440">
        <f>SUM(I84:I85)</f>
        <v>250</v>
      </c>
      <c r="J83" s="440">
        <f>SUM(J84:J85)</f>
        <v>70</v>
      </c>
      <c r="K83" s="440">
        <f>SUM(K84:K85)</f>
        <v>5</v>
      </c>
      <c r="L83" s="441">
        <f t="shared" si="21"/>
        <v>2</v>
      </c>
      <c r="M83" s="441">
        <f t="shared" si="14"/>
        <v>7.142857142857142</v>
      </c>
      <c r="N83" s="440">
        <f>K83-'[9]Augusts'!K83</f>
        <v>0</v>
      </c>
    </row>
    <row r="84" spans="1:14" ht="12.75" hidden="1">
      <c r="A84" s="442" t="s">
        <v>214</v>
      </c>
      <c r="B84" s="443"/>
      <c r="C84" s="440"/>
      <c r="D84" s="440"/>
      <c r="E84" s="435" t="str">
        <f t="shared" si="19"/>
        <v> </v>
      </c>
      <c r="F84" s="435" t="str">
        <f t="shared" si="20"/>
        <v> </v>
      </c>
      <c r="G84" s="429">
        <f>D84-'[9]Augusts'!D84</f>
        <v>0</v>
      </c>
      <c r="H84" s="442" t="s">
        <v>214</v>
      </c>
      <c r="I84" s="443">
        <f>ROUND(B84/1000,0)</f>
        <v>0</v>
      </c>
      <c r="J84" s="443">
        <f>ROUND(C84/1000,0)</f>
        <v>0</v>
      </c>
      <c r="K84" s="443"/>
      <c r="L84" s="81" t="e">
        <f t="shared" si="21"/>
        <v>#VALUE!</v>
      </c>
      <c r="M84" s="81" t="e">
        <f t="shared" si="14"/>
        <v>#VALUE!</v>
      </c>
      <c r="N84" s="440">
        <f>K84-'[9]Augusts'!K84</f>
        <v>0</v>
      </c>
    </row>
    <row r="85" spans="1:14" ht="12.75">
      <c r="A85" s="442" t="s">
        <v>215</v>
      </c>
      <c r="B85" s="443">
        <v>250000</v>
      </c>
      <c r="C85" s="443">
        <v>70000</v>
      </c>
      <c r="D85" s="443">
        <v>5392</v>
      </c>
      <c r="E85" s="435">
        <f t="shared" si="19"/>
        <v>0.021568</v>
      </c>
      <c r="F85" s="435">
        <f t="shared" si="20"/>
        <v>0.07702857142857143</v>
      </c>
      <c r="G85" s="429">
        <f>D85-'[9]Augusts'!D85</f>
        <v>0</v>
      </c>
      <c r="H85" s="442" t="s">
        <v>215</v>
      </c>
      <c r="I85" s="443">
        <f>ROUND(B85/1000,0)</f>
        <v>250</v>
      </c>
      <c r="J85" s="443">
        <f>ROUND(C85/1000,0)</f>
        <v>70</v>
      </c>
      <c r="K85" s="443">
        <f>ROUND(D85/1000,0)</f>
        <v>5</v>
      </c>
      <c r="L85" s="81">
        <f t="shared" si="21"/>
        <v>2</v>
      </c>
      <c r="M85" s="81">
        <f t="shared" si="14"/>
        <v>7.142857142857142</v>
      </c>
      <c r="N85" s="443">
        <f>K85-'[9]Augusts'!K85</f>
        <v>0</v>
      </c>
    </row>
    <row r="86" spans="1:14" s="1" customFormat="1" ht="12">
      <c r="A86" s="447" t="s">
        <v>909</v>
      </c>
      <c r="B86" s="445">
        <f>B87+B89</f>
        <v>288293</v>
      </c>
      <c r="C86" s="445">
        <f>C87+C89</f>
        <v>280423</v>
      </c>
      <c r="D86" s="445">
        <f>D87+D89</f>
        <v>72629</v>
      </c>
      <c r="E86" s="444">
        <f t="shared" si="19"/>
        <v>0.2519277263062232</v>
      </c>
      <c r="F86" s="444">
        <f t="shared" si="20"/>
        <v>0.25899801371499487</v>
      </c>
      <c r="G86" s="429">
        <f>D86-'[9]Augusts'!D86</f>
        <v>2002</v>
      </c>
      <c r="H86" s="447" t="s">
        <v>909</v>
      </c>
      <c r="I86" s="366">
        <f>I87+I89</f>
        <v>288</v>
      </c>
      <c r="J86" s="366">
        <f>J87+J89</f>
        <v>280</v>
      </c>
      <c r="K86" s="366">
        <f>K87+K89</f>
        <v>72</v>
      </c>
      <c r="L86" s="58">
        <f t="shared" si="21"/>
        <v>25</v>
      </c>
      <c r="M86" s="58">
        <f t="shared" si="14"/>
        <v>25.71428571428571</v>
      </c>
      <c r="N86" s="366">
        <f>K86-'[9]Augusts'!K86</f>
        <v>1</v>
      </c>
    </row>
    <row r="87" spans="1:14" s="436" customFormat="1" ht="12.75">
      <c r="A87" s="439" t="s">
        <v>217</v>
      </c>
      <c r="B87" s="440">
        <f>B88</f>
        <v>261393</v>
      </c>
      <c r="C87" s="440">
        <f>C88</f>
        <v>261393</v>
      </c>
      <c r="D87" s="440">
        <f>D88</f>
        <v>71122</v>
      </c>
      <c r="E87" s="435">
        <f t="shared" si="19"/>
        <v>0.27208838798284574</v>
      </c>
      <c r="F87" s="435">
        <f t="shared" si="20"/>
        <v>0.27208838798284574</v>
      </c>
      <c r="G87" s="429">
        <f>D87-'[9]Augusts'!D87</f>
        <v>495</v>
      </c>
      <c r="H87" s="439" t="s">
        <v>217</v>
      </c>
      <c r="I87" s="440">
        <f>I88</f>
        <v>261</v>
      </c>
      <c r="J87" s="440">
        <f>J88</f>
        <v>261</v>
      </c>
      <c r="K87" s="440">
        <f>K88</f>
        <v>71</v>
      </c>
      <c r="L87" s="441">
        <f t="shared" si="21"/>
        <v>27.203065134099617</v>
      </c>
      <c r="M87" s="441">
        <f t="shared" si="14"/>
        <v>27.203065134099617</v>
      </c>
      <c r="N87" s="440">
        <f>K87-'[9]Augusts'!K87</f>
        <v>0</v>
      </c>
    </row>
    <row r="88" spans="1:14" ht="12.75">
      <c r="A88" s="442" t="s">
        <v>214</v>
      </c>
      <c r="B88" s="443">
        <v>261393</v>
      </c>
      <c r="C88" s="443">
        <v>261393</v>
      </c>
      <c r="D88" s="443">
        <v>71122</v>
      </c>
      <c r="E88" s="435">
        <f t="shared" si="19"/>
        <v>0.27208838798284574</v>
      </c>
      <c r="F88" s="435">
        <f t="shared" si="20"/>
        <v>0.27208838798284574</v>
      </c>
      <c r="G88" s="429">
        <f>D88-'[9]Augusts'!D88</f>
        <v>495</v>
      </c>
      <c r="H88" s="442" t="s">
        <v>214</v>
      </c>
      <c r="I88" s="443">
        <f>ROUND(B88/1000,0)</f>
        <v>261</v>
      </c>
      <c r="J88" s="443">
        <f>ROUND(C88/1000,0)</f>
        <v>261</v>
      </c>
      <c r="K88" s="443">
        <f>ROUND(D88/1000,0)</f>
        <v>71</v>
      </c>
      <c r="L88" s="81">
        <f t="shared" si="21"/>
        <v>27.203065134099617</v>
      </c>
      <c r="M88" s="81">
        <f t="shared" si="14"/>
        <v>27.203065134099617</v>
      </c>
      <c r="N88" s="443">
        <f>K88-'[9]Augusts'!K88</f>
        <v>0</v>
      </c>
    </row>
    <row r="89" spans="1:14" s="436" customFormat="1" ht="12.75">
      <c r="A89" s="439" t="s">
        <v>218</v>
      </c>
      <c r="B89" s="440">
        <f>B90</f>
        <v>26900</v>
      </c>
      <c r="C89" s="440">
        <f>C90</f>
        <v>19030</v>
      </c>
      <c r="D89" s="440">
        <f>D90</f>
        <v>1507</v>
      </c>
      <c r="E89" s="435">
        <f t="shared" si="19"/>
        <v>0.056022304832713754</v>
      </c>
      <c r="F89" s="435">
        <f t="shared" si="20"/>
        <v>0.07919075144508671</v>
      </c>
      <c r="G89" s="429">
        <f>D89-'[9]Augusts'!D89</f>
        <v>1507</v>
      </c>
      <c r="H89" s="439" t="s">
        <v>218</v>
      </c>
      <c r="I89" s="440">
        <f>I90</f>
        <v>27</v>
      </c>
      <c r="J89" s="440">
        <f>J90</f>
        <v>19</v>
      </c>
      <c r="K89" s="440">
        <f>K90</f>
        <v>1</v>
      </c>
      <c r="L89" s="441">
        <f t="shared" si="21"/>
        <v>3.7037037037037033</v>
      </c>
      <c r="M89" s="441">
        <f t="shared" si="14"/>
        <v>5.263157894736842</v>
      </c>
      <c r="N89" s="440">
        <f>K89-'[9]Augusts'!K89</f>
        <v>1</v>
      </c>
    </row>
    <row r="90" spans="1:14" ht="12.75">
      <c r="A90" s="442" t="s">
        <v>214</v>
      </c>
      <c r="B90" s="443">
        <v>26900</v>
      </c>
      <c r="C90" s="443">
        <v>19030</v>
      </c>
      <c r="D90" s="443">
        <v>1507</v>
      </c>
      <c r="E90" s="435">
        <f t="shared" si="19"/>
        <v>0.056022304832713754</v>
      </c>
      <c r="F90" s="435">
        <f t="shared" si="20"/>
        <v>0.07919075144508671</v>
      </c>
      <c r="G90" s="429">
        <f>D90-'[9]Augusts'!D90</f>
        <v>1507</v>
      </c>
      <c r="H90" s="442" t="s">
        <v>214</v>
      </c>
      <c r="I90" s="443">
        <f>ROUND(B90/1000,0)</f>
        <v>27</v>
      </c>
      <c r="J90" s="443">
        <f>ROUND(C90/1000,0)</f>
        <v>19</v>
      </c>
      <c r="K90" s="443">
        <f>ROUND(D90/1000,0)-1</f>
        <v>1</v>
      </c>
      <c r="L90" s="81">
        <f t="shared" si="21"/>
        <v>3.7037037037037033</v>
      </c>
      <c r="M90" s="81">
        <f t="shared" si="14"/>
        <v>5.263157894736842</v>
      </c>
      <c r="N90" s="443">
        <f>K90-'[9]Augusts'!K90</f>
        <v>1</v>
      </c>
    </row>
    <row r="91" spans="1:14" s="1" customFormat="1" ht="12">
      <c r="A91" s="447" t="s">
        <v>913</v>
      </c>
      <c r="B91" s="445">
        <f>B92+B95</f>
        <v>330250</v>
      </c>
      <c r="C91" s="445">
        <f>C92+C95</f>
        <v>118825</v>
      </c>
      <c r="D91" s="445">
        <f>D92+D95</f>
        <v>16953</v>
      </c>
      <c r="E91" s="435">
        <f t="shared" si="19"/>
        <v>0.051333838001514004</v>
      </c>
      <c r="F91" s="435">
        <f t="shared" si="20"/>
        <v>0.14267199663370503</v>
      </c>
      <c r="G91" s="429">
        <f>D91-'[9]Augusts'!D91</f>
        <v>270</v>
      </c>
      <c r="H91" s="447" t="s">
        <v>913</v>
      </c>
      <c r="I91" s="366">
        <f>I92+I95</f>
        <v>331</v>
      </c>
      <c r="J91" s="366">
        <f>J92+J95</f>
        <v>119</v>
      </c>
      <c r="K91" s="366">
        <f>K92+K95</f>
        <v>17</v>
      </c>
      <c r="L91" s="58">
        <f t="shared" si="21"/>
        <v>5.13595166163142</v>
      </c>
      <c r="M91" s="58">
        <f t="shared" si="14"/>
        <v>14.285714285714285</v>
      </c>
      <c r="N91" s="366">
        <f>K91-'[9]Augusts'!K91</f>
        <v>0</v>
      </c>
    </row>
    <row r="92" spans="1:14" s="436" customFormat="1" ht="12.75">
      <c r="A92" s="439" t="s">
        <v>217</v>
      </c>
      <c r="B92" s="440">
        <f>SUM(B93:B94)</f>
        <v>280250</v>
      </c>
      <c r="C92" s="440">
        <f>SUM(C93:C94)</f>
        <v>98825</v>
      </c>
      <c r="D92" s="440">
        <f>SUM(D93:D94)</f>
        <v>0</v>
      </c>
      <c r="E92" s="435">
        <f t="shared" si="19"/>
        <v>0</v>
      </c>
      <c r="F92" s="435">
        <f t="shared" si="20"/>
        <v>0</v>
      </c>
      <c r="G92" s="429">
        <f>D92-'[9]Augusts'!D92</f>
        <v>0</v>
      </c>
      <c r="H92" s="439" t="s">
        <v>217</v>
      </c>
      <c r="I92" s="440">
        <f>I93+I94</f>
        <v>281</v>
      </c>
      <c r="J92" s="440">
        <f>J93+J94</f>
        <v>99</v>
      </c>
      <c r="K92" s="440">
        <f>K93+K94</f>
        <v>0</v>
      </c>
      <c r="L92" s="441">
        <f t="shared" si="21"/>
        <v>0</v>
      </c>
      <c r="M92" s="441">
        <f t="shared" si="14"/>
        <v>0</v>
      </c>
      <c r="N92" s="440">
        <f>K92-'[9]Augusts'!K92</f>
        <v>0</v>
      </c>
    </row>
    <row r="93" spans="1:14" ht="12.75">
      <c r="A93" s="442" t="s">
        <v>214</v>
      </c>
      <c r="B93" s="443">
        <v>191750</v>
      </c>
      <c r="C93" s="443">
        <v>76700</v>
      </c>
      <c r="D93" s="443"/>
      <c r="E93" s="435">
        <f t="shared" si="19"/>
        <v>0</v>
      </c>
      <c r="F93" s="435">
        <f t="shared" si="20"/>
        <v>0</v>
      </c>
      <c r="G93" s="429">
        <f>D93-'[9]Augusts'!D93</f>
        <v>0</v>
      </c>
      <c r="H93" s="442" t="s">
        <v>214</v>
      </c>
      <c r="I93" s="443">
        <f aca="true" t="shared" si="25" ref="I93:K94">ROUND(B93/1000,0)</f>
        <v>192</v>
      </c>
      <c r="J93" s="443">
        <f t="shared" si="25"/>
        <v>77</v>
      </c>
      <c r="K93" s="443">
        <f t="shared" si="25"/>
        <v>0</v>
      </c>
      <c r="L93" s="81">
        <f t="shared" si="21"/>
        <v>0</v>
      </c>
      <c r="M93" s="81">
        <f t="shared" si="14"/>
        <v>0</v>
      </c>
      <c r="N93" s="443">
        <f>K93-'[9]Augusts'!K93</f>
        <v>0</v>
      </c>
    </row>
    <row r="94" spans="1:14" ht="12.75">
      <c r="A94" s="442" t="s">
        <v>215</v>
      </c>
      <c r="B94" s="443">
        <v>88500</v>
      </c>
      <c r="C94" s="443">
        <v>22125</v>
      </c>
      <c r="D94" s="443"/>
      <c r="E94" s="435">
        <f t="shared" si="19"/>
        <v>0</v>
      </c>
      <c r="F94" s="435">
        <f t="shared" si="20"/>
        <v>0</v>
      </c>
      <c r="G94" s="429">
        <f>D94-'[9]Augusts'!D94</f>
        <v>0</v>
      </c>
      <c r="H94" s="442" t="s">
        <v>215</v>
      </c>
      <c r="I94" s="443">
        <f t="shared" si="25"/>
        <v>89</v>
      </c>
      <c r="J94" s="443">
        <f t="shared" si="25"/>
        <v>22</v>
      </c>
      <c r="K94" s="443">
        <f t="shared" si="25"/>
        <v>0</v>
      </c>
      <c r="L94" s="81">
        <f t="shared" si="21"/>
        <v>0</v>
      </c>
      <c r="M94" s="81">
        <f t="shared" si="14"/>
        <v>0</v>
      </c>
      <c r="N94" s="443">
        <f>K94-'[9]Augusts'!K94</f>
        <v>0</v>
      </c>
    </row>
    <row r="95" spans="1:14" s="436" customFormat="1" ht="12.75">
      <c r="A95" s="439" t="s">
        <v>218</v>
      </c>
      <c r="B95" s="440">
        <f>SUM(B96:B97)</f>
        <v>50000</v>
      </c>
      <c r="C95" s="440">
        <f>SUM(C96:C97)</f>
        <v>20000</v>
      </c>
      <c r="D95" s="440">
        <f>SUM(D96:D97)</f>
        <v>16953</v>
      </c>
      <c r="E95" s="435">
        <f t="shared" si="19"/>
        <v>0.33906</v>
      </c>
      <c r="F95" s="435">
        <f t="shared" si="20"/>
        <v>0.84765</v>
      </c>
      <c r="G95" s="429">
        <f>D95-'[9]Augusts'!D95</f>
        <v>270</v>
      </c>
      <c r="H95" s="439" t="s">
        <v>218</v>
      </c>
      <c r="I95" s="440">
        <f>I96+I97</f>
        <v>50</v>
      </c>
      <c r="J95" s="440">
        <f>J96+J97</f>
        <v>20</v>
      </c>
      <c r="K95" s="440">
        <f>K96+K97</f>
        <v>17</v>
      </c>
      <c r="L95" s="441">
        <f t="shared" si="21"/>
        <v>34</v>
      </c>
      <c r="M95" s="441">
        <f t="shared" si="14"/>
        <v>85</v>
      </c>
      <c r="N95" s="440">
        <f>K95-'[9]Augusts'!K95</f>
        <v>0</v>
      </c>
    </row>
    <row r="96" spans="1:14" ht="12.75">
      <c r="A96" s="442" t="s">
        <v>214</v>
      </c>
      <c r="B96" s="443">
        <v>10000</v>
      </c>
      <c r="C96" s="443">
        <v>10000</v>
      </c>
      <c r="D96" s="443">
        <v>10000</v>
      </c>
      <c r="E96" s="435">
        <f t="shared" si="19"/>
        <v>1</v>
      </c>
      <c r="F96" s="435">
        <f t="shared" si="20"/>
        <v>1</v>
      </c>
      <c r="G96" s="429">
        <f>D96-'[9]Augusts'!D96</f>
        <v>0</v>
      </c>
      <c r="H96" s="442" t="s">
        <v>214</v>
      </c>
      <c r="I96" s="443">
        <f aca="true" t="shared" si="26" ref="I96:K97">ROUND(B96/1000,0)</f>
        <v>10</v>
      </c>
      <c r="J96" s="443">
        <f t="shared" si="26"/>
        <v>10</v>
      </c>
      <c r="K96" s="443">
        <f t="shared" si="26"/>
        <v>10</v>
      </c>
      <c r="L96" s="81">
        <f t="shared" si="21"/>
        <v>100</v>
      </c>
      <c r="M96" s="81">
        <f t="shared" si="14"/>
        <v>100</v>
      </c>
      <c r="N96" s="443">
        <f>K96-'[9]Augusts'!K96</f>
        <v>0</v>
      </c>
    </row>
    <row r="97" spans="1:14" ht="12.75">
      <c r="A97" s="442" t="s">
        <v>215</v>
      </c>
      <c r="B97" s="448">
        <v>40000</v>
      </c>
      <c r="C97" s="448">
        <v>10000</v>
      </c>
      <c r="D97" s="448">
        <v>6953</v>
      </c>
      <c r="E97" s="435">
        <f t="shared" si="19"/>
        <v>0.173825</v>
      </c>
      <c r="F97" s="435"/>
      <c r="G97" s="429">
        <f>D97-'[9]Augusts'!D97</f>
        <v>270</v>
      </c>
      <c r="H97" s="442" t="s">
        <v>215</v>
      </c>
      <c r="I97" s="443">
        <f t="shared" si="26"/>
        <v>40</v>
      </c>
      <c r="J97" s="443">
        <f t="shared" si="26"/>
        <v>10</v>
      </c>
      <c r="K97" s="443">
        <f t="shared" si="26"/>
        <v>7</v>
      </c>
      <c r="L97" s="81">
        <f t="shared" si="21"/>
        <v>17.5</v>
      </c>
      <c r="M97" s="81">
        <f t="shared" si="14"/>
        <v>70</v>
      </c>
      <c r="N97" s="443">
        <f>K97-'[9]Augusts'!K97</f>
        <v>0</v>
      </c>
    </row>
    <row r="98" spans="1:14" s="1" customFormat="1" ht="36">
      <c r="A98" s="447" t="s">
        <v>930</v>
      </c>
      <c r="B98" s="445">
        <f>B99+B102</f>
        <v>4017347</v>
      </c>
      <c r="C98" s="445">
        <f>C99+C102</f>
        <v>2365670</v>
      </c>
      <c r="D98" s="445">
        <f>D99+D102</f>
        <v>892328</v>
      </c>
      <c r="E98" s="444">
        <f t="shared" si="19"/>
        <v>0.22211872661236384</v>
      </c>
      <c r="F98" s="444">
        <f>IF(ISERROR(D98/C98)," ",(D98/C98))</f>
        <v>0.37719884852916935</v>
      </c>
      <c r="G98" s="429">
        <f>D98-'[9]Augusts'!D98</f>
        <v>192722</v>
      </c>
      <c r="H98" s="447" t="s">
        <v>930</v>
      </c>
      <c r="I98" s="366">
        <f>I99+I102</f>
        <v>4017</v>
      </c>
      <c r="J98" s="366">
        <f>J99+J102</f>
        <v>2365</v>
      </c>
      <c r="K98" s="366">
        <f>K99+K102</f>
        <v>892</v>
      </c>
      <c r="L98" s="58">
        <f t="shared" si="21"/>
        <v>22.205626089121235</v>
      </c>
      <c r="M98" s="58">
        <f t="shared" si="14"/>
        <v>37.71670190274841</v>
      </c>
      <c r="N98" s="366">
        <f>K98-'[9]Augusts'!K98</f>
        <v>193</v>
      </c>
    </row>
    <row r="99" spans="1:14" s="436" customFormat="1" ht="12.75">
      <c r="A99" s="439" t="s">
        <v>217</v>
      </c>
      <c r="B99" s="440">
        <f>SUM(B100:B101)</f>
        <v>3547857</v>
      </c>
      <c r="C99" s="440">
        <f>SUM(C100:C101)</f>
        <v>2099519</v>
      </c>
      <c r="D99" s="440">
        <f>SUM(D100:D101)</f>
        <v>798223</v>
      </c>
      <c r="E99" s="444">
        <f t="shared" si="19"/>
        <v>0.22498736561253738</v>
      </c>
      <c r="F99" s="444">
        <f>IF(ISERROR(D99/C99)," ",(D99/C99))</f>
        <v>0.38019327284011245</v>
      </c>
      <c r="G99" s="429">
        <f>D99-'[9]Augusts'!D99</f>
        <v>177816</v>
      </c>
      <c r="H99" s="439" t="s">
        <v>217</v>
      </c>
      <c r="I99" s="440">
        <f>SUM(I100:I101)</f>
        <v>3548</v>
      </c>
      <c r="J99" s="440">
        <f>SUM(J100:J101)</f>
        <v>2099</v>
      </c>
      <c r="K99" s="440">
        <f>SUM(K100:K101)</f>
        <v>798</v>
      </c>
      <c r="L99" s="441">
        <f t="shared" si="21"/>
        <v>22.491544532130778</v>
      </c>
      <c r="M99" s="441">
        <f t="shared" si="14"/>
        <v>38.01810385898047</v>
      </c>
      <c r="N99" s="440">
        <f>K99-'[9]Augusts'!K99</f>
        <v>178</v>
      </c>
    </row>
    <row r="100" spans="1:14" ht="12.75">
      <c r="A100" s="442" t="s">
        <v>214</v>
      </c>
      <c r="B100" s="443">
        <v>2323607</v>
      </c>
      <c r="C100" s="443">
        <v>1793457</v>
      </c>
      <c r="D100" s="443">
        <v>798223</v>
      </c>
      <c r="E100" s="444">
        <f t="shared" si="19"/>
        <v>0.34352754144741343</v>
      </c>
      <c r="F100" s="444">
        <f>IF(ISERROR(D100/C100)," ",(D100/C100))</f>
        <v>0.44507507010204317</v>
      </c>
      <c r="G100" s="429">
        <f>D100-'[9]Augusts'!D100</f>
        <v>177816</v>
      </c>
      <c r="H100" s="442" t="s">
        <v>214</v>
      </c>
      <c r="I100" s="443">
        <f aca="true" t="shared" si="27" ref="I100:K101">ROUND(B100/1000,0)</f>
        <v>2324</v>
      </c>
      <c r="J100" s="443">
        <f t="shared" si="27"/>
        <v>1793</v>
      </c>
      <c r="K100" s="443">
        <f t="shared" si="27"/>
        <v>798</v>
      </c>
      <c r="L100" s="81">
        <f t="shared" si="21"/>
        <v>34.33734939759036</v>
      </c>
      <c r="M100" s="81">
        <f t="shared" si="14"/>
        <v>44.5064138315672</v>
      </c>
      <c r="N100" s="443">
        <f>K100-'[9]Augusts'!K100</f>
        <v>178</v>
      </c>
    </row>
    <row r="101" spans="1:14" ht="12.75">
      <c r="A101" s="442" t="s">
        <v>215</v>
      </c>
      <c r="B101" s="448">
        <v>1224250</v>
      </c>
      <c r="C101" s="448">
        <v>306062</v>
      </c>
      <c r="D101" s="448"/>
      <c r="E101" s="435"/>
      <c r="F101" s="435"/>
      <c r="G101" s="429">
        <f>D101-'[9]Augusts'!D101</f>
        <v>0</v>
      </c>
      <c r="H101" s="442" t="s">
        <v>215</v>
      </c>
      <c r="I101" s="443">
        <f t="shared" si="27"/>
        <v>1224</v>
      </c>
      <c r="J101" s="443">
        <f t="shared" si="27"/>
        <v>306</v>
      </c>
      <c r="K101" s="443">
        <f t="shared" si="27"/>
        <v>0</v>
      </c>
      <c r="L101" s="81">
        <f t="shared" si="21"/>
        <v>0</v>
      </c>
      <c r="M101" s="81"/>
      <c r="N101" s="443">
        <f>K101-'[9]Augusts'!K101</f>
        <v>0</v>
      </c>
    </row>
    <row r="102" spans="1:14" s="436" customFormat="1" ht="12.75">
      <c r="A102" s="439" t="s">
        <v>218</v>
      </c>
      <c r="B102" s="440">
        <f>B103</f>
        <v>469490</v>
      </c>
      <c r="C102" s="440">
        <f>C103</f>
        <v>266151</v>
      </c>
      <c r="D102" s="440">
        <f>D103</f>
        <v>94105</v>
      </c>
      <c r="E102" s="435">
        <f aca="true" t="shared" si="28" ref="E102:E131">IF(ISERROR(D102/B102)," ",(D102/B102))</f>
        <v>0.20044090395961575</v>
      </c>
      <c r="F102" s="435">
        <f aca="true" t="shared" si="29" ref="F102:F107">IF(ISERROR(D102/C102)," ",(D102/C102))</f>
        <v>0.35357748045282567</v>
      </c>
      <c r="G102" s="429">
        <f>D102-'[9]Augusts'!D102</f>
        <v>14906</v>
      </c>
      <c r="H102" s="439" t="s">
        <v>218</v>
      </c>
      <c r="I102" s="440">
        <f>I103</f>
        <v>469</v>
      </c>
      <c r="J102" s="440">
        <f>J103</f>
        <v>266</v>
      </c>
      <c r="K102" s="440">
        <f>K103</f>
        <v>94</v>
      </c>
      <c r="L102" s="441">
        <f t="shared" si="21"/>
        <v>20.042643923240938</v>
      </c>
      <c r="M102" s="441">
        <f aca="true" t="shared" si="30" ref="M102:M131">IF(ISERROR(ROUND(K102,0)/ROUND(J102,0))," ",(ROUND(K102,)/ROUND(J102,)))*100</f>
        <v>35.338345864661655</v>
      </c>
      <c r="N102" s="440">
        <f>K102-'[9]Augusts'!K102</f>
        <v>15</v>
      </c>
    </row>
    <row r="103" spans="1:14" ht="12.75">
      <c r="A103" s="442" t="s">
        <v>214</v>
      </c>
      <c r="B103" s="443">
        <v>469490</v>
      </c>
      <c r="C103" s="443">
        <v>266151</v>
      </c>
      <c r="D103" s="443">
        <v>94105</v>
      </c>
      <c r="E103" s="435">
        <f t="shared" si="28"/>
        <v>0.20044090395961575</v>
      </c>
      <c r="F103" s="435">
        <f t="shared" si="29"/>
        <v>0.35357748045282567</v>
      </c>
      <c r="G103" s="429">
        <f>D103-'[9]Augusts'!D103</f>
        <v>14906</v>
      </c>
      <c r="H103" s="442" t="s">
        <v>214</v>
      </c>
      <c r="I103" s="443">
        <f>ROUND(B103/1000,0)</f>
        <v>469</v>
      </c>
      <c r="J103" s="443">
        <f>ROUND(C103/1000,0)</f>
        <v>266</v>
      </c>
      <c r="K103" s="443">
        <f>ROUND(D103/1000,0)</f>
        <v>94</v>
      </c>
      <c r="L103" s="81">
        <f t="shared" si="21"/>
        <v>20.042643923240938</v>
      </c>
      <c r="M103" s="81">
        <f t="shared" si="30"/>
        <v>35.338345864661655</v>
      </c>
      <c r="N103" s="443">
        <f>K103-'[9]Augusts'!K103</f>
        <v>15</v>
      </c>
    </row>
    <row r="104" spans="1:14" s="1" customFormat="1" ht="24">
      <c r="A104" s="447" t="s">
        <v>221</v>
      </c>
      <c r="B104" s="366">
        <f>B105+B107</f>
        <v>1091245</v>
      </c>
      <c r="C104" s="366">
        <f>C105+C107</f>
        <v>986150</v>
      </c>
      <c r="D104" s="366">
        <f>D105+D107</f>
        <v>319527</v>
      </c>
      <c r="E104" s="435">
        <f t="shared" si="28"/>
        <v>0.2928095890473725</v>
      </c>
      <c r="F104" s="435">
        <f t="shared" si="29"/>
        <v>0.3240146022410384</v>
      </c>
      <c r="G104" s="429">
        <f>D104-'[9]Augusts'!D104</f>
        <v>0</v>
      </c>
      <c r="H104" s="447" t="s">
        <v>221</v>
      </c>
      <c r="I104" s="366">
        <f>I105+I107</f>
        <v>1091</v>
      </c>
      <c r="J104" s="366">
        <f>J105</f>
        <v>983</v>
      </c>
      <c r="K104" s="366">
        <f>K105</f>
        <v>320</v>
      </c>
      <c r="L104" s="58">
        <f t="shared" si="21"/>
        <v>29.330889092575617</v>
      </c>
      <c r="M104" s="58">
        <f t="shared" si="30"/>
        <v>32.55340793489319</v>
      </c>
      <c r="N104" s="366">
        <f>K104-'[9]Augusts'!K104</f>
        <v>0</v>
      </c>
    </row>
    <row r="105" spans="1:14" s="436" customFormat="1" ht="12.75">
      <c r="A105" s="439" t="s">
        <v>217</v>
      </c>
      <c r="B105" s="440">
        <f>B106</f>
        <v>1077970</v>
      </c>
      <c r="C105" s="440">
        <f>C106</f>
        <v>982832</v>
      </c>
      <c r="D105" s="440">
        <f>D106</f>
        <v>319527</v>
      </c>
      <c r="E105" s="435">
        <f t="shared" si="28"/>
        <v>0.29641548466098316</v>
      </c>
      <c r="F105" s="435">
        <f t="shared" si="29"/>
        <v>0.32510846207693683</v>
      </c>
      <c r="G105" s="429">
        <f>D105-'[9]Augusts'!D105</f>
        <v>0</v>
      </c>
      <c r="H105" s="439" t="s">
        <v>217</v>
      </c>
      <c r="I105" s="440">
        <f>I106</f>
        <v>1078</v>
      </c>
      <c r="J105" s="440">
        <f>J106</f>
        <v>983</v>
      </c>
      <c r="K105" s="440">
        <f>K106</f>
        <v>320</v>
      </c>
      <c r="L105" s="441">
        <f t="shared" si="21"/>
        <v>29.684601113172544</v>
      </c>
      <c r="M105" s="441">
        <f t="shared" si="30"/>
        <v>32.55340793489319</v>
      </c>
      <c r="N105" s="440">
        <f>K105-'[9]Augusts'!K105</f>
        <v>0</v>
      </c>
    </row>
    <row r="106" spans="1:14" ht="12.75">
      <c r="A106" s="442" t="s">
        <v>214</v>
      </c>
      <c r="B106" s="443">
        <v>1077970</v>
      </c>
      <c r="C106" s="443">
        <v>982832</v>
      </c>
      <c r="D106" s="443">
        <v>319527</v>
      </c>
      <c r="E106" s="435">
        <f t="shared" si="28"/>
        <v>0.29641548466098316</v>
      </c>
      <c r="F106" s="435">
        <f t="shared" si="29"/>
        <v>0.32510846207693683</v>
      </c>
      <c r="G106" s="429">
        <f>D106-'[9]Augusts'!D106</f>
        <v>0</v>
      </c>
      <c r="H106" s="442" t="s">
        <v>214</v>
      </c>
      <c r="I106" s="443">
        <f>ROUND(B106/1000,0)</f>
        <v>1078</v>
      </c>
      <c r="J106" s="443">
        <f>ROUND(C106/1000,0)</f>
        <v>983</v>
      </c>
      <c r="K106" s="443">
        <f>ROUND(D106/1000,0)</f>
        <v>320</v>
      </c>
      <c r="L106" s="81">
        <f t="shared" si="21"/>
        <v>29.684601113172544</v>
      </c>
      <c r="M106" s="81">
        <f t="shared" si="30"/>
        <v>32.55340793489319</v>
      </c>
      <c r="N106" s="443">
        <f>K106-'[9]Augusts'!K106</f>
        <v>0</v>
      </c>
    </row>
    <row r="107" spans="1:14" s="436" customFormat="1" ht="12.75">
      <c r="A107" s="439" t="s">
        <v>218</v>
      </c>
      <c r="B107" s="440">
        <f>B108</f>
        <v>13275</v>
      </c>
      <c r="C107" s="440">
        <f>C108</f>
        <v>3318</v>
      </c>
      <c r="D107" s="440">
        <f>D108</f>
        <v>0</v>
      </c>
      <c r="E107" s="435">
        <f t="shared" si="28"/>
        <v>0</v>
      </c>
      <c r="F107" s="435">
        <f t="shared" si="29"/>
        <v>0</v>
      </c>
      <c r="G107" s="429">
        <f>D107-'[9]Augusts'!D107</f>
        <v>0</v>
      </c>
      <c r="H107" s="439" t="s">
        <v>218</v>
      </c>
      <c r="I107" s="440">
        <f>I108</f>
        <v>13</v>
      </c>
      <c r="J107" s="440">
        <f>J108</f>
        <v>3</v>
      </c>
      <c r="K107" s="440">
        <f>K108</f>
        <v>0</v>
      </c>
      <c r="L107" s="441">
        <f t="shared" si="21"/>
        <v>0</v>
      </c>
      <c r="M107" s="441">
        <f t="shared" si="30"/>
        <v>0</v>
      </c>
      <c r="N107" s="440">
        <f>K107-'[9]Augusts'!K107</f>
        <v>0</v>
      </c>
    </row>
    <row r="108" spans="1:14" ht="12.75">
      <c r="A108" s="442" t="s">
        <v>214</v>
      </c>
      <c r="B108" s="443">
        <v>13275</v>
      </c>
      <c r="C108" s="443">
        <v>3318</v>
      </c>
      <c r="D108" s="443"/>
      <c r="E108" s="435">
        <f t="shared" si="28"/>
        <v>0</v>
      </c>
      <c r="F108" s="435"/>
      <c r="G108" s="429">
        <f>D108-'[9]Augusts'!D108</f>
        <v>0</v>
      </c>
      <c r="H108" s="442" t="s">
        <v>214</v>
      </c>
      <c r="I108" s="443">
        <f>ROUND(B108/1000,0)</f>
        <v>13</v>
      </c>
      <c r="J108" s="443">
        <f>ROUND(C108/1000,0)</f>
        <v>3</v>
      </c>
      <c r="K108" s="443">
        <f>ROUND(D108/1000,0)</f>
        <v>0</v>
      </c>
      <c r="L108" s="81">
        <f t="shared" si="21"/>
        <v>0</v>
      </c>
      <c r="M108" s="81">
        <f t="shared" si="30"/>
        <v>0</v>
      </c>
      <c r="N108" s="443">
        <f>K108-'[9]Augusts'!K108</f>
        <v>0</v>
      </c>
    </row>
    <row r="109" spans="1:104" ht="38.25">
      <c r="A109" s="426" t="s">
        <v>222</v>
      </c>
      <c r="B109" s="449">
        <f>B110+B113</f>
        <v>6265741</v>
      </c>
      <c r="C109" s="449">
        <f>C110+C113</f>
        <v>5209098</v>
      </c>
      <c r="D109" s="449">
        <f>D110+D113</f>
        <v>2669457</v>
      </c>
      <c r="E109" s="435">
        <f t="shared" si="28"/>
        <v>0.42604011241447737</v>
      </c>
      <c r="F109" s="435"/>
      <c r="G109" s="429">
        <f>D109-'[9]Augusts'!D109</f>
        <v>174581</v>
      </c>
      <c r="H109" s="426" t="s">
        <v>222</v>
      </c>
      <c r="I109" s="430">
        <f>I110+I113</f>
        <v>6266</v>
      </c>
      <c r="J109" s="430">
        <f>J110+J113</f>
        <v>5209</v>
      </c>
      <c r="K109" s="430">
        <f>K110+K113</f>
        <v>2669</v>
      </c>
      <c r="L109" s="431">
        <f t="shared" si="21"/>
        <v>42.594956910309605</v>
      </c>
      <c r="M109" s="431">
        <f t="shared" si="30"/>
        <v>51.238241505087345</v>
      </c>
      <c r="N109" s="430">
        <f>K109-'[9]Augusts'!K109</f>
        <v>174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</row>
    <row r="110" spans="1:104" s="354" customFormat="1" ht="15" customHeight="1">
      <c r="A110" s="432" t="s">
        <v>873</v>
      </c>
      <c r="B110" s="427">
        <f>B111+B112</f>
        <v>2773256</v>
      </c>
      <c r="C110" s="427">
        <f>C111+C112</f>
        <v>2773256</v>
      </c>
      <c r="D110" s="427">
        <f>D111+D112</f>
        <v>1885739</v>
      </c>
      <c r="E110" s="435">
        <f t="shared" si="28"/>
        <v>0.6799729271296988</v>
      </c>
      <c r="F110" s="435"/>
      <c r="G110" s="429">
        <f>D110-'[9]Augusts'!D110</f>
        <v>0</v>
      </c>
      <c r="H110" s="432" t="s">
        <v>873</v>
      </c>
      <c r="I110" s="450">
        <f>I111+I112</f>
        <v>2773</v>
      </c>
      <c r="J110" s="450">
        <f>J111+J112</f>
        <v>2773</v>
      </c>
      <c r="K110" s="450">
        <f>K111+K112</f>
        <v>1886</v>
      </c>
      <c r="L110" s="431">
        <f t="shared" si="21"/>
        <v>68.01298232960691</v>
      </c>
      <c r="M110" s="431">
        <f t="shared" si="30"/>
        <v>68.01298232960691</v>
      </c>
      <c r="N110" s="450">
        <f>K110-'[9]Augusts'!K110</f>
        <v>0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</row>
    <row r="111" spans="1:14" ht="12.75">
      <c r="A111" s="434" t="s">
        <v>214</v>
      </c>
      <c r="B111" s="445">
        <f>B118+B124+B129</f>
        <v>493256</v>
      </c>
      <c r="C111" s="445">
        <f>C118+C124+C129</f>
        <v>493256</v>
      </c>
      <c r="D111" s="445">
        <f>D118+D124+D129</f>
        <v>363629</v>
      </c>
      <c r="E111" s="435">
        <f t="shared" si="28"/>
        <v>0.7372013721069789</v>
      </c>
      <c r="F111" s="435"/>
      <c r="G111" s="429">
        <f>D111-'[9]Augusts'!D111</f>
        <v>0</v>
      </c>
      <c r="H111" s="434" t="s">
        <v>214</v>
      </c>
      <c r="I111" s="366">
        <f>I118+I124+I129</f>
        <v>493</v>
      </c>
      <c r="J111" s="366">
        <f>J118+J124+J129</f>
        <v>493</v>
      </c>
      <c r="K111" s="366">
        <f>K118+K124+K129</f>
        <v>364</v>
      </c>
      <c r="L111" s="431">
        <f t="shared" si="21"/>
        <v>73.83367139959432</v>
      </c>
      <c r="M111" s="58">
        <f t="shared" si="30"/>
        <v>73.83367139959432</v>
      </c>
      <c r="N111" s="366">
        <f>K111-'[9]Augusts'!K111</f>
        <v>0</v>
      </c>
    </row>
    <row r="112" spans="1:14" ht="12.75">
      <c r="A112" s="434" t="s">
        <v>215</v>
      </c>
      <c r="B112" s="445">
        <f>B119</f>
        <v>2280000</v>
      </c>
      <c r="C112" s="445">
        <f>C119</f>
        <v>2280000</v>
      </c>
      <c r="D112" s="445">
        <f>D119</f>
        <v>1522110</v>
      </c>
      <c r="E112" s="435">
        <f t="shared" si="28"/>
        <v>0.6675921052631579</v>
      </c>
      <c r="F112" s="435"/>
      <c r="G112" s="429">
        <f>D112-'[9]Augusts'!D112</f>
        <v>0</v>
      </c>
      <c r="H112" s="434" t="s">
        <v>215</v>
      </c>
      <c r="I112" s="366">
        <f>I119</f>
        <v>2280</v>
      </c>
      <c r="J112" s="74">
        <f>J119</f>
        <v>2280</v>
      </c>
      <c r="K112" s="366">
        <f>K119</f>
        <v>1522</v>
      </c>
      <c r="L112" s="58">
        <f t="shared" si="21"/>
        <v>66.75438596491227</v>
      </c>
      <c r="M112" s="58">
        <f t="shared" si="30"/>
        <v>66.75438596491227</v>
      </c>
      <c r="N112" s="366">
        <f>K112-'[9]Augusts'!K112</f>
        <v>0</v>
      </c>
    </row>
    <row r="113" spans="1:104" s="354" customFormat="1" ht="15" customHeight="1">
      <c r="A113" s="432" t="s">
        <v>223</v>
      </c>
      <c r="B113" s="427">
        <f>SUM(B114:B115)</f>
        <v>3492485</v>
      </c>
      <c r="C113" s="427">
        <f>SUM(C114:C115)</f>
        <v>2435842</v>
      </c>
      <c r="D113" s="427">
        <f>SUM(D114:D115)</f>
        <v>783718</v>
      </c>
      <c r="E113" s="435">
        <f t="shared" si="28"/>
        <v>0.22440125011274206</v>
      </c>
      <c r="F113" s="435"/>
      <c r="G113" s="429">
        <f>D113-'[9]Augusts'!D113</f>
        <v>174581</v>
      </c>
      <c r="H113" s="432" t="s">
        <v>223</v>
      </c>
      <c r="I113" s="430">
        <f>I115+I114</f>
        <v>3493</v>
      </c>
      <c r="J113" s="430">
        <f>J115+J114</f>
        <v>2436</v>
      </c>
      <c r="K113" s="430">
        <f>K115+K114</f>
        <v>783</v>
      </c>
      <c r="L113" s="431">
        <f t="shared" si="21"/>
        <v>22.4162610936158</v>
      </c>
      <c r="M113" s="431">
        <f t="shared" si="30"/>
        <v>32.142857142857146</v>
      </c>
      <c r="N113" s="430">
        <f>K113-'[9]Augusts'!K113</f>
        <v>174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</row>
    <row r="114" spans="1:14" ht="12.75">
      <c r="A114" s="434" t="s">
        <v>214</v>
      </c>
      <c r="B114" s="445">
        <f>B126+B131</f>
        <v>181148</v>
      </c>
      <c r="C114" s="445">
        <f>C126+C131</f>
        <v>178333</v>
      </c>
      <c r="D114" s="445">
        <f>D126+D131</f>
        <v>174581</v>
      </c>
      <c r="E114" s="435">
        <f t="shared" si="28"/>
        <v>0.963747874666019</v>
      </c>
      <c r="F114" s="435"/>
      <c r="G114" s="429">
        <f>D114-'[9]Augusts'!D114</f>
        <v>174581</v>
      </c>
      <c r="H114" s="434" t="s">
        <v>214</v>
      </c>
      <c r="I114" s="366">
        <f>I126+I131</f>
        <v>182</v>
      </c>
      <c r="J114" s="366">
        <f>J126+J131</f>
        <v>178</v>
      </c>
      <c r="K114" s="366">
        <f>K126+K131</f>
        <v>174</v>
      </c>
      <c r="L114" s="58">
        <f t="shared" si="21"/>
        <v>95.6043956043956</v>
      </c>
      <c r="M114" s="58">
        <f t="shared" si="30"/>
        <v>97.75280898876404</v>
      </c>
      <c r="N114" s="366">
        <f>K114-'[9]Augusts'!K114</f>
        <v>174</v>
      </c>
    </row>
    <row r="115" spans="1:14" ht="12.75">
      <c r="A115" s="434" t="s">
        <v>215</v>
      </c>
      <c r="B115" s="445">
        <f>B121</f>
        <v>3311337</v>
      </c>
      <c r="C115" s="445">
        <f>C121</f>
        <v>2257509</v>
      </c>
      <c r="D115" s="445">
        <f>D121</f>
        <v>609137</v>
      </c>
      <c r="E115" s="435">
        <f t="shared" si="28"/>
        <v>0.18395500065381445</v>
      </c>
      <c r="F115" s="435"/>
      <c r="G115" s="429">
        <f>D115-'[9]Augusts'!D115</f>
        <v>0</v>
      </c>
      <c r="H115" s="434" t="s">
        <v>215</v>
      </c>
      <c r="I115" s="366">
        <f>I121</f>
        <v>3311</v>
      </c>
      <c r="J115" s="366">
        <f>J121</f>
        <v>2258</v>
      </c>
      <c r="K115" s="366">
        <f>K121</f>
        <v>609</v>
      </c>
      <c r="L115" s="58">
        <f t="shared" si="21"/>
        <v>18.39323467230444</v>
      </c>
      <c r="M115" s="58">
        <f t="shared" si="30"/>
        <v>26.970770593445526</v>
      </c>
      <c r="N115" s="366">
        <f>K115-'[9]Augusts'!K115</f>
        <v>0</v>
      </c>
    </row>
    <row r="116" spans="1:14" s="1" customFormat="1" ht="12">
      <c r="A116" s="447" t="s">
        <v>901</v>
      </c>
      <c r="B116" s="366">
        <f>B117+B120</f>
        <v>5850775</v>
      </c>
      <c r="C116" s="366">
        <f>C117+C120</f>
        <v>4796947</v>
      </c>
      <c r="D116" s="366">
        <f>D117+D120</f>
        <v>2338966</v>
      </c>
      <c r="E116" s="435">
        <f t="shared" si="28"/>
        <v>0.3997702868423414</v>
      </c>
      <c r="F116" s="435"/>
      <c r="G116" s="429">
        <f>D116-'[9]Augusts'!D116</f>
        <v>0</v>
      </c>
      <c r="H116" s="447" t="s">
        <v>901</v>
      </c>
      <c r="I116" s="366">
        <f>I117+I120</f>
        <v>5850</v>
      </c>
      <c r="J116" s="366">
        <f>J117+J120</f>
        <v>4797</v>
      </c>
      <c r="K116" s="366">
        <f>K117+K120</f>
        <v>2339</v>
      </c>
      <c r="L116" s="58">
        <f t="shared" si="21"/>
        <v>39.98290598290598</v>
      </c>
      <c r="M116" s="58">
        <f t="shared" si="30"/>
        <v>48.759641442568274</v>
      </c>
      <c r="N116" s="366">
        <f>K116-'[9]Augusts'!K116</f>
        <v>0</v>
      </c>
    </row>
    <row r="117" spans="1:14" s="436" customFormat="1" ht="12.75">
      <c r="A117" s="439" t="s">
        <v>217</v>
      </c>
      <c r="B117" s="440">
        <f>B118+B119</f>
        <v>2539438</v>
      </c>
      <c r="C117" s="440">
        <f>C118+C119</f>
        <v>2539438</v>
      </c>
      <c r="D117" s="440">
        <f>D118+D119</f>
        <v>1729829</v>
      </c>
      <c r="E117" s="435">
        <f t="shared" si="28"/>
        <v>0.6811857584237142</v>
      </c>
      <c r="F117" s="435"/>
      <c r="G117" s="429">
        <f>D117-'[9]Augusts'!D117</f>
        <v>0</v>
      </c>
      <c r="H117" s="439" t="s">
        <v>217</v>
      </c>
      <c r="I117" s="440">
        <f>I119+I118</f>
        <v>2539</v>
      </c>
      <c r="J117" s="440">
        <f>J119+J118</f>
        <v>2539</v>
      </c>
      <c r="K117" s="440">
        <f>K119+K118</f>
        <v>1730</v>
      </c>
      <c r="L117" s="441">
        <f t="shared" si="21"/>
        <v>68.13706183536826</v>
      </c>
      <c r="M117" s="441">
        <f t="shared" si="30"/>
        <v>68.13706183536826</v>
      </c>
      <c r="N117" s="440">
        <f>K117-'[9]Augusts'!K117</f>
        <v>0</v>
      </c>
    </row>
    <row r="118" spans="1:14" ht="12.75">
      <c r="A118" s="442" t="s">
        <v>214</v>
      </c>
      <c r="B118" s="443">
        <v>259438</v>
      </c>
      <c r="C118" s="443">
        <v>259438</v>
      </c>
      <c r="D118" s="443">
        <v>207719</v>
      </c>
      <c r="E118" s="435">
        <f t="shared" si="28"/>
        <v>0.8006498662493544</v>
      </c>
      <c r="F118" s="435"/>
      <c r="G118" s="429">
        <f>D118-'[9]Augusts'!D118</f>
        <v>0</v>
      </c>
      <c r="H118" s="442" t="s">
        <v>214</v>
      </c>
      <c r="I118" s="443">
        <f aca="true" t="shared" si="31" ref="I118:K119">ROUND(B118/1000,0)</f>
        <v>259</v>
      </c>
      <c r="J118" s="443">
        <f t="shared" si="31"/>
        <v>259</v>
      </c>
      <c r="K118" s="443">
        <f t="shared" si="31"/>
        <v>208</v>
      </c>
      <c r="L118" s="81">
        <f t="shared" si="21"/>
        <v>80.3088803088803</v>
      </c>
      <c r="M118" s="81">
        <f t="shared" si="30"/>
        <v>80.3088803088803</v>
      </c>
      <c r="N118" s="443">
        <f>K118-'[9]Augusts'!K118</f>
        <v>0</v>
      </c>
    </row>
    <row r="119" spans="1:104" s="60" customFormat="1" ht="12.75">
      <c r="A119" s="442" t="s">
        <v>215</v>
      </c>
      <c r="B119" s="443">
        <v>2280000</v>
      </c>
      <c r="C119" s="443">
        <v>2280000</v>
      </c>
      <c r="D119" s="443">
        <v>1522110</v>
      </c>
      <c r="E119" s="435">
        <f t="shared" si="28"/>
        <v>0.6675921052631579</v>
      </c>
      <c r="F119" s="435"/>
      <c r="G119" s="429">
        <f>D119-'[9]Augusts'!D119</f>
        <v>0</v>
      </c>
      <c r="H119" s="442" t="s">
        <v>215</v>
      </c>
      <c r="I119" s="443">
        <f t="shared" si="31"/>
        <v>2280</v>
      </c>
      <c r="J119" s="443">
        <f t="shared" si="31"/>
        <v>2280</v>
      </c>
      <c r="K119" s="443">
        <f t="shared" si="31"/>
        <v>1522</v>
      </c>
      <c r="L119" s="81">
        <f t="shared" si="21"/>
        <v>66.75438596491227</v>
      </c>
      <c r="M119" s="81">
        <f t="shared" si="30"/>
        <v>66.75438596491227</v>
      </c>
      <c r="N119" s="443">
        <f>K119-'[9]Augusts'!K119</f>
        <v>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</row>
    <row r="120" spans="1:14" s="436" customFormat="1" ht="12.75">
      <c r="A120" s="439" t="s">
        <v>224</v>
      </c>
      <c r="B120" s="440">
        <f>B121</f>
        <v>3311337</v>
      </c>
      <c r="C120" s="440">
        <f>C121</f>
        <v>2257509</v>
      </c>
      <c r="D120" s="440">
        <f>D121</f>
        <v>609137</v>
      </c>
      <c r="E120" s="435">
        <f t="shared" si="28"/>
        <v>0.18395500065381445</v>
      </c>
      <c r="F120" s="435"/>
      <c r="G120" s="429">
        <f>D120-'[9]Augusts'!D120</f>
        <v>0</v>
      </c>
      <c r="H120" s="439" t="s">
        <v>224</v>
      </c>
      <c r="I120" s="440">
        <f>I121</f>
        <v>3311</v>
      </c>
      <c r="J120" s="440">
        <f>J121</f>
        <v>2258</v>
      </c>
      <c r="K120" s="440">
        <f>K121</f>
        <v>609</v>
      </c>
      <c r="L120" s="441">
        <f t="shared" si="21"/>
        <v>18.39323467230444</v>
      </c>
      <c r="M120" s="441">
        <f t="shared" si="30"/>
        <v>26.970770593445526</v>
      </c>
      <c r="N120" s="440">
        <f>K120-'[9]Augusts'!K120</f>
        <v>0</v>
      </c>
    </row>
    <row r="121" spans="1:104" s="60" customFormat="1" ht="12.75">
      <c r="A121" s="442" t="s">
        <v>215</v>
      </c>
      <c r="B121" s="443">
        <v>3311337</v>
      </c>
      <c r="C121" s="443">
        <v>2257509</v>
      </c>
      <c r="D121" s="443">
        <v>609137</v>
      </c>
      <c r="E121" s="435">
        <f t="shared" si="28"/>
        <v>0.18395500065381445</v>
      </c>
      <c r="F121" s="435"/>
      <c r="G121" s="429">
        <f>D121-'[9]Augusts'!D121</f>
        <v>0</v>
      </c>
      <c r="H121" s="442" t="s">
        <v>215</v>
      </c>
      <c r="I121" s="443">
        <f>ROUND(B121/1000,0)</f>
        <v>3311</v>
      </c>
      <c r="J121" s="443">
        <f>ROUND(C121/1000,0)</f>
        <v>2258</v>
      </c>
      <c r="K121" s="443">
        <f>ROUND(D121/1000,0)</f>
        <v>609</v>
      </c>
      <c r="L121" s="81">
        <f t="shared" si="21"/>
        <v>18.39323467230444</v>
      </c>
      <c r="M121" s="81">
        <f t="shared" si="30"/>
        <v>26.970770593445526</v>
      </c>
      <c r="N121" s="443">
        <f>K121-'[9]Augusts'!K121</f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</row>
    <row r="122" spans="1:14" s="1" customFormat="1" ht="12">
      <c r="A122" s="447" t="s">
        <v>903</v>
      </c>
      <c r="B122" s="366">
        <f>B123+B125</f>
        <v>72235</v>
      </c>
      <c r="C122" s="366">
        <f>C123+C125</f>
        <v>69420</v>
      </c>
      <c r="D122" s="366">
        <f>D123+D125</f>
        <v>0</v>
      </c>
      <c r="E122" s="435">
        <f t="shared" si="28"/>
        <v>0</v>
      </c>
      <c r="F122" s="435"/>
      <c r="G122" s="429">
        <f>D122-'[9]Augusts'!D122</f>
        <v>0</v>
      </c>
      <c r="H122" s="447" t="s">
        <v>903</v>
      </c>
      <c r="I122" s="366">
        <f>I123+I125</f>
        <v>73</v>
      </c>
      <c r="J122" s="366">
        <f>J123+J125</f>
        <v>70</v>
      </c>
      <c r="K122" s="366">
        <f>K123+K125</f>
        <v>0</v>
      </c>
      <c r="L122" s="58">
        <f t="shared" si="21"/>
        <v>0</v>
      </c>
      <c r="M122" s="58">
        <f t="shared" si="30"/>
        <v>0</v>
      </c>
      <c r="N122" s="366">
        <f>K122-'[9]Augusts'!K122</f>
        <v>0</v>
      </c>
    </row>
    <row r="123" spans="1:14" s="436" customFormat="1" ht="12.75">
      <c r="A123" s="439" t="s">
        <v>217</v>
      </c>
      <c r="B123" s="440">
        <f>B124</f>
        <v>65668</v>
      </c>
      <c r="C123" s="440">
        <f>C124</f>
        <v>65668</v>
      </c>
      <c r="D123" s="440">
        <f>D124</f>
        <v>0</v>
      </c>
      <c r="E123" s="435">
        <f t="shared" si="28"/>
        <v>0</v>
      </c>
      <c r="F123" s="435"/>
      <c r="G123" s="429">
        <f>D123-'[9]Augusts'!D123</f>
        <v>0</v>
      </c>
      <c r="H123" s="439" t="s">
        <v>217</v>
      </c>
      <c r="I123" s="440">
        <f>I124</f>
        <v>66</v>
      </c>
      <c r="J123" s="440">
        <f>J124</f>
        <v>66</v>
      </c>
      <c r="K123" s="440">
        <f>K124</f>
        <v>0</v>
      </c>
      <c r="L123" s="441">
        <f t="shared" si="21"/>
        <v>0</v>
      </c>
      <c r="M123" s="441">
        <f t="shared" si="30"/>
        <v>0</v>
      </c>
      <c r="N123" s="440">
        <f>K123-'[9]Augusts'!K123</f>
        <v>0</v>
      </c>
    </row>
    <row r="124" spans="1:14" ht="12.75">
      <c r="A124" s="442" t="s">
        <v>214</v>
      </c>
      <c r="B124" s="443">
        <v>65668</v>
      </c>
      <c r="C124" s="443">
        <v>65668</v>
      </c>
      <c r="D124" s="443"/>
      <c r="E124" s="435">
        <f t="shared" si="28"/>
        <v>0</v>
      </c>
      <c r="F124" s="435"/>
      <c r="G124" s="429">
        <f>D124-'[9]Augusts'!D124</f>
        <v>0</v>
      </c>
      <c r="H124" s="442" t="s">
        <v>214</v>
      </c>
      <c r="I124" s="443">
        <f>ROUND(B124/1000,0)</f>
        <v>66</v>
      </c>
      <c r="J124" s="443">
        <f>ROUND(C124/1000,0)</f>
        <v>66</v>
      </c>
      <c r="K124" s="443">
        <f>ROUND(D124/1000,0)</f>
        <v>0</v>
      </c>
      <c r="L124" s="81">
        <f t="shared" si="21"/>
        <v>0</v>
      </c>
      <c r="M124" s="81">
        <f t="shared" si="30"/>
        <v>0</v>
      </c>
      <c r="N124" s="443">
        <f>K124-'[9]Augusts'!K124</f>
        <v>0</v>
      </c>
    </row>
    <row r="125" spans="1:14" s="436" customFormat="1" ht="12.75">
      <c r="A125" s="439" t="s">
        <v>224</v>
      </c>
      <c r="B125" s="440">
        <f>B126</f>
        <v>6567</v>
      </c>
      <c r="C125" s="440">
        <f>C126</f>
        <v>3752</v>
      </c>
      <c r="D125" s="440">
        <f>D126</f>
        <v>0</v>
      </c>
      <c r="E125" s="435">
        <f t="shared" si="28"/>
        <v>0</v>
      </c>
      <c r="F125" s="435"/>
      <c r="G125" s="429">
        <f>D125-'[9]Augusts'!D125</f>
        <v>0</v>
      </c>
      <c r="H125" s="439" t="s">
        <v>224</v>
      </c>
      <c r="I125" s="440">
        <f>I126</f>
        <v>7</v>
      </c>
      <c r="J125" s="440">
        <f>J126</f>
        <v>4</v>
      </c>
      <c r="K125" s="440">
        <f>K126</f>
        <v>0</v>
      </c>
      <c r="L125" s="441">
        <f t="shared" si="21"/>
        <v>0</v>
      </c>
      <c r="M125" s="441">
        <f t="shared" si="30"/>
        <v>0</v>
      </c>
      <c r="N125" s="440">
        <f>K125-'[9]Augusts'!K125</f>
        <v>0</v>
      </c>
    </row>
    <row r="126" spans="1:104" s="60" customFormat="1" ht="12.75">
      <c r="A126" s="442" t="s">
        <v>214</v>
      </c>
      <c r="B126" s="443">
        <v>6567</v>
      </c>
      <c r="C126" s="443">
        <v>3752</v>
      </c>
      <c r="D126" s="443"/>
      <c r="E126" s="435">
        <f t="shared" si="28"/>
        <v>0</v>
      </c>
      <c r="F126" s="435"/>
      <c r="G126" s="443">
        <f>D126-'[9]Augusts'!D126</f>
        <v>0</v>
      </c>
      <c r="H126" s="442" t="s">
        <v>214</v>
      </c>
      <c r="I126" s="443">
        <f>ROUND(B126/1000,0)</f>
        <v>7</v>
      </c>
      <c r="J126" s="443">
        <f>ROUND(C126/1000,0)</f>
        <v>4</v>
      </c>
      <c r="K126" s="443">
        <f>ROUND(D126/1000,0)</f>
        <v>0</v>
      </c>
      <c r="L126" s="81">
        <f t="shared" si="21"/>
        <v>0</v>
      </c>
      <c r="M126" s="81">
        <f t="shared" si="30"/>
        <v>0</v>
      </c>
      <c r="N126" s="443">
        <f>K126-'[9]Augusts'!K126</f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</row>
    <row r="127" spans="1:104" s="83" customFormat="1" ht="24">
      <c r="A127" s="447" t="s">
        <v>466</v>
      </c>
      <c r="B127" s="366">
        <f>SUM(B128+B130)</f>
        <v>342731</v>
      </c>
      <c r="C127" s="366">
        <f>SUM(C128+C130)</f>
        <v>342731</v>
      </c>
      <c r="D127" s="366">
        <f>SUM(D128+D130)</f>
        <v>330491</v>
      </c>
      <c r="E127" s="435">
        <f t="shared" si="28"/>
        <v>0.964286860540774</v>
      </c>
      <c r="F127" s="435"/>
      <c r="G127" s="366">
        <f>D127-'[9]Augusts'!D127</f>
        <v>174581</v>
      </c>
      <c r="H127" s="447" t="s">
        <v>466</v>
      </c>
      <c r="I127" s="366">
        <f>I128+I130</f>
        <v>343</v>
      </c>
      <c r="J127" s="366">
        <f>J128+J130</f>
        <v>342</v>
      </c>
      <c r="K127" s="366">
        <f>K128+K130</f>
        <v>330</v>
      </c>
      <c r="L127" s="58">
        <f t="shared" si="21"/>
        <v>96.20991253644316</v>
      </c>
      <c r="M127" s="58">
        <f t="shared" si="30"/>
        <v>96.49122807017544</v>
      </c>
      <c r="N127" s="366">
        <f>K127-'[9]Augusts'!K127</f>
        <v>174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</row>
    <row r="128" spans="1:104" s="83" customFormat="1" ht="12.75">
      <c r="A128" s="439" t="s">
        <v>217</v>
      </c>
      <c r="B128" s="440">
        <f>SUM(B129)</f>
        <v>168150</v>
      </c>
      <c r="C128" s="440">
        <f>SUM(C129)</f>
        <v>168150</v>
      </c>
      <c r="D128" s="440">
        <f>SUM(D129)</f>
        <v>155910</v>
      </c>
      <c r="E128" s="435">
        <f t="shared" si="28"/>
        <v>0.9272078501338091</v>
      </c>
      <c r="F128" s="435"/>
      <c r="G128" s="440">
        <f>D128-'[9]Augusts'!D128</f>
        <v>0</v>
      </c>
      <c r="H128" s="439" t="s">
        <v>217</v>
      </c>
      <c r="I128" s="440">
        <f>I129</f>
        <v>168</v>
      </c>
      <c r="J128" s="440">
        <f>J129</f>
        <v>168</v>
      </c>
      <c r="K128" s="440">
        <f>K129</f>
        <v>156</v>
      </c>
      <c r="L128" s="441">
        <f t="shared" si="21"/>
        <v>92.85714285714286</v>
      </c>
      <c r="M128" s="441">
        <f t="shared" si="30"/>
        <v>92.85714285714286</v>
      </c>
      <c r="N128" s="440">
        <f>K128-'[9]Augusts'!K128</f>
        <v>0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</row>
    <row r="129" spans="1:104" s="83" customFormat="1" ht="12.75">
      <c r="A129" s="442" t="s">
        <v>214</v>
      </c>
      <c r="B129" s="443">
        <v>168150</v>
      </c>
      <c r="C129" s="443">
        <v>168150</v>
      </c>
      <c r="D129" s="443">
        <v>155910</v>
      </c>
      <c r="E129" s="435">
        <f t="shared" si="28"/>
        <v>0.9272078501338091</v>
      </c>
      <c r="F129" s="435"/>
      <c r="G129" s="443">
        <f>D129-'[9]Augusts'!D129</f>
        <v>0</v>
      </c>
      <c r="H129" s="442" t="s">
        <v>214</v>
      </c>
      <c r="I129" s="443">
        <f>ROUND(B129/1000,0)</f>
        <v>168</v>
      </c>
      <c r="J129" s="443">
        <f>ROUND(C129/1000,0)</f>
        <v>168</v>
      </c>
      <c r="K129" s="443">
        <f>ROUND(D129/1000,0)</f>
        <v>156</v>
      </c>
      <c r="L129" s="81">
        <f t="shared" si="21"/>
        <v>92.85714285714286</v>
      </c>
      <c r="M129" s="81">
        <f t="shared" si="30"/>
        <v>92.85714285714286</v>
      </c>
      <c r="N129" s="443">
        <f>K129-'[9]Augusts'!K129</f>
        <v>0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</row>
    <row r="130" spans="1:14" s="436" customFormat="1" ht="12.75">
      <c r="A130" s="439" t="s">
        <v>224</v>
      </c>
      <c r="B130" s="440">
        <f>SUM(B131)</f>
        <v>174581</v>
      </c>
      <c r="C130" s="440">
        <f>SUM(C131)</f>
        <v>174581</v>
      </c>
      <c r="D130" s="440">
        <f>SUM(D131)</f>
        <v>174581</v>
      </c>
      <c r="E130" s="435">
        <f t="shared" si="28"/>
        <v>1</v>
      </c>
      <c r="F130" s="435"/>
      <c r="G130" s="440">
        <f>D130-'[9]Augusts'!D130</f>
        <v>174581</v>
      </c>
      <c r="H130" s="439" t="s">
        <v>224</v>
      </c>
      <c r="I130" s="440">
        <f>SUM(I131)</f>
        <v>175</v>
      </c>
      <c r="J130" s="440">
        <f>SUM(J131)</f>
        <v>174</v>
      </c>
      <c r="K130" s="440">
        <f>SUM(K131)</f>
        <v>174</v>
      </c>
      <c r="L130" s="441">
        <f t="shared" si="21"/>
        <v>99.42857142857143</v>
      </c>
      <c r="M130" s="441">
        <f t="shared" si="30"/>
        <v>100</v>
      </c>
      <c r="N130" s="440">
        <f>K130-'[9]Augusts'!K130</f>
        <v>174</v>
      </c>
    </row>
    <row r="131" spans="1:104" s="60" customFormat="1" ht="12.75">
      <c r="A131" s="442" t="s">
        <v>214</v>
      </c>
      <c r="B131" s="443">
        <v>174581</v>
      </c>
      <c r="C131" s="443">
        <v>174581</v>
      </c>
      <c r="D131" s="443">
        <v>174581</v>
      </c>
      <c r="E131" s="435">
        <f t="shared" si="28"/>
        <v>1</v>
      </c>
      <c r="F131" s="435"/>
      <c r="G131" s="443">
        <f>D131-'[9]Augusts'!D131</f>
        <v>174581</v>
      </c>
      <c r="H131" s="442" t="s">
        <v>214</v>
      </c>
      <c r="I131" s="443">
        <f>ROUND(B131/1000,0)</f>
        <v>175</v>
      </c>
      <c r="J131" s="443">
        <f>ROUND(C131/1000,0)-1</f>
        <v>174</v>
      </c>
      <c r="K131" s="443">
        <f>ROUND(D131/1000,0)-1</f>
        <v>174</v>
      </c>
      <c r="L131" s="81">
        <f t="shared" si="21"/>
        <v>99.42857142857143</v>
      </c>
      <c r="M131" s="81">
        <f t="shared" si="30"/>
        <v>100</v>
      </c>
      <c r="N131" s="443">
        <f>K131-'[9]Augusts'!K131</f>
        <v>174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</row>
    <row r="132" spans="1:14" ht="12.75">
      <c r="A132" s="432" t="s">
        <v>225</v>
      </c>
      <c r="B132" s="451" t="s">
        <v>226</v>
      </c>
      <c r="C132" s="451" t="s">
        <v>226</v>
      </c>
      <c r="D132" s="430">
        <f>D133+D134</f>
        <v>0</v>
      </c>
      <c r="E132" s="451" t="s">
        <v>226</v>
      </c>
      <c r="F132" s="451" t="s">
        <v>226</v>
      </c>
      <c r="G132" s="429"/>
      <c r="H132" s="432" t="s">
        <v>225</v>
      </c>
      <c r="I132" s="451" t="s">
        <v>226</v>
      </c>
      <c r="J132" s="451" t="s">
        <v>226</v>
      </c>
      <c r="K132" s="430">
        <f>K133+K134</f>
        <v>0</v>
      </c>
      <c r="L132" s="451" t="s">
        <v>226</v>
      </c>
      <c r="M132" s="451" t="s">
        <v>226</v>
      </c>
      <c r="N132" s="430">
        <v>0</v>
      </c>
    </row>
    <row r="133" spans="1:14" ht="12.75">
      <c r="A133" s="442" t="s">
        <v>214</v>
      </c>
      <c r="B133" s="452" t="s">
        <v>226</v>
      </c>
      <c r="C133" s="452" t="s">
        <v>226</v>
      </c>
      <c r="D133" s="443"/>
      <c r="E133" s="452" t="s">
        <v>226</v>
      </c>
      <c r="F133" s="452" t="s">
        <v>226</v>
      </c>
      <c r="G133" s="429"/>
      <c r="H133" s="442" t="s">
        <v>214</v>
      </c>
      <c r="I133" s="452" t="s">
        <v>226</v>
      </c>
      <c r="J133" s="452" t="s">
        <v>226</v>
      </c>
      <c r="K133" s="443">
        <f>ROUND(D133/1000,0)</f>
        <v>0</v>
      </c>
      <c r="L133" s="452" t="s">
        <v>226</v>
      </c>
      <c r="M133" s="452" t="s">
        <v>226</v>
      </c>
      <c r="N133" s="443">
        <v>0</v>
      </c>
    </row>
    <row r="134" spans="1:14" ht="12.75">
      <c r="A134" s="442" t="s">
        <v>215</v>
      </c>
      <c r="B134" s="452" t="s">
        <v>226</v>
      </c>
      <c r="C134" s="452" t="s">
        <v>226</v>
      </c>
      <c r="D134" s="443"/>
      <c r="E134" s="452" t="s">
        <v>226</v>
      </c>
      <c r="F134" s="452" t="s">
        <v>226</v>
      </c>
      <c r="G134" s="429"/>
      <c r="H134" s="442" t="s">
        <v>215</v>
      </c>
      <c r="I134" s="452" t="s">
        <v>226</v>
      </c>
      <c r="J134" s="452" t="s">
        <v>226</v>
      </c>
      <c r="K134" s="443">
        <f>ROUND(D134/1000,0)</f>
        <v>0</v>
      </c>
      <c r="L134" s="452" t="s">
        <v>226</v>
      </c>
      <c r="M134" s="452" t="s">
        <v>226</v>
      </c>
      <c r="N134" s="443">
        <v>0</v>
      </c>
    </row>
    <row r="135" ht="12.75">
      <c r="H135" s="38"/>
    </row>
    <row r="138" spans="8:14" ht="12.75">
      <c r="H138" s="841" t="s">
        <v>467</v>
      </c>
      <c r="I138" s="841"/>
      <c r="J138" s="841"/>
      <c r="K138" s="841"/>
      <c r="L138" s="841"/>
      <c r="M138" s="841"/>
      <c r="N138" s="841"/>
    </row>
    <row r="142" spans="8:14" ht="12.75">
      <c r="H142" s="1"/>
      <c r="I142" s="1"/>
      <c r="J142" s="1"/>
      <c r="K142" s="1"/>
      <c r="L142" s="1"/>
      <c r="M142" s="1"/>
      <c r="N142" s="1"/>
    </row>
    <row r="143" spans="8:14" ht="12.75">
      <c r="H143" s="1" t="s">
        <v>823</v>
      </c>
      <c r="I143" s="1"/>
      <c r="J143" s="1"/>
      <c r="K143" s="1"/>
      <c r="L143" s="1"/>
      <c r="M143" s="1"/>
      <c r="N143" s="1"/>
    </row>
    <row r="144" spans="8:14" ht="12.75">
      <c r="H144" s="1" t="s">
        <v>100</v>
      </c>
      <c r="I144" s="1"/>
      <c r="J144" s="1"/>
      <c r="K144" s="1"/>
      <c r="L144" s="1"/>
      <c r="M144" s="1"/>
      <c r="N144" s="1"/>
    </row>
    <row r="145" spans="8:14" ht="12.75">
      <c r="H145" s="1"/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8:14" ht="12.75">
      <c r="H148" s="1"/>
      <c r="I148" s="1"/>
      <c r="J148" s="1"/>
      <c r="K148" s="1"/>
      <c r="L148" s="1"/>
      <c r="M148" s="1"/>
      <c r="N148" s="1"/>
    </row>
    <row r="149" spans="8:14" ht="12.75">
      <c r="H149" s="1"/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8:14" ht="12.75">
      <c r="H152" s="1"/>
      <c r="I152" s="1"/>
      <c r="J152" s="1"/>
      <c r="K152" s="1"/>
      <c r="L152" s="1"/>
      <c r="M152" s="1"/>
      <c r="N152" s="1"/>
    </row>
    <row r="153" spans="8:14" ht="12.75">
      <c r="H153" s="1"/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8:14" ht="12.75">
      <c r="H156" s="1"/>
      <c r="I156" s="1"/>
      <c r="J156" s="1"/>
      <c r="K156" s="1"/>
      <c r="L156" s="1"/>
      <c r="M156" s="1"/>
      <c r="N156" s="1"/>
    </row>
    <row r="157" spans="8:14" ht="12.75">
      <c r="H157" s="1"/>
      <c r="I157" s="1"/>
      <c r="J157" s="1"/>
      <c r="K157" s="1"/>
      <c r="L157" s="1"/>
      <c r="M157" s="1"/>
      <c r="N157" s="1"/>
    </row>
    <row r="158" spans="8:14" ht="12.75">
      <c r="H158" s="1"/>
      <c r="I158" s="1"/>
      <c r="J158" s="1"/>
      <c r="K158" s="1"/>
      <c r="L158" s="1"/>
      <c r="M158" s="1"/>
      <c r="N158" s="1"/>
    </row>
    <row r="159" spans="8:14" ht="12.75">
      <c r="H159" s="1"/>
      <c r="I159" s="1"/>
      <c r="J159" s="1"/>
      <c r="K159" s="1"/>
      <c r="L159" s="1"/>
      <c r="M159" s="1"/>
      <c r="N159" s="1"/>
    </row>
    <row r="160" spans="8:14" ht="12.75">
      <c r="H160" s="1"/>
      <c r="I160" s="1"/>
      <c r="J160" s="1"/>
      <c r="K160" s="1"/>
      <c r="L160" s="1"/>
      <c r="M160" s="1"/>
      <c r="N160" s="1"/>
    </row>
    <row r="161" spans="8:14" ht="12.75">
      <c r="H161" s="1"/>
      <c r="I161" s="1"/>
      <c r="J161" s="1"/>
      <c r="K161" s="1"/>
      <c r="L161" s="1"/>
      <c r="M161" s="1"/>
      <c r="N161" s="1"/>
    </row>
    <row r="162" spans="8:14" ht="12.75">
      <c r="H162" s="1"/>
      <c r="I162" s="1"/>
      <c r="J162" s="1"/>
      <c r="K162" s="1"/>
      <c r="L162" s="1"/>
      <c r="M162" s="1"/>
      <c r="N162" s="1"/>
    </row>
    <row r="163" spans="8:14" ht="12.75">
      <c r="H163" s="1"/>
      <c r="I163" s="1"/>
      <c r="J163" s="1"/>
      <c r="K163" s="1"/>
      <c r="L163" s="1"/>
      <c r="M163" s="1"/>
      <c r="N163" s="1"/>
    </row>
    <row r="164" spans="8:14" ht="12.75">
      <c r="H164" s="1"/>
      <c r="I164" s="1"/>
      <c r="J164" s="1"/>
      <c r="K164" s="1"/>
      <c r="L164" s="1"/>
      <c r="M164" s="1"/>
      <c r="N164" s="1"/>
    </row>
    <row r="165" spans="8:14" ht="12.75">
      <c r="H165" s="1"/>
      <c r="I165" s="1"/>
      <c r="J165" s="1"/>
      <c r="K165" s="1"/>
      <c r="L165" s="1"/>
      <c r="M165" s="1"/>
      <c r="N165" s="1"/>
    </row>
    <row r="166" spans="8:14" ht="12.75">
      <c r="H166" s="1"/>
      <c r="I166" s="1"/>
      <c r="J166" s="1"/>
      <c r="K166" s="1"/>
      <c r="L166" s="1"/>
      <c r="M166" s="1"/>
      <c r="N166" s="1"/>
    </row>
    <row r="167" spans="8:14" ht="12.75">
      <c r="H167" s="1"/>
      <c r="I167" s="1"/>
      <c r="J167" s="1"/>
      <c r="K167" s="1"/>
      <c r="L167" s="1"/>
      <c r="M167" s="1"/>
      <c r="N167" s="1"/>
    </row>
    <row r="168" spans="8:14" ht="12.75">
      <c r="H168" s="1"/>
      <c r="I168" s="1"/>
      <c r="J168" s="1"/>
      <c r="K168" s="1"/>
      <c r="L168" s="1"/>
      <c r="M168" s="1"/>
      <c r="N168" s="1"/>
    </row>
    <row r="169" spans="8:14" ht="12.75">
      <c r="H169" s="1"/>
      <c r="I169" s="1"/>
      <c r="J169" s="1"/>
      <c r="K169" s="1"/>
      <c r="L169" s="1"/>
      <c r="M169" s="1"/>
      <c r="N169" s="1"/>
    </row>
    <row r="170" spans="8:14" ht="12.75">
      <c r="H170" s="1"/>
      <c r="I170" s="1"/>
      <c r="J170" s="1"/>
      <c r="K170" s="1"/>
      <c r="L170" s="1"/>
      <c r="M170" s="1"/>
      <c r="N170" s="1"/>
    </row>
    <row r="171" spans="8:14" ht="12.75">
      <c r="H171" s="1"/>
      <c r="I171" s="1"/>
      <c r="J171" s="1"/>
      <c r="K171" s="1"/>
      <c r="L171" s="1"/>
      <c r="M171" s="1"/>
      <c r="N171" s="1"/>
    </row>
    <row r="172" spans="8:14" ht="12.75">
      <c r="H172" s="1"/>
      <c r="I172" s="1"/>
      <c r="J172" s="1"/>
      <c r="K172" s="1"/>
      <c r="L172" s="1"/>
      <c r="M172" s="1"/>
      <c r="N172" s="1"/>
    </row>
    <row r="173" spans="8:14" ht="12.75">
      <c r="H173" s="1"/>
      <c r="I173" s="1"/>
      <c r="J173" s="1"/>
      <c r="K173" s="1"/>
      <c r="L173" s="1"/>
      <c r="M173" s="1"/>
      <c r="N173" s="1"/>
    </row>
    <row r="174" spans="8:14" ht="12.75">
      <c r="H174" s="1"/>
      <c r="I174" s="1"/>
      <c r="J174" s="1"/>
      <c r="K174" s="1"/>
      <c r="L174" s="1"/>
      <c r="M174" s="1"/>
      <c r="N174" s="1"/>
    </row>
    <row r="175" spans="8:14" ht="12.75">
      <c r="H175" s="1"/>
      <c r="I175" s="1"/>
      <c r="J175" s="1"/>
      <c r="K175" s="1"/>
      <c r="L175" s="1"/>
      <c r="M175" s="1"/>
      <c r="N175" s="1"/>
    </row>
    <row r="176" spans="8:14" ht="12.75">
      <c r="H176" s="1"/>
      <c r="I176" s="1"/>
      <c r="J176" s="1"/>
      <c r="K176" s="1"/>
      <c r="L176" s="1"/>
      <c r="M176" s="1"/>
      <c r="N176" s="1"/>
    </row>
    <row r="177" spans="8:14" ht="12.75">
      <c r="H177" s="1"/>
      <c r="I177" s="1"/>
      <c r="J177" s="1"/>
      <c r="K177" s="1"/>
      <c r="L177" s="1"/>
      <c r="M177" s="1"/>
      <c r="N177" s="1"/>
    </row>
    <row r="178" spans="8:14" ht="12.75">
      <c r="H178" s="1"/>
      <c r="I178" s="1"/>
      <c r="J178" s="1"/>
      <c r="K178" s="1"/>
      <c r="L178" s="1"/>
      <c r="M178" s="1"/>
      <c r="N178" s="1"/>
    </row>
    <row r="179" spans="8:14" ht="12.75">
      <c r="H179" s="1"/>
      <c r="I179" s="1"/>
      <c r="J179" s="1"/>
      <c r="K179" s="1"/>
      <c r="L179" s="1"/>
      <c r="M179" s="1"/>
      <c r="N179" s="1"/>
    </row>
    <row r="180" spans="8:14" ht="12.75">
      <c r="H180" s="1"/>
      <c r="I180" s="1"/>
      <c r="J180" s="1"/>
      <c r="K180" s="1"/>
      <c r="L180" s="1"/>
      <c r="M180" s="1"/>
      <c r="N180" s="1"/>
    </row>
    <row r="181" spans="8:14" ht="12.75">
      <c r="H181" s="1"/>
      <c r="I181" s="1"/>
      <c r="J181" s="1"/>
      <c r="K181" s="1"/>
      <c r="L181" s="1"/>
      <c r="M181" s="1"/>
      <c r="N181" s="1"/>
    </row>
    <row r="182" spans="8:14" ht="12.75">
      <c r="H182" s="1"/>
      <c r="I182" s="1"/>
      <c r="J182" s="1"/>
      <c r="K182" s="1"/>
      <c r="L182" s="1"/>
      <c r="M182" s="1"/>
      <c r="N182" s="1"/>
    </row>
    <row r="183" spans="8:14" ht="12.75">
      <c r="H183" s="1"/>
      <c r="I183" s="1"/>
      <c r="J183" s="1"/>
      <c r="K183" s="1"/>
      <c r="L183" s="1"/>
      <c r="M183" s="1"/>
      <c r="N183" s="1"/>
    </row>
    <row r="184" spans="8:14" ht="12.75">
      <c r="H184" s="1"/>
      <c r="I184" s="1"/>
      <c r="J184" s="1"/>
      <c r="K184" s="1"/>
      <c r="L184" s="1"/>
      <c r="M184" s="1"/>
      <c r="N184" s="1"/>
    </row>
    <row r="185" spans="8:14" ht="12.75">
      <c r="H185" s="1"/>
      <c r="I185" s="1"/>
      <c r="J185" s="1"/>
      <c r="K185" s="1"/>
      <c r="L185" s="1"/>
      <c r="M185" s="1"/>
      <c r="N185" s="1"/>
    </row>
    <row r="186" spans="8:14" ht="12.75">
      <c r="H186" s="1"/>
      <c r="I186" s="1"/>
      <c r="J186" s="1"/>
      <c r="K186" s="1"/>
      <c r="L186" s="1"/>
      <c r="M186" s="1"/>
      <c r="N186" s="1"/>
    </row>
    <row r="187" spans="8:14" ht="12.75">
      <c r="H187" s="1"/>
      <c r="I187" s="1"/>
      <c r="J187" s="1"/>
      <c r="K187" s="1"/>
      <c r="L187" s="1"/>
      <c r="M187" s="1"/>
      <c r="N187" s="1"/>
    </row>
    <row r="188" spans="8:14" ht="12.75">
      <c r="H188" s="1"/>
      <c r="I188" s="1"/>
      <c r="J188" s="1"/>
      <c r="K188" s="1"/>
      <c r="L188" s="1"/>
      <c r="M188" s="1"/>
      <c r="N188" s="1"/>
    </row>
    <row r="189" spans="8:14" ht="12.75">
      <c r="H189" s="1"/>
      <c r="I189" s="1"/>
      <c r="J189" s="1"/>
      <c r="K189" s="1"/>
      <c r="L189" s="1"/>
      <c r="M189" s="1"/>
      <c r="N189" s="1"/>
    </row>
    <row r="190" spans="8:14" ht="12.75">
      <c r="H190" s="1"/>
      <c r="I190" s="1"/>
      <c r="J190" s="1"/>
      <c r="K190" s="1"/>
      <c r="L190" s="1"/>
      <c r="M190" s="1"/>
      <c r="N190" s="1"/>
    </row>
    <row r="191" spans="8:14" ht="12.75">
      <c r="H191" s="1"/>
      <c r="I191" s="1"/>
      <c r="J191" s="1"/>
      <c r="K191" s="1"/>
      <c r="L191" s="1"/>
      <c r="M191" s="1"/>
      <c r="N191" s="1"/>
    </row>
    <row r="192" spans="8:14" ht="12.75">
      <c r="H192" s="1"/>
      <c r="I192" s="1"/>
      <c r="J192" s="1"/>
      <c r="K192" s="1"/>
      <c r="L192" s="1"/>
      <c r="M192" s="1"/>
      <c r="N192" s="1"/>
    </row>
    <row r="193" spans="8:14" ht="12.75">
      <c r="H193" s="1"/>
      <c r="I193" s="1"/>
      <c r="J193" s="1"/>
      <c r="K193" s="1"/>
      <c r="L193" s="1"/>
      <c r="M193" s="1"/>
      <c r="N193" s="1"/>
    </row>
    <row r="194" spans="8:14" ht="12.75">
      <c r="H194" s="1"/>
      <c r="I194" s="1"/>
      <c r="J194" s="1"/>
      <c r="K194" s="1"/>
      <c r="L194" s="1"/>
      <c r="M194" s="1"/>
      <c r="N194" s="1"/>
    </row>
    <row r="195" spans="8:14" ht="12.75">
      <c r="H195" s="1"/>
      <c r="I195" s="1"/>
      <c r="J195" s="1"/>
      <c r="K195" s="1"/>
      <c r="L195" s="1"/>
      <c r="M195" s="1"/>
      <c r="N195" s="1"/>
    </row>
    <row r="196" spans="8:14" ht="12.75">
      <c r="H196" s="1"/>
      <c r="I196" s="1"/>
      <c r="J196" s="1"/>
      <c r="K196" s="1"/>
      <c r="L196" s="1"/>
      <c r="M196" s="1"/>
      <c r="N196" s="1"/>
    </row>
    <row r="197" spans="8:14" ht="12.75">
      <c r="H197" s="1"/>
      <c r="I197" s="1"/>
      <c r="J197" s="1"/>
      <c r="K197" s="1"/>
      <c r="L197" s="1"/>
      <c r="M197" s="1"/>
      <c r="N197" s="1"/>
    </row>
    <row r="198" spans="8:14" ht="12.75">
      <c r="H198" s="1"/>
      <c r="I198" s="1"/>
      <c r="J198" s="1"/>
      <c r="K198" s="1"/>
      <c r="L198" s="1"/>
      <c r="M198" s="1"/>
      <c r="N198" s="1"/>
    </row>
    <row r="199" spans="8:14" ht="12.75">
      <c r="H199" s="1"/>
      <c r="I199" s="1"/>
      <c r="J199" s="1"/>
      <c r="K199" s="1"/>
      <c r="L199" s="1"/>
      <c r="M199" s="1"/>
      <c r="N199" s="1"/>
    </row>
    <row r="200" spans="8:14" ht="12.75">
      <c r="H200" s="1"/>
      <c r="I200" s="1"/>
      <c r="J200" s="1"/>
      <c r="K200" s="1"/>
      <c r="L200" s="1"/>
      <c r="M200" s="1"/>
      <c r="N200" s="1"/>
    </row>
    <row r="201" spans="8:14" ht="12.75">
      <c r="H201" s="1"/>
      <c r="I201" s="1"/>
      <c r="J201" s="1"/>
      <c r="K201" s="1"/>
      <c r="L201" s="1"/>
      <c r="M201" s="1"/>
      <c r="N201" s="1"/>
    </row>
    <row r="202" spans="8:14" ht="12.75">
      <c r="H202" s="1"/>
      <c r="I202" s="1"/>
      <c r="J202" s="1"/>
      <c r="K202" s="1"/>
      <c r="L202" s="1"/>
      <c r="M202" s="1"/>
      <c r="N202" s="1"/>
    </row>
    <row r="203" spans="8:14" ht="12.75">
      <c r="H203" s="1"/>
      <c r="I203" s="1"/>
      <c r="J203" s="1"/>
      <c r="K203" s="1"/>
      <c r="L203" s="1"/>
      <c r="M203" s="1"/>
      <c r="N203" s="1"/>
    </row>
    <row r="204" spans="8:14" ht="12.75">
      <c r="H204" s="1"/>
      <c r="I204" s="1"/>
      <c r="J204" s="1"/>
      <c r="K204" s="1"/>
      <c r="L204" s="1"/>
      <c r="M204" s="1"/>
      <c r="N204" s="1"/>
    </row>
    <row r="205" spans="8:14" ht="12.75">
      <c r="H205" s="1"/>
      <c r="I205" s="1"/>
      <c r="J205" s="1"/>
      <c r="K205" s="1"/>
      <c r="L205" s="1"/>
      <c r="M205" s="1"/>
      <c r="N205" s="1"/>
    </row>
    <row r="206" spans="8:14" ht="12.75">
      <c r="H206" s="1"/>
      <c r="I206" s="1"/>
      <c r="J206" s="1"/>
      <c r="K206" s="1"/>
      <c r="L206" s="1"/>
      <c r="M206" s="1"/>
      <c r="N206" s="1"/>
    </row>
    <row r="207" spans="8:14" ht="12.75">
      <c r="H207" s="1"/>
      <c r="I207" s="1"/>
      <c r="J207" s="1"/>
      <c r="K207" s="1"/>
      <c r="L207" s="1"/>
      <c r="M207" s="1"/>
      <c r="N207" s="1"/>
    </row>
    <row r="208" spans="8:14" ht="12.75">
      <c r="H208" s="1"/>
      <c r="I208" s="1"/>
      <c r="J208" s="1"/>
      <c r="K208" s="1"/>
      <c r="L208" s="1"/>
      <c r="M208" s="1"/>
      <c r="N208" s="1"/>
    </row>
    <row r="209" spans="8:14" ht="12.75">
      <c r="H209" s="1"/>
      <c r="I209" s="1"/>
      <c r="J209" s="1"/>
      <c r="K209" s="1"/>
      <c r="L209" s="1"/>
      <c r="M209" s="1"/>
      <c r="N209" s="1"/>
    </row>
    <row r="210" spans="8:14" ht="12.75">
      <c r="H210" s="1"/>
      <c r="I210" s="1"/>
      <c r="J210" s="1"/>
      <c r="K210" s="1"/>
      <c r="L210" s="1"/>
      <c r="M210" s="1"/>
      <c r="N210" s="1"/>
    </row>
    <row r="211" spans="8:14" ht="12.75">
      <c r="H211" s="1"/>
      <c r="I211" s="1"/>
      <c r="J211" s="1"/>
      <c r="K211" s="1"/>
      <c r="L211" s="1"/>
      <c r="M211" s="1"/>
      <c r="N211" s="1"/>
    </row>
    <row r="212" spans="8:14" ht="12.75">
      <c r="H212" s="1"/>
      <c r="I212" s="1"/>
      <c r="J212" s="1"/>
      <c r="K212" s="1"/>
      <c r="L212" s="1"/>
      <c r="M212" s="1"/>
      <c r="N212" s="1"/>
    </row>
    <row r="213" spans="8:14" ht="12.75">
      <c r="H213" s="1"/>
      <c r="I213" s="1"/>
      <c r="J213" s="1"/>
      <c r="K213" s="1"/>
      <c r="L213" s="1"/>
      <c r="M213" s="1"/>
      <c r="N213" s="1"/>
    </row>
    <row r="214" spans="8:14" ht="12.75">
      <c r="H214" s="1"/>
      <c r="I214" s="1"/>
      <c r="J214" s="1"/>
      <c r="K214" s="1"/>
      <c r="L214" s="1"/>
      <c r="M214" s="1"/>
      <c r="N214" s="1"/>
    </row>
    <row r="215" spans="8:14" ht="12.75">
      <c r="H215" s="1"/>
      <c r="I215" s="1"/>
      <c r="J215" s="1"/>
      <c r="K215" s="1"/>
      <c r="L215" s="1"/>
      <c r="M215" s="1"/>
      <c r="N215" s="1"/>
    </row>
    <row r="216" spans="8:14" ht="12.75">
      <c r="H216" s="1"/>
      <c r="I216" s="1"/>
      <c r="J216" s="1"/>
      <c r="K216" s="1"/>
      <c r="L216" s="1"/>
      <c r="M216" s="1"/>
      <c r="N216" s="1"/>
    </row>
    <row r="217" spans="8:14" ht="12.75"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H272" s="1"/>
      <c r="I272" s="1"/>
      <c r="J272" s="1"/>
      <c r="K272" s="1"/>
      <c r="L272" s="1"/>
      <c r="M272" s="1"/>
      <c r="N272" s="1"/>
    </row>
  </sheetData>
  <mergeCells count="1">
    <mergeCell ref="H138:N138"/>
  </mergeCells>
  <printOptions/>
  <pageMargins left="0.88" right="0.45" top="1" bottom="0.69" header="0.5" footer="0.27"/>
  <pageSetup firstPageNumber="28" useFirstPageNumber="1" horizontalDpi="600" verticalDpi="600" orientation="portrait" paperSize="9" r:id="rId1"/>
  <headerFooter alignWithMargins="0">
    <oddFooter>&amp;R&amp;8&amp;P</oddFooter>
  </headerFooter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A5" sqref="A5:E5"/>
    </sheetView>
  </sheetViews>
  <sheetFormatPr defaultColWidth="9.140625" defaultRowHeight="17.25" customHeight="1"/>
  <cols>
    <col min="1" max="1" width="46.7109375" style="453" customWidth="1"/>
    <col min="2" max="2" width="8.8515625" style="453" customWidth="1"/>
    <col min="3" max="3" width="10.140625" style="453" customWidth="1"/>
    <col min="4" max="4" width="10.7109375" style="453" customWidth="1"/>
    <col min="5" max="5" width="10.421875" style="453" customWidth="1"/>
  </cols>
  <sheetData>
    <row r="1" spans="2:5" ht="17.25" customHeight="1">
      <c r="B1" s="51"/>
      <c r="C1" s="51"/>
      <c r="D1" s="51"/>
      <c r="E1" s="88" t="s">
        <v>227</v>
      </c>
    </row>
    <row r="2" spans="1:5" ht="17.25" customHeight="1">
      <c r="A2" s="846" t="s">
        <v>747</v>
      </c>
      <c r="B2" s="846"/>
      <c r="C2" s="846"/>
      <c r="D2" s="846"/>
      <c r="E2" s="846"/>
    </row>
    <row r="3" spans="1:5" ht="17.25" customHeight="1">
      <c r="A3" s="49"/>
      <c r="B3" s="49"/>
      <c r="C3" s="49"/>
      <c r="D3" s="49"/>
      <c r="E3" s="49"/>
    </row>
    <row r="4" spans="1:5" ht="31.5" customHeight="1">
      <c r="A4" s="454" t="s">
        <v>228</v>
      </c>
      <c r="B4" s="53"/>
      <c r="C4" s="51"/>
      <c r="D4" s="51"/>
      <c r="E4" s="51"/>
    </row>
    <row r="5" spans="1:5" ht="17.25" customHeight="1">
      <c r="A5" s="842" t="s">
        <v>135</v>
      </c>
      <c r="B5" s="842"/>
      <c r="C5" s="842"/>
      <c r="D5" s="842"/>
      <c r="E5" s="842"/>
    </row>
    <row r="6" spans="1:5" ht="17.25" customHeight="1">
      <c r="A6" s="455"/>
      <c r="B6" s="455"/>
      <c r="C6" s="456"/>
      <c r="D6" s="457"/>
      <c r="E6" s="458" t="s">
        <v>998</v>
      </c>
    </row>
    <row r="7" spans="1:5" ht="33.75">
      <c r="A7" s="9" t="s">
        <v>644</v>
      </c>
      <c r="B7" s="9" t="s">
        <v>229</v>
      </c>
      <c r="C7" s="9" t="s">
        <v>751</v>
      </c>
      <c r="D7" s="9" t="s">
        <v>752</v>
      </c>
      <c r="E7" s="9" t="s">
        <v>101</v>
      </c>
    </row>
    <row r="8" spans="1:5" ht="12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7.25" customHeight="1">
      <c r="A9" s="76" t="s">
        <v>230</v>
      </c>
      <c r="B9" s="368">
        <f>B17+B21</f>
        <v>435793</v>
      </c>
      <c r="C9" s="368">
        <f>C17+C21</f>
        <v>329887</v>
      </c>
      <c r="D9" s="104">
        <f aca="true" t="shared" si="0" ref="D9:D29">C9/B9*100</f>
        <v>75.6980951965727</v>
      </c>
      <c r="E9" s="368">
        <f>E17+E21</f>
        <v>31920</v>
      </c>
    </row>
    <row r="10" spans="1:5" ht="17.25" customHeight="1">
      <c r="A10" s="32" t="s">
        <v>231</v>
      </c>
      <c r="B10" s="368">
        <f>SUM(B11:B14)</f>
        <v>442883</v>
      </c>
      <c r="C10" s="368">
        <f>SUM(C11:C14)</f>
        <v>334949</v>
      </c>
      <c r="D10" s="104">
        <f t="shared" si="0"/>
        <v>75.62922939015496</v>
      </c>
      <c r="E10" s="368">
        <f>SUM(E11:E14)</f>
        <v>32900</v>
      </c>
    </row>
    <row r="11" spans="1:5" ht="12.75">
      <c r="A11" s="218" t="s">
        <v>232</v>
      </c>
      <c r="B11" s="368">
        <f>'[1]Septembris'!$G$11</f>
        <v>244966</v>
      </c>
      <c r="C11" s="368">
        <f>'[1]Septembris'!$H$11</f>
        <v>185904</v>
      </c>
      <c r="D11" s="104">
        <f t="shared" si="0"/>
        <v>75.88971530743042</v>
      </c>
      <c r="E11" s="368">
        <f>C11-'[24]Augusts'!C11</f>
        <v>18887</v>
      </c>
    </row>
    <row r="12" spans="1:5" ht="12.75">
      <c r="A12" s="218" t="s">
        <v>233</v>
      </c>
      <c r="B12" s="368">
        <f>'[1]Septembris'!$G$22</f>
        <v>18231</v>
      </c>
      <c r="C12" s="368">
        <f>'[1]Septembris'!$H$22</f>
        <v>13013</v>
      </c>
      <c r="D12" s="104">
        <f t="shared" si="0"/>
        <v>71.37842137019362</v>
      </c>
      <c r="E12" s="368">
        <f>C12-'[24]Augusts'!C12</f>
        <v>982</v>
      </c>
    </row>
    <row r="13" spans="1:5" ht="12.75">
      <c r="A13" s="218" t="s">
        <v>234</v>
      </c>
      <c r="B13" s="368">
        <f>'[1]Septembris'!$G$29</f>
        <v>25321</v>
      </c>
      <c r="C13" s="368">
        <f>'[1]Septembris'!$H$29</f>
        <v>18802</v>
      </c>
      <c r="D13" s="104">
        <f t="shared" si="0"/>
        <v>74.25457130445085</v>
      </c>
      <c r="E13" s="368">
        <f>C13-'[24]Augusts'!C13</f>
        <v>1855</v>
      </c>
    </row>
    <row r="14" spans="1:5" ht="12.75">
      <c r="A14" s="218" t="s">
        <v>235</v>
      </c>
      <c r="B14" s="368">
        <f>'[1]Septembris'!$G$30</f>
        <v>154365</v>
      </c>
      <c r="C14" s="368">
        <f>'[1]Septembris'!$H$30</f>
        <v>117230</v>
      </c>
      <c r="D14" s="104">
        <f t="shared" si="0"/>
        <v>75.9433809477537</v>
      </c>
      <c r="E14" s="368">
        <f>C14-'[24]Augusts'!C14</f>
        <v>11176</v>
      </c>
    </row>
    <row r="15" spans="1:5" ht="25.5">
      <c r="A15" s="459" t="s">
        <v>236</v>
      </c>
      <c r="B15" s="368">
        <f>'[1]Septembris'!$G$31</f>
        <v>8719</v>
      </c>
      <c r="C15" s="368">
        <f>'[1]Septembris'!$H$31</f>
        <v>6146</v>
      </c>
      <c r="D15" s="104">
        <f t="shared" si="0"/>
        <v>70.48973506136025</v>
      </c>
      <c r="E15" s="368">
        <f>C15-'[24]Augusts'!C15</f>
        <v>741</v>
      </c>
    </row>
    <row r="16" spans="1:5" ht="25.5">
      <c r="A16" s="460" t="s">
        <v>237</v>
      </c>
      <c r="B16" s="368">
        <f>'[3]Septembris'!$G$34</f>
        <v>27208</v>
      </c>
      <c r="C16" s="368">
        <f>'[3]Septembris'!$H$34</f>
        <v>20298</v>
      </c>
      <c r="D16" s="104">
        <f t="shared" si="0"/>
        <v>74.60305792413996</v>
      </c>
      <c r="E16" s="368">
        <f>C16-'[24]Augusts'!C16</f>
        <v>2283</v>
      </c>
    </row>
    <row r="17" spans="1:5" ht="12.75">
      <c r="A17" s="76" t="s">
        <v>238</v>
      </c>
      <c r="B17" s="368">
        <f>B10-B15-B16</f>
        <v>406956</v>
      </c>
      <c r="C17" s="368">
        <f>C10-C15-C16</f>
        <v>308505</v>
      </c>
      <c r="D17" s="104">
        <f t="shared" si="0"/>
        <v>75.80794975378173</v>
      </c>
      <c r="E17" s="368">
        <f>E10-E15-E16</f>
        <v>29876</v>
      </c>
    </row>
    <row r="18" spans="1:5" ht="25.5">
      <c r="A18" s="76" t="s">
        <v>239</v>
      </c>
      <c r="B18" s="368">
        <f>B19</f>
        <v>38186</v>
      </c>
      <c r="C18" s="368">
        <f>C19</f>
        <v>30580</v>
      </c>
      <c r="D18" s="104">
        <f t="shared" si="0"/>
        <v>80.08170533703452</v>
      </c>
      <c r="E18" s="368">
        <f>C18-'[24]Augusts'!C18</f>
        <v>3452</v>
      </c>
    </row>
    <row r="19" spans="1:5" ht="25.5">
      <c r="A19" s="69" t="s">
        <v>240</v>
      </c>
      <c r="B19" s="368">
        <f>'[7]Septembris'!$B$9</f>
        <v>38186</v>
      </c>
      <c r="C19" s="368">
        <f>'[7]Septembris'!$C$9</f>
        <v>30580</v>
      </c>
      <c r="D19" s="104">
        <f t="shared" si="0"/>
        <v>80.08170533703452</v>
      </c>
      <c r="E19" s="368">
        <f>C19-'[24]Augusts'!C19</f>
        <v>3452</v>
      </c>
    </row>
    <row r="20" spans="1:5" ht="25.5">
      <c r="A20" s="460" t="s">
        <v>241</v>
      </c>
      <c r="B20" s="368">
        <f>'[7]Septembris'!$B$10</f>
        <v>9349</v>
      </c>
      <c r="C20" s="368">
        <f>'[7]Septembris'!$C$10</f>
        <v>9198</v>
      </c>
      <c r="D20" s="104">
        <f t="shared" si="0"/>
        <v>98.3848539950797</v>
      </c>
      <c r="E20" s="368">
        <f>C20-'[24]Augusts'!C20</f>
        <v>1408</v>
      </c>
    </row>
    <row r="21" spans="1:5" ht="17.25" customHeight="1">
      <c r="A21" s="76" t="s">
        <v>242</v>
      </c>
      <c r="B21" s="368">
        <f>B18-B20</f>
        <v>28837</v>
      </c>
      <c r="C21" s="368">
        <f>C18-C20</f>
        <v>21382</v>
      </c>
      <c r="D21" s="104">
        <f t="shared" si="0"/>
        <v>74.14779623400493</v>
      </c>
      <c r="E21" s="368">
        <f>E18-E20</f>
        <v>2044</v>
      </c>
    </row>
    <row r="22" spans="1:5" ht="25.5">
      <c r="A22" s="461" t="s">
        <v>243</v>
      </c>
      <c r="B22" s="374">
        <f>SUM(B23:B25)</f>
        <v>488979</v>
      </c>
      <c r="C22" s="374">
        <f>SUM(C23:C25)</f>
        <v>349540</v>
      </c>
      <c r="D22" s="104">
        <f t="shared" si="0"/>
        <v>71.48364244681264</v>
      </c>
      <c r="E22" s="374">
        <f>SUM(E23:E25)</f>
        <v>36432</v>
      </c>
    </row>
    <row r="23" spans="1:5" ht="25.5">
      <c r="A23" s="116" t="s">
        <v>244</v>
      </c>
      <c r="B23" s="374">
        <f aca="true" t="shared" si="1" ref="B23:C25">B39+B48</f>
        <v>403466</v>
      </c>
      <c r="C23" s="374">
        <f t="shared" si="1"/>
        <v>279760</v>
      </c>
      <c r="D23" s="104">
        <f t="shared" si="0"/>
        <v>69.33917603961672</v>
      </c>
      <c r="E23" s="374">
        <f>E39+E48</f>
        <v>26471</v>
      </c>
    </row>
    <row r="24" spans="1:5" ht="25.5">
      <c r="A24" s="116" t="s">
        <v>245</v>
      </c>
      <c r="B24" s="374">
        <f t="shared" si="1"/>
        <v>30537</v>
      </c>
      <c r="C24" s="374">
        <f t="shared" si="1"/>
        <v>21219</v>
      </c>
      <c r="D24" s="104">
        <f t="shared" si="0"/>
        <v>69.48619707240397</v>
      </c>
      <c r="E24" s="374">
        <f>E40+E49</f>
        <v>4496</v>
      </c>
    </row>
    <row r="25" spans="1:5" ht="25.5">
      <c r="A25" s="116" t="s">
        <v>246</v>
      </c>
      <c r="B25" s="374">
        <f t="shared" si="1"/>
        <v>54976</v>
      </c>
      <c r="C25" s="374">
        <f t="shared" si="1"/>
        <v>48561</v>
      </c>
      <c r="D25" s="104">
        <f t="shared" si="0"/>
        <v>88.33127182770664</v>
      </c>
      <c r="E25" s="374">
        <f>E41+E50</f>
        <v>5465</v>
      </c>
    </row>
    <row r="26" spans="1:5" ht="25.5">
      <c r="A26" s="461" t="s">
        <v>247</v>
      </c>
      <c r="B26" s="374">
        <f>B9-B22</f>
        <v>-53186</v>
      </c>
      <c r="C26" s="374">
        <f>C9-C22</f>
        <v>-19653</v>
      </c>
      <c r="D26" s="104">
        <f t="shared" si="0"/>
        <v>36.951453389989844</v>
      </c>
      <c r="E26" s="374">
        <f>E9-E22</f>
        <v>-4512</v>
      </c>
    </row>
    <row r="27" spans="1:5" ht="25.5">
      <c r="A27" s="461" t="s">
        <v>248</v>
      </c>
      <c r="B27" s="374">
        <f>B43+B52</f>
        <v>-2386</v>
      </c>
      <c r="C27" s="374">
        <f>C43+C52</f>
        <v>-2508</v>
      </c>
      <c r="D27" s="104">
        <f t="shared" si="0"/>
        <v>105.11316010058675</v>
      </c>
      <c r="E27" s="374">
        <f>E43+E52</f>
        <v>79</v>
      </c>
    </row>
    <row r="28" spans="1:5" ht="25.5">
      <c r="A28" s="461" t="s">
        <v>249</v>
      </c>
      <c r="B28" s="374">
        <f>B22+B27</f>
        <v>486593</v>
      </c>
      <c r="C28" s="374">
        <f>C22+C27</f>
        <v>347032</v>
      </c>
      <c r="D28" s="104">
        <f t="shared" si="0"/>
        <v>71.31874071349156</v>
      </c>
      <c r="E28" s="374">
        <f>E22+E27</f>
        <v>36511</v>
      </c>
    </row>
    <row r="29" spans="1:5" ht="25.5">
      <c r="A29" s="461" t="s">
        <v>250</v>
      </c>
      <c r="B29" s="374">
        <f>B9-B28</f>
        <v>-50800</v>
      </c>
      <c r="C29" s="374">
        <f>C9-C28</f>
        <v>-17145</v>
      </c>
      <c r="D29" s="104">
        <f t="shared" si="0"/>
        <v>33.75</v>
      </c>
      <c r="E29" s="374">
        <f>E9-E28</f>
        <v>-4591</v>
      </c>
    </row>
    <row r="30" spans="1:5" ht="12.75">
      <c r="A30" s="462" t="s">
        <v>251</v>
      </c>
      <c r="B30" s="463"/>
      <c r="C30" s="463"/>
      <c r="D30" s="104"/>
      <c r="E30" s="368"/>
    </row>
    <row r="31" spans="1:5" ht="25.5">
      <c r="A31" s="464" t="s">
        <v>252</v>
      </c>
      <c r="B31" s="463">
        <f>B20</f>
        <v>9349</v>
      </c>
      <c r="C31" s="463">
        <f>C20</f>
        <v>9198</v>
      </c>
      <c r="D31" s="104">
        <f aca="true" t="shared" si="2" ref="D31:D55">C31/B31*100</f>
        <v>98.3848539950797</v>
      </c>
      <c r="E31" s="368">
        <f>C31-'[24]Augusts'!C31</f>
        <v>1408</v>
      </c>
    </row>
    <row r="32" spans="1:5" ht="12.75">
      <c r="A32" s="462" t="s">
        <v>253</v>
      </c>
      <c r="B32" s="465">
        <v>10426</v>
      </c>
      <c r="C32" s="463">
        <v>4876</v>
      </c>
      <c r="D32" s="104">
        <f t="shared" si="2"/>
        <v>46.76769614425475</v>
      </c>
      <c r="E32" s="368">
        <f>C32-'[24]Augusts'!C32</f>
        <v>1606</v>
      </c>
    </row>
    <row r="33" spans="1:5" ht="12.75">
      <c r="A33" s="462" t="s">
        <v>254</v>
      </c>
      <c r="B33" s="465">
        <v>28634</v>
      </c>
      <c r="C33" s="463">
        <v>3071</v>
      </c>
      <c r="D33" s="104">
        <f t="shared" si="2"/>
        <v>10.725012223231124</v>
      </c>
      <c r="E33" s="368">
        <f>C33-'[24]Augusts'!C33</f>
        <v>1577</v>
      </c>
    </row>
    <row r="34" spans="1:5" ht="17.25" customHeight="1">
      <c r="A34" s="461" t="s">
        <v>255</v>
      </c>
      <c r="B34" s="374">
        <f>SUM(B37,B40,B41)</f>
        <v>472957</v>
      </c>
      <c r="C34" s="374">
        <f>SUM(C37,C40,C41)</f>
        <v>348452</v>
      </c>
      <c r="D34" s="104">
        <f t="shared" si="2"/>
        <v>73.67519668807101</v>
      </c>
      <c r="E34" s="374">
        <f>SUM(E37,E40,E41)</f>
        <v>35606</v>
      </c>
    </row>
    <row r="35" spans="1:5" ht="25.5">
      <c r="A35" s="466" t="s">
        <v>256</v>
      </c>
      <c r="B35" s="374">
        <f>B38</f>
        <v>35927</v>
      </c>
      <c r="C35" s="374">
        <f>C38</f>
        <v>26444</v>
      </c>
      <c r="D35" s="104">
        <f t="shared" si="2"/>
        <v>73.60480975311047</v>
      </c>
      <c r="E35" s="368">
        <f>C35-'[24]Augusts'!C35</f>
        <v>3024</v>
      </c>
    </row>
    <row r="36" spans="1:5" ht="17.25" customHeight="1">
      <c r="A36" s="461" t="s">
        <v>257</v>
      </c>
      <c r="B36" s="374">
        <f>B34-B35</f>
        <v>437030</v>
      </c>
      <c r="C36" s="374">
        <f>C34-C35</f>
        <v>322008</v>
      </c>
      <c r="D36" s="104">
        <f t="shared" si="2"/>
        <v>73.68098299887879</v>
      </c>
      <c r="E36" s="374">
        <f>E34-E35</f>
        <v>32582</v>
      </c>
    </row>
    <row r="37" spans="1:5" ht="25.5">
      <c r="A37" s="461" t="s">
        <v>258</v>
      </c>
      <c r="B37" s="374">
        <f>'[2]Septembris'!$G$11</f>
        <v>398904</v>
      </c>
      <c r="C37" s="374">
        <f>'[2]Septembris'!$H$11</f>
        <v>285428</v>
      </c>
      <c r="D37" s="104">
        <f t="shared" si="2"/>
        <v>71.55305537171851</v>
      </c>
      <c r="E37" s="374">
        <f>C37-'[24]Augusts'!C37</f>
        <v>26857</v>
      </c>
    </row>
    <row r="38" spans="1:5" ht="25.5">
      <c r="A38" s="460" t="s">
        <v>259</v>
      </c>
      <c r="B38" s="374">
        <f>B15+B16</f>
        <v>35927</v>
      </c>
      <c r="C38" s="374">
        <f>C15+C16</f>
        <v>26444</v>
      </c>
      <c r="D38" s="104">
        <f t="shared" si="2"/>
        <v>73.60480975311047</v>
      </c>
      <c r="E38" s="374">
        <f>C38-'[24]Augusts'!C38</f>
        <v>3024</v>
      </c>
    </row>
    <row r="39" spans="1:5" ht="25.5">
      <c r="A39" s="69" t="s">
        <v>260</v>
      </c>
      <c r="B39" s="374">
        <f>B37-B38</f>
        <v>362977</v>
      </c>
      <c r="C39" s="374">
        <f>C37-C38</f>
        <v>258984</v>
      </c>
      <c r="D39" s="104">
        <f t="shared" si="2"/>
        <v>71.34997534279032</v>
      </c>
      <c r="E39" s="374">
        <f>E37-E38</f>
        <v>23833</v>
      </c>
    </row>
    <row r="40" spans="1:5" ht="17.25" customHeight="1">
      <c r="A40" s="69" t="s">
        <v>261</v>
      </c>
      <c r="B40" s="368">
        <v>22175</v>
      </c>
      <c r="C40" s="368">
        <f>'[2]Septembris'!$H$27</f>
        <v>15828</v>
      </c>
      <c r="D40" s="104">
        <f t="shared" si="2"/>
        <v>71.37767756482525</v>
      </c>
      <c r="E40" s="368">
        <f>C40-'[24]Augusts'!C40</f>
        <v>3432</v>
      </c>
    </row>
    <row r="41" spans="1:5" ht="17.25" customHeight="1">
      <c r="A41" s="226" t="s">
        <v>262</v>
      </c>
      <c r="B41" s="368">
        <v>51878</v>
      </c>
      <c r="C41" s="368">
        <f>'[2]Septembris'!$H$28</f>
        <v>47196</v>
      </c>
      <c r="D41" s="104">
        <f t="shared" si="2"/>
        <v>90.97497976020664</v>
      </c>
      <c r="E41" s="368">
        <f>C41-'[24]Augusts'!C41</f>
        <v>5317</v>
      </c>
    </row>
    <row r="42" spans="1:5" ht="38.25">
      <c r="A42" s="76" t="s">
        <v>263</v>
      </c>
      <c r="B42" s="374">
        <f>B17-B36</f>
        <v>-30074</v>
      </c>
      <c r="C42" s="374">
        <f>C17-C36</f>
        <v>-13503</v>
      </c>
      <c r="D42" s="104">
        <f t="shared" si="2"/>
        <v>44.899248520316554</v>
      </c>
      <c r="E42" s="374">
        <f>E17-E36</f>
        <v>-2706</v>
      </c>
    </row>
    <row r="43" spans="1:5" ht="12.75">
      <c r="A43" s="76" t="s">
        <v>264</v>
      </c>
      <c r="B43" s="368">
        <f>B44-B45</f>
        <v>-723</v>
      </c>
      <c r="C43" s="368">
        <f>C44-C45</f>
        <v>-822</v>
      </c>
      <c r="D43" s="104">
        <f t="shared" si="2"/>
        <v>113.69294605809128</v>
      </c>
      <c r="E43" s="368">
        <f>E44-E45</f>
        <v>-78</v>
      </c>
    </row>
    <row r="44" spans="1:5" ht="12.75">
      <c r="A44" s="69" t="s">
        <v>265</v>
      </c>
      <c r="B44" s="368">
        <f>'[2]Septembris'!$G$30</f>
        <v>107</v>
      </c>
      <c r="C44" s="368">
        <f>'[2]Septembris'!$H$30</f>
        <v>154</v>
      </c>
      <c r="D44" s="104">
        <f t="shared" si="2"/>
        <v>143.92523364485982</v>
      </c>
      <c r="E44" s="368">
        <f>C44-'[24]Augusts'!C44</f>
        <v>57</v>
      </c>
    </row>
    <row r="45" spans="1:5" ht="12.75">
      <c r="A45" s="69" t="s">
        <v>266</v>
      </c>
      <c r="B45" s="368">
        <f>'[2]Septembris'!$G$31</f>
        <v>830</v>
      </c>
      <c r="C45" s="368">
        <f>'[2]Septembris'!$H$31</f>
        <v>976</v>
      </c>
      <c r="D45" s="104">
        <f t="shared" si="2"/>
        <v>117.59036144578315</v>
      </c>
      <c r="E45" s="368">
        <f>C45-'[24]Augusts'!C45</f>
        <v>135</v>
      </c>
    </row>
    <row r="46" spans="1:5" ht="25.5">
      <c r="A46" s="76" t="s">
        <v>267</v>
      </c>
      <c r="B46" s="374">
        <f>B42-B43</f>
        <v>-29351</v>
      </c>
      <c r="C46" s="374">
        <f>C42-C43</f>
        <v>-12681</v>
      </c>
      <c r="D46" s="104">
        <f t="shared" si="2"/>
        <v>43.20466082927328</v>
      </c>
      <c r="E46" s="374">
        <f>E42-E43</f>
        <v>-2628</v>
      </c>
    </row>
    <row r="47" spans="1:5" ht="25.5">
      <c r="A47" s="76" t="s">
        <v>268</v>
      </c>
      <c r="B47" s="368">
        <f>B48+B49+B50</f>
        <v>51949</v>
      </c>
      <c r="C47" s="368">
        <f>C48+C49+C50</f>
        <v>27532</v>
      </c>
      <c r="D47" s="104">
        <f t="shared" si="2"/>
        <v>52.99813278407669</v>
      </c>
      <c r="E47" s="368">
        <f>E48+E49+E50</f>
        <v>3850</v>
      </c>
    </row>
    <row r="48" spans="1:5" ht="24.75" customHeight="1">
      <c r="A48" s="69" t="s">
        <v>269</v>
      </c>
      <c r="B48" s="368">
        <f>'[8]Septembris'!$B$12</f>
        <v>40489</v>
      </c>
      <c r="C48" s="368">
        <f>'[8]Septembris'!$C$12</f>
        <v>20776</v>
      </c>
      <c r="D48" s="104">
        <f t="shared" si="2"/>
        <v>51.31270221541653</v>
      </c>
      <c r="E48" s="368">
        <f>C48-'[24]Augusts'!C48</f>
        <v>2638</v>
      </c>
    </row>
    <row r="49" spans="1:5" ht="17.25" customHeight="1">
      <c r="A49" s="69" t="s">
        <v>270</v>
      </c>
      <c r="B49" s="368">
        <f>'[8]Septembris'!$B$28</f>
        <v>8362</v>
      </c>
      <c r="C49" s="368">
        <f>'[8]Septembris'!$C$28</f>
        <v>5391</v>
      </c>
      <c r="D49" s="104">
        <f t="shared" si="2"/>
        <v>64.47022243482421</v>
      </c>
      <c r="E49" s="368">
        <f>C49-'[24]Augusts'!C49</f>
        <v>1064</v>
      </c>
    </row>
    <row r="50" spans="1:5" ht="12.75">
      <c r="A50" s="226" t="s">
        <v>271</v>
      </c>
      <c r="B50" s="368">
        <f>'[8]Septembris'!$B$29</f>
        <v>3098</v>
      </c>
      <c r="C50" s="368">
        <f>'[8]Septembris'!$C$29</f>
        <v>1365</v>
      </c>
      <c r="D50" s="104">
        <f t="shared" si="2"/>
        <v>44.06068431245965</v>
      </c>
      <c r="E50" s="368">
        <f>C50-'[24]Augusts'!C50</f>
        <v>148</v>
      </c>
    </row>
    <row r="51" spans="1:5" ht="25.5">
      <c r="A51" s="76" t="s">
        <v>272</v>
      </c>
      <c r="B51" s="368">
        <f>B21-B47</f>
        <v>-23112</v>
      </c>
      <c r="C51" s="368">
        <f>C21-C47</f>
        <v>-6150</v>
      </c>
      <c r="D51" s="104">
        <f t="shared" si="2"/>
        <v>26.609553478712357</v>
      </c>
      <c r="E51" s="368">
        <f>E21-E47</f>
        <v>-1806</v>
      </c>
    </row>
    <row r="52" spans="1:5" ht="17.25" customHeight="1">
      <c r="A52" s="76" t="s">
        <v>273</v>
      </c>
      <c r="B52" s="368">
        <f>B53-B54</f>
        <v>-1663</v>
      </c>
      <c r="C52" s="368">
        <f>C53-C54</f>
        <v>-1686</v>
      </c>
      <c r="D52" s="104">
        <f t="shared" si="2"/>
        <v>101.38304269392664</v>
      </c>
      <c r="E52" s="368">
        <f>E53-E54</f>
        <v>157</v>
      </c>
    </row>
    <row r="53" spans="1:5" ht="12.75">
      <c r="A53" s="69" t="s">
        <v>274</v>
      </c>
      <c r="B53" s="368">
        <f>'[8]Septembris'!$B$31</f>
        <v>974</v>
      </c>
      <c r="C53" s="368">
        <f>'[8]Septembris'!$C$31</f>
        <v>636</v>
      </c>
      <c r="D53" s="104">
        <f t="shared" si="2"/>
        <v>65.29774127310061</v>
      </c>
      <c r="E53" s="368">
        <f>C53-'[24]Augusts'!C53</f>
        <v>121</v>
      </c>
    </row>
    <row r="54" spans="1:5" ht="12.75">
      <c r="A54" s="69" t="s">
        <v>275</v>
      </c>
      <c r="B54" s="368">
        <f>'[8]Septembris'!$B$32</f>
        <v>2637</v>
      </c>
      <c r="C54" s="368">
        <f>'[8]Septembris'!$C$32</f>
        <v>2322</v>
      </c>
      <c r="D54" s="104">
        <f t="shared" si="2"/>
        <v>88.05460750853243</v>
      </c>
      <c r="E54" s="368">
        <f>C54-'[24]Augusts'!C54</f>
        <v>-36</v>
      </c>
    </row>
    <row r="55" spans="1:5" ht="25.5">
      <c r="A55" s="76" t="s">
        <v>276</v>
      </c>
      <c r="B55" s="368">
        <f>B51-B52</f>
        <v>-21449</v>
      </c>
      <c r="C55" s="368">
        <f>C51-C52</f>
        <v>-4464</v>
      </c>
      <c r="D55" s="104">
        <f t="shared" si="2"/>
        <v>20.812159075015153</v>
      </c>
      <c r="E55" s="368">
        <f>E51-E52</f>
        <v>-1963</v>
      </c>
    </row>
    <row r="56" spans="1:5" ht="17.25" customHeight="1">
      <c r="A56" s="467"/>
      <c r="B56" s="468"/>
      <c r="C56" s="468"/>
      <c r="D56" s="469"/>
      <c r="E56" s="468"/>
    </row>
    <row r="57" spans="1:5" ht="17.25" customHeight="1">
      <c r="A57" s="263"/>
      <c r="B57" s="470"/>
      <c r="C57" s="470"/>
      <c r="D57" s="471"/>
      <c r="E57" s="470"/>
    </row>
    <row r="58" spans="1:5" ht="17.25" customHeight="1">
      <c r="A58" s="49"/>
      <c r="B58" s="49"/>
      <c r="C58" s="49"/>
      <c r="D58" s="49"/>
      <c r="E58" s="1"/>
    </row>
    <row r="59" spans="1:5" ht="17.25" customHeight="1">
      <c r="A59" s="263"/>
      <c r="B59" s="49"/>
      <c r="C59" s="49"/>
      <c r="D59" s="49"/>
      <c r="E59" s="49"/>
    </row>
    <row r="60" spans="1:5" ht="17.25" customHeight="1">
      <c r="A60" s="263"/>
      <c r="B60" s="49"/>
      <c r="C60" s="49"/>
      <c r="D60" s="49"/>
      <c r="E60" s="49"/>
    </row>
    <row r="61" spans="1:5" ht="17.25" customHeight="1">
      <c r="A61" s="41" t="s">
        <v>468</v>
      </c>
      <c r="B61" s="39"/>
      <c r="C61" s="39"/>
      <c r="D61" s="39" t="s">
        <v>859</v>
      </c>
      <c r="E61" s="49"/>
    </row>
    <row r="62" spans="1:5" ht="17.25" customHeight="1">
      <c r="A62" s="263"/>
      <c r="B62" s="49"/>
      <c r="C62" s="49"/>
      <c r="D62" s="49"/>
      <c r="E62" s="49"/>
    </row>
    <row r="63" spans="1:5" ht="17.25" customHeight="1">
      <c r="A63" s="472"/>
      <c r="B63" s="49"/>
      <c r="C63" s="49"/>
      <c r="D63" s="49"/>
      <c r="E63" s="49"/>
    </row>
    <row r="64" spans="1:5" ht="17.25" customHeight="1">
      <c r="A64" s="472"/>
      <c r="B64" s="747"/>
      <c r="C64" s="473"/>
      <c r="D64" s="49"/>
      <c r="E64" s="49"/>
    </row>
    <row r="65" spans="1:5" ht="17.25" customHeight="1">
      <c r="A65" s="49"/>
      <c r="B65" s="49"/>
      <c r="C65" s="49"/>
      <c r="D65" s="49"/>
      <c r="E65" s="49"/>
    </row>
    <row r="66" spans="1:5" ht="17.25" customHeight="1">
      <c r="A66" s="7" t="s">
        <v>61</v>
      </c>
      <c r="B66" s="49"/>
      <c r="C66" s="49"/>
      <c r="D66" s="49"/>
      <c r="E66" s="49"/>
    </row>
    <row r="67" spans="1:5" ht="17.25" customHeight="1">
      <c r="A67" s="7" t="s">
        <v>116</v>
      </c>
      <c r="B67" s="49"/>
      <c r="C67" s="49"/>
      <c r="D67" s="49"/>
      <c r="E67" s="49"/>
    </row>
    <row r="68" spans="1:5" ht="17.25" customHeight="1">
      <c r="A68" s="263"/>
      <c r="B68" s="49"/>
      <c r="C68" s="49"/>
      <c r="D68" s="49"/>
      <c r="E68" s="49"/>
    </row>
    <row r="69" spans="1:5" ht="17.25" customHeight="1">
      <c r="A69" s="263"/>
      <c r="B69" s="49"/>
      <c r="C69" s="49"/>
      <c r="D69" s="49"/>
      <c r="E69" s="49"/>
    </row>
    <row r="70" spans="1:5" ht="17.25" customHeight="1">
      <c r="A70" s="263"/>
      <c r="B70" s="49"/>
      <c r="C70" s="49"/>
      <c r="D70" s="49"/>
      <c r="E70" s="49"/>
    </row>
    <row r="71" spans="1:5" ht="17.25" customHeight="1">
      <c r="A71" s="49"/>
      <c r="B71" s="49"/>
      <c r="C71" s="49"/>
      <c r="D71" s="49"/>
      <c r="E71" s="49"/>
    </row>
    <row r="72" spans="1:5" ht="17.25" customHeight="1">
      <c r="A72" s="49"/>
      <c r="B72" s="49"/>
      <c r="C72" s="49"/>
      <c r="D72" s="49"/>
      <c r="E72" s="49"/>
    </row>
    <row r="73" spans="1:5" ht="17.25" customHeight="1">
      <c r="A73" s="49"/>
      <c r="B73" s="49"/>
      <c r="C73" s="49"/>
      <c r="D73" s="49"/>
      <c r="E73" s="49"/>
    </row>
    <row r="74" spans="1:5" ht="17.25" customHeight="1">
      <c r="A74" s="263"/>
      <c r="B74" s="49"/>
      <c r="C74" s="49"/>
      <c r="D74" s="49"/>
      <c r="E74" s="49"/>
    </row>
    <row r="75" spans="1:5" ht="17.25" customHeight="1">
      <c r="A75" s="472"/>
      <c r="B75" s="49"/>
      <c r="C75" s="49"/>
      <c r="D75" s="49"/>
      <c r="E75" s="49"/>
    </row>
    <row r="76" spans="2:5" ht="17.25" customHeight="1">
      <c r="B76" s="49"/>
      <c r="C76" s="49"/>
      <c r="D76" s="49"/>
      <c r="E76" s="49"/>
    </row>
    <row r="79" spans="1:5" ht="17.25" customHeight="1">
      <c r="A79" s="49"/>
      <c r="B79" s="49"/>
      <c r="C79" s="49"/>
      <c r="D79" s="49"/>
      <c r="E79" s="49"/>
    </row>
    <row r="80" spans="1:5" ht="17.25" customHeight="1">
      <c r="A80" s="263"/>
      <c r="B80" s="49"/>
      <c r="C80" s="49"/>
      <c r="D80" s="49"/>
      <c r="E80" s="49"/>
    </row>
    <row r="81" spans="1:5" ht="17.25" customHeight="1">
      <c r="A81" s="49"/>
      <c r="B81" s="49"/>
      <c r="C81" s="49"/>
      <c r="D81" s="49"/>
      <c r="E81" s="49"/>
    </row>
    <row r="82" spans="1:5" ht="17.25" customHeight="1">
      <c r="A82" s="49"/>
      <c r="B82" s="49"/>
      <c r="C82" s="49"/>
      <c r="D82" s="49"/>
      <c r="E82" s="49"/>
    </row>
    <row r="83" spans="1:5" ht="17.25" customHeight="1">
      <c r="A83" s="263"/>
      <c r="B83" s="49"/>
      <c r="C83" s="49"/>
      <c r="D83" s="49"/>
      <c r="E83" s="49"/>
    </row>
    <row r="84" spans="1:5" ht="17.25" customHeight="1">
      <c r="A84" s="263"/>
      <c r="B84" s="49"/>
      <c r="C84" s="49"/>
      <c r="D84" s="49"/>
      <c r="E84" s="49"/>
    </row>
    <row r="85" spans="1:5" ht="17.25" customHeight="1">
      <c r="A85" s="474"/>
      <c r="B85" s="49"/>
      <c r="C85" s="49"/>
      <c r="D85" s="49"/>
      <c r="E85" s="49"/>
    </row>
    <row r="86" ht="17.25" customHeight="1">
      <c r="A86" s="474"/>
    </row>
    <row r="87" ht="17.25" customHeight="1">
      <c r="A87" s="474"/>
    </row>
    <row r="88" ht="17.25" customHeight="1">
      <c r="A88" s="474"/>
    </row>
    <row r="89" ht="17.25" customHeight="1">
      <c r="A89" s="474"/>
    </row>
    <row r="90" ht="17.25" customHeight="1">
      <c r="A90" s="474"/>
    </row>
    <row r="91" ht="17.25" customHeight="1">
      <c r="A91" s="474"/>
    </row>
    <row r="97" ht="17.25" customHeight="1">
      <c r="A97" s="474"/>
    </row>
    <row r="98" ht="17.25" customHeight="1">
      <c r="A98" s="474"/>
    </row>
    <row r="99" ht="17.25" customHeight="1">
      <c r="A99" s="474"/>
    </row>
    <row r="100" ht="17.25" customHeight="1">
      <c r="A100" s="474"/>
    </row>
    <row r="103" ht="17.25" customHeight="1">
      <c r="A103" s="474"/>
    </row>
    <row r="104" ht="17.25" customHeight="1">
      <c r="A104" s="474"/>
    </row>
    <row r="107" ht="17.25" customHeight="1">
      <c r="A107" s="474"/>
    </row>
    <row r="108" ht="17.25" customHeight="1">
      <c r="A108" s="474"/>
    </row>
    <row r="109" ht="17.25" customHeight="1">
      <c r="A109" s="474"/>
    </row>
    <row r="110" ht="17.25" customHeight="1">
      <c r="A110" s="474"/>
    </row>
    <row r="111" ht="17.25" customHeight="1">
      <c r="A111" s="474"/>
    </row>
    <row r="112" ht="17.25" customHeight="1">
      <c r="A112" s="474"/>
    </row>
    <row r="113" ht="17.25" customHeight="1">
      <c r="A113" s="474"/>
    </row>
    <row r="114" ht="17.25" customHeight="1">
      <c r="A114" s="474"/>
    </row>
    <row r="115" ht="17.25" customHeight="1">
      <c r="A115" s="474"/>
    </row>
    <row r="116" ht="17.25" customHeight="1">
      <c r="A116" s="474"/>
    </row>
    <row r="117" ht="17.25" customHeight="1">
      <c r="A117" s="474"/>
    </row>
    <row r="118" ht="17.25" customHeight="1">
      <c r="A118" s="474"/>
    </row>
    <row r="119" ht="17.25" customHeight="1">
      <c r="A119" s="474"/>
    </row>
    <row r="120" ht="17.25" customHeight="1">
      <c r="A120" s="474"/>
    </row>
    <row r="121" ht="17.25" customHeight="1">
      <c r="A121" s="474"/>
    </row>
    <row r="122" ht="17.25" customHeight="1">
      <c r="A122" s="474"/>
    </row>
    <row r="123" ht="17.25" customHeight="1">
      <c r="A123" s="474"/>
    </row>
    <row r="124" ht="17.25" customHeight="1">
      <c r="A124" s="474"/>
    </row>
    <row r="125" ht="17.25" customHeight="1">
      <c r="A125" s="474"/>
    </row>
    <row r="126" ht="17.25" customHeight="1">
      <c r="A126" s="474"/>
    </row>
    <row r="127" ht="17.25" customHeight="1">
      <c r="A127" s="474"/>
    </row>
    <row r="128" ht="17.25" customHeight="1">
      <c r="A128" s="474"/>
    </row>
    <row r="129" ht="17.25" customHeight="1">
      <c r="A129" s="474"/>
    </row>
    <row r="130" ht="17.25" customHeight="1">
      <c r="A130" s="474"/>
    </row>
    <row r="131" ht="17.25" customHeight="1">
      <c r="A131" s="474"/>
    </row>
  </sheetData>
  <mergeCells count="2">
    <mergeCell ref="A2:E2"/>
    <mergeCell ref="A5:E5"/>
  </mergeCells>
  <printOptions horizontalCentered="1"/>
  <pageMargins left="0.9448818897637796" right="0.35433070866141736" top="0.984251968503937" bottom="0.984251968503937" header="0.5118110236220472" footer="0.5118110236220472"/>
  <pageSetup firstPageNumber="31" useFirstPageNumber="1" horizontalDpi="300" verticalDpi="3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F1">
      <selection activeCell="F17" sqref="F17"/>
    </sheetView>
  </sheetViews>
  <sheetFormatPr defaultColWidth="9.140625" defaultRowHeight="17.25" customHeight="1"/>
  <cols>
    <col min="1" max="1" width="39.7109375" style="475" hidden="1" customWidth="1"/>
    <col min="2" max="2" width="8.8515625" style="453" hidden="1" customWidth="1"/>
    <col min="3" max="3" width="11.28125" style="453" hidden="1" customWidth="1"/>
    <col min="4" max="4" width="12.140625" style="453" hidden="1" customWidth="1"/>
    <col min="5" max="5" width="0.13671875" style="453" hidden="1" customWidth="1"/>
    <col min="6" max="6" width="39.7109375" style="475" customWidth="1"/>
    <col min="7" max="7" width="8.8515625" style="453" customWidth="1"/>
    <col min="8" max="8" width="11.28125" style="453" customWidth="1"/>
    <col min="9" max="9" width="12.140625" style="453" customWidth="1"/>
    <col min="10" max="10" width="11.57421875" style="453" customWidth="1"/>
    <col min="11" max="16384" width="7.421875" style="453" customWidth="1"/>
  </cols>
  <sheetData>
    <row r="1" spans="2:10" ht="17.25" customHeight="1">
      <c r="B1" s="476"/>
      <c r="C1" s="51"/>
      <c r="D1" s="51"/>
      <c r="E1" s="51" t="s">
        <v>277</v>
      </c>
      <c r="G1" s="476"/>
      <c r="H1" s="51"/>
      <c r="I1" s="51"/>
      <c r="J1" s="51" t="s">
        <v>277</v>
      </c>
    </row>
    <row r="2" spans="1:10" s="51" customFormat="1" ht="17.25" customHeight="1">
      <c r="A2" s="476" t="s">
        <v>278</v>
      </c>
      <c r="B2" s="476"/>
      <c r="E2" s="41"/>
      <c r="F2" s="476" t="s">
        <v>278</v>
      </c>
      <c r="G2" s="476"/>
      <c r="J2" s="41"/>
    </row>
    <row r="4" spans="1:10" s="479" customFormat="1" ht="17.25" customHeight="1">
      <c r="A4" s="477" t="s">
        <v>279</v>
      </c>
      <c r="B4" s="478"/>
      <c r="C4" s="425"/>
      <c r="D4" s="425"/>
      <c r="E4" s="425"/>
      <c r="F4" s="477" t="s">
        <v>279</v>
      </c>
      <c r="G4" s="478"/>
      <c r="H4" s="425"/>
      <c r="I4" s="425"/>
      <c r="J4" s="425"/>
    </row>
    <row r="5" spans="1:10" s="479" customFormat="1" ht="13.5" customHeight="1">
      <c r="A5" s="477" t="s">
        <v>280</v>
      </c>
      <c r="B5" s="478"/>
      <c r="C5" s="480"/>
      <c r="D5" s="480"/>
      <c r="E5" s="480"/>
      <c r="F5" s="746" t="s">
        <v>135</v>
      </c>
      <c r="G5" s="478"/>
      <c r="H5" s="425"/>
      <c r="I5" s="425"/>
      <c r="J5" s="425"/>
    </row>
    <row r="6" spans="1:10" s="38" customFormat="1" ht="17.25" customHeight="1">
      <c r="A6" s="481"/>
      <c r="B6" s="482"/>
      <c r="C6" s="483"/>
      <c r="D6" s="483"/>
      <c r="E6" s="484" t="s">
        <v>1023</v>
      </c>
      <c r="F6" s="481"/>
      <c r="G6" s="482"/>
      <c r="H6" s="483"/>
      <c r="I6" s="483"/>
      <c r="J6" s="484" t="s">
        <v>60</v>
      </c>
    </row>
    <row r="7" spans="1:10" s="38" customFormat="1" ht="26.25" customHeight="1">
      <c r="A7" s="485" t="s">
        <v>644</v>
      </c>
      <c r="B7" s="486" t="s">
        <v>229</v>
      </c>
      <c r="C7" s="486" t="s">
        <v>751</v>
      </c>
      <c r="D7" s="486" t="s">
        <v>281</v>
      </c>
      <c r="E7" s="9" t="s">
        <v>946</v>
      </c>
      <c r="F7" s="485" t="s">
        <v>644</v>
      </c>
      <c r="G7" s="486" t="s">
        <v>229</v>
      </c>
      <c r="H7" s="486" t="s">
        <v>751</v>
      </c>
      <c r="I7" s="486" t="s">
        <v>281</v>
      </c>
      <c r="J7" s="9" t="s">
        <v>101</v>
      </c>
    </row>
    <row r="8" spans="1:10" s="38" customFormat="1" ht="12.75">
      <c r="A8" s="487" t="s">
        <v>282</v>
      </c>
      <c r="B8" s="488">
        <v>2</v>
      </c>
      <c r="C8" s="488">
        <v>3</v>
      </c>
      <c r="D8" s="488">
        <v>4</v>
      </c>
      <c r="E8" s="488" t="s">
        <v>283</v>
      </c>
      <c r="F8" s="487" t="s">
        <v>282</v>
      </c>
      <c r="G8" s="488">
        <v>2</v>
      </c>
      <c r="H8" s="488">
        <v>3</v>
      </c>
      <c r="I8" s="488">
        <v>4</v>
      </c>
      <c r="J8" s="488" t="s">
        <v>283</v>
      </c>
    </row>
    <row r="9" spans="1:10" s="49" customFormat="1" ht="12.75">
      <c r="A9" s="489" t="s">
        <v>284</v>
      </c>
      <c r="B9" s="182"/>
      <c r="C9" s="177">
        <f>SUM(C10,C30)</f>
        <v>0</v>
      </c>
      <c r="D9" s="177"/>
      <c r="E9" s="177">
        <f>SUM(E10,E30)</f>
        <v>0</v>
      </c>
      <c r="F9" s="489" t="s">
        <v>284</v>
      </c>
      <c r="G9" s="177">
        <f>SUM(G10,G30)</f>
        <v>442883</v>
      </c>
      <c r="H9" s="177">
        <f>SUM(H10,H30)</f>
        <v>334949</v>
      </c>
      <c r="I9" s="195">
        <f aca="true" t="shared" si="0" ref="I9:I37">H9/G9*100</f>
        <v>75.62922939015496</v>
      </c>
      <c r="J9" s="177">
        <f>SUM(J10,J30)</f>
        <v>32900</v>
      </c>
    </row>
    <row r="10" spans="1:10" ht="25.5">
      <c r="A10" s="490" t="s">
        <v>285</v>
      </c>
      <c r="B10" s="182"/>
      <c r="C10" s="177">
        <f>C11+C22+C29</f>
        <v>0</v>
      </c>
      <c r="D10" s="177"/>
      <c r="E10" s="177">
        <f>E11+E22+E29</f>
        <v>0</v>
      </c>
      <c r="F10" s="490" t="s">
        <v>285</v>
      </c>
      <c r="G10" s="177">
        <f>G11+G22+G29</f>
        <v>288518</v>
      </c>
      <c r="H10" s="177">
        <f>H11+H22+H29</f>
        <v>217719</v>
      </c>
      <c r="I10" s="195">
        <f t="shared" si="0"/>
        <v>75.4611497376247</v>
      </c>
      <c r="J10" s="177">
        <f>J11+J22+J29</f>
        <v>21724</v>
      </c>
    </row>
    <row r="11" spans="1:10" s="49" customFormat="1" ht="12.75">
      <c r="A11" s="491" t="s">
        <v>286</v>
      </c>
      <c r="B11" s="182"/>
      <c r="C11" s="177">
        <f>SUM(C12,C20,)</f>
        <v>0</v>
      </c>
      <c r="D11" s="177"/>
      <c r="E11" s="177">
        <f>SUM(E12,E20,)</f>
        <v>0</v>
      </c>
      <c r="F11" s="491" t="s">
        <v>286</v>
      </c>
      <c r="G11" s="177">
        <f>SUM(G12,G20,)</f>
        <v>244966</v>
      </c>
      <c r="H11" s="177">
        <f>SUM(H12,H20,)</f>
        <v>185904</v>
      </c>
      <c r="I11" s="195">
        <f t="shared" si="0"/>
        <v>75.88971530743042</v>
      </c>
      <c r="J11" s="177">
        <f>SUM(J12,J20,)</f>
        <v>18887</v>
      </c>
    </row>
    <row r="12" spans="1:10" s="49" customFormat="1" ht="12.75">
      <c r="A12" s="491" t="s">
        <v>833</v>
      </c>
      <c r="B12" s="182"/>
      <c r="C12" s="177">
        <f>SUM(C13,C15,C18,C19)</f>
        <v>0</v>
      </c>
      <c r="D12" s="177"/>
      <c r="E12" s="177">
        <f>SUM(E13,E15,E18,E19)</f>
        <v>0</v>
      </c>
      <c r="F12" s="491" t="s">
        <v>833</v>
      </c>
      <c r="G12" s="177">
        <f>SUM(G13,G15,G18,G19)</f>
        <v>243931</v>
      </c>
      <c r="H12" s="177">
        <f>SUM(H13,H15,H18,H19)</f>
        <v>184935</v>
      </c>
      <c r="I12" s="195">
        <f t="shared" si="0"/>
        <v>75.81447212531413</v>
      </c>
      <c r="J12" s="177">
        <f>SUM(J13,J15,J18,J19)</f>
        <v>18771</v>
      </c>
    </row>
    <row r="13" spans="1:10" s="38" customFormat="1" ht="12.75">
      <c r="A13" s="220" t="s">
        <v>287</v>
      </c>
      <c r="B13" s="182"/>
      <c r="C13" s="182"/>
      <c r="D13" s="184"/>
      <c r="E13" s="182">
        <f>C13-'[1]Marts'!C13</f>
        <v>0</v>
      </c>
      <c r="F13" s="220" t="s">
        <v>288</v>
      </c>
      <c r="G13" s="182">
        <v>203591</v>
      </c>
      <c r="H13" s="182">
        <f>148571+907</f>
        <v>149478</v>
      </c>
      <c r="I13" s="184">
        <f t="shared" si="0"/>
        <v>73.42073077886548</v>
      </c>
      <c r="J13" s="182">
        <f>H13-'[1]Augusts'!H13</f>
        <v>16203</v>
      </c>
    </row>
    <row r="14" spans="1:10" s="38" customFormat="1" ht="12.75">
      <c r="A14" s="259" t="s">
        <v>289</v>
      </c>
      <c r="B14" s="182"/>
      <c r="C14" s="182"/>
      <c r="D14" s="184"/>
      <c r="E14" s="182"/>
      <c r="F14" s="259" t="s">
        <v>289</v>
      </c>
      <c r="G14" s="182">
        <v>1055</v>
      </c>
      <c r="H14" s="182">
        <v>1055</v>
      </c>
      <c r="I14" s="184">
        <f t="shared" si="0"/>
        <v>100</v>
      </c>
      <c r="J14" s="182">
        <f>H14-'[1]Augusts'!H14</f>
        <v>0</v>
      </c>
    </row>
    <row r="15" spans="1:10" s="38" customFormat="1" ht="12.75">
      <c r="A15" s="220" t="s">
        <v>290</v>
      </c>
      <c r="B15" s="182"/>
      <c r="C15" s="182">
        <f>SUM(C16:C17)</f>
        <v>0</v>
      </c>
      <c r="D15" s="184"/>
      <c r="E15" s="182">
        <f>C15-'[1]Marts'!C15</f>
        <v>0</v>
      </c>
      <c r="F15" s="220" t="s">
        <v>290</v>
      </c>
      <c r="G15" s="182">
        <f>SUM(G16:G17)</f>
        <v>37991</v>
      </c>
      <c r="H15" s="182">
        <f>SUM(H16:H17)</f>
        <v>33331</v>
      </c>
      <c r="I15" s="184">
        <f t="shared" si="0"/>
        <v>87.73393698507542</v>
      </c>
      <c r="J15" s="182">
        <f>H15-'[1]Augusts'!H15</f>
        <v>2386</v>
      </c>
    </row>
    <row r="16" spans="1:10" s="38" customFormat="1" ht="25.5">
      <c r="A16" s="492" t="s">
        <v>291</v>
      </c>
      <c r="B16" s="182"/>
      <c r="C16" s="182"/>
      <c r="D16" s="184"/>
      <c r="E16" s="182">
        <f>C16-'[1]Marts'!C16</f>
        <v>0</v>
      </c>
      <c r="F16" s="492" t="s">
        <v>291</v>
      </c>
      <c r="G16" s="182">
        <v>22083</v>
      </c>
      <c r="H16" s="182">
        <v>17333</v>
      </c>
      <c r="I16" s="184">
        <f t="shared" si="0"/>
        <v>78.49024136213377</v>
      </c>
      <c r="J16" s="182">
        <f>H16-'[1]Augusts'!H16</f>
        <v>963</v>
      </c>
    </row>
    <row r="17" spans="1:10" s="38" customFormat="1" ht="26.25" customHeight="1">
      <c r="A17" s="492" t="s">
        <v>292</v>
      </c>
      <c r="B17" s="182"/>
      <c r="C17" s="182"/>
      <c r="D17" s="184"/>
      <c r="E17" s="182">
        <f>C17-'[1]Marts'!C17</f>
        <v>0</v>
      </c>
      <c r="F17" s="492" t="s">
        <v>292</v>
      </c>
      <c r="G17" s="182">
        <v>15908</v>
      </c>
      <c r="H17" s="182">
        <v>15998</v>
      </c>
      <c r="I17" s="184">
        <f t="shared" si="0"/>
        <v>100.56575308021121</v>
      </c>
      <c r="J17" s="182">
        <f>H17-'[1]Augusts'!H17</f>
        <v>1423</v>
      </c>
    </row>
    <row r="18" spans="1:10" s="38" customFormat="1" ht="12.75">
      <c r="A18" s="220" t="s">
        <v>293</v>
      </c>
      <c r="B18" s="182"/>
      <c r="C18" s="182"/>
      <c r="D18" s="184"/>
      <c r="E18" s="182">
        <f>C18-'[1]Marts'!C18</f>
        <v>0</v>
      </c>
      <c r="F18" s="220" t="s">
        <v>293</v>
      </c>
      <c r="G18" s="182">
        <v>1139</v>
      </c>
      <c r="H18" s="182">
        <v>1287</v>
      </c>
      <c r="I18" s="184">
        <f t="shared" si="0"/>
        <v>112.99385425812116</v>
      </c>
      <c r="J18" s="182">
        <f>H18-'[1]Augusts'!H18</f>
        <v>79</v>
      </c>
    </row>
    <row r="19" spans="1:10" s="38" customFormat="1" ht="12.75">
      <c r="A19" s="220" t="s">
        <v>294</v>
      </c>
      <c r="B19" s="182"/>
      <c r="C19" s="182"/>
      <c r="D19" s="184"/>
      <c r="E19" s="182">
        <f>C19-'[1]Marts'!C19</f>
        <v>0</v>
      </c>
      <c r="F19" s="220" t="s">
        <v>294</v>
      </c>
      <c r="G19" s="182">
        <v>1210</v>
      </c>
      <c r="H19" s="182">
        <v>839</v>
      </c>
      <c r="I19" s="184">
        <f t="shared" si="0"/>
        <v>69.33884297520662</v>
      </c>
      <c r="J19" s="182">
        <f>H19-'[1]Augusts'!H19</f>
        <v>103</v>
      </c>
    </row>
    <row r="20" spans="1:10" s="49" customFormat="1" ht="12.75">
      <c r="A20" s="491" t="s">
        <v>835</v>
      </c>
      <c r="B20" s="182"/>
      <c r="C20" s="177">
        <f>C21</f>
        <v>0</v>
      </c>
      <c r="D20" s="195"/>
      <c r="E20" s="177">
        <f>E21</f>
        <v>0</v>
      </c>
      <c r="F20" s="491" t="s">
        <v>835</v>
      </c>
      <c r="G20" s="177">
        <f>G21</f>
        <v>1035</v>
      </c>
      <c r="H20" s="177">
        <f>H21</f>
        <v>969</v>
      </c>
      <c r="I20" s="195">
        <f t="shared" si="0"/>
        <v>93.6231884057971</v>
      </c>
      <c r="J20" s="177">
        <f>J21</f>
        <v>116</v>
      </c>
    </row>
    <row r="21" spans="1:10" ht="25.5">
      <c r="A21" s="493" t="s">
        <v>295</v>
      </c>
      <c r="B21" s="182"/>
      <c r="C21" s="182"/>
      <c r="D21" s="184"/>
      <c r="E21" s="182">
        <f>C21-'[1]Marts'!C21</f>
        <v>0</v>
      </c>
      <c r="F21" s="493" t="s">
        <v>295</v>
      </c>
      <c r="G21" s="182">
        <v>1035</v>
      </c>
      <c r="H21" s="182">
        <v>969</v>
      </c>
      <c r="I21" s="184">
        <f t="shared" si="0"/>
        <v>93.6231884057971</v>
      </c>
      <c r="J21" s="182">
        <f>H21-'[1]Augusts'!H21</f>
        <v>116</v>
      </c>
    </row>
    <row r="22" spans="1:10" s="49" customFormat="1" ht="12.75">
      <c r="A22" s="491" t="s">
        <v>296</v>
      </c>
      <c r="B22" s="182"/>
      <c r="C22" s="177">
        <f>SUM(C23:C28)</f>
        <v>0</v>
      </c>
      <c r="D22" s="195"/>
      <c r="E22" s="177">
        <f>SUM(E23:E28)</f>
        <v>0</v>
      </c>
      <c r="F22" s="491" t="s">
        <v>296</v>
      </c>
      <c r="G22" s="177">
        <f>SUM(G23:G28)</f>
        <v>18231</v>
      </c>
      <c r="H22" s="177">
        <f>SUM(H23:H28)</f>
        <v>13013</v>
      </c>
      <c r="I22" s="195">
        <f t="shared" si="0"/>
        <v>71.37842137019362</v>
      </c>
      <c r="J22" s="177">
        <f>SUM(J23:J28)</f>
        <v>982</v>
      </c>
    </row>
    <row r="23" spans="1:10" ht="12.75">
      <c r="A23" s="220" t="s">
        <v>297</v>
      </c>
      <c r="B23" s="182"/>
      <c r="C23" s="182"/>
      <c r="D23" s="184"/>
      <c r="E23" s="182">
        <f>C23-'[1]Marts'!C23</f>
        <v>0</v>
      </c>
      <c r="F23" s="220" t="s">
        <v>297</v>
      </c>
      <c r="G23" s="182">
        <v>505</v>
      </c>
      <c r="H23" s="182">
        <v>347</v>
      </c>
      <c r="I23" s="184">
        <f t="shared" si="0"/>
        <v>68.71287128712872</v>
      </c>
      <c r="J23" s="182">
        <f>H23-'[1]Augusts'!H23</f>
        <v>30</v>
      </c>
    </row>
    <row r="24" spans="1:10" ht="12.75">
      <c r="A24" s="220" t="s">
        <v>298</v>
      </c>
      <c r="B24" s="182"/>
      <c r="C24" s="182"/>
      <c r="D24" s="184"/>
      <c r="E24" s="182">
        <f>C24-'[1]Marts'!C24</f>
        <v>0</v>
      </c>
      <c r="F24" s="220" t="s">
        <v>298</v>
      </c>
      <c r="G24" s="182">
        <v>3134</v>
      </c>
      <c r="H24" s="182">
        <v>2411</v>
      </c>
      <c r="I24" s="184">
        <f t="shared" si="0"/>
        <v>76.93044033184428</v>
      </c>
      <c r="J24" s="182">
        <f>H24-'[1]Augusts'!H24</f>
        <v>135</v>
      </c>
    </row>
    <row r="25" spans="1:10" ht="12.75">
      <c r="A25" s="220" t="s">
        <v>299</v>
      </c>
      <c r="B25" s="182"/>
      <c r="C25" s="182"/>
      <c r="D25" s="184"/>
      <c r="E25" s="182">
        <f>C25-'[1]Marts'!C25</f>
        <v>0</v>
      </c>
      <c r="F25" s="220" t="s">
        <v>299</v>
      </c>
      <c r="G25" s="182">
        <v>250</v>
      </c>
      <c r="H25" s="182">
        <v>170</v>
      </c>
      <c r="I25" s="184">
        <f t="shared" si="0"/>
        <v>68</v>
      </c>
      <c r="J25" s="182">
        <f>H25-'[1]Augusts'!H25</f>
        <v>-4</v>
      </c>
    </row>
    <row r="26" spans="1:10" ht="12.75">
      <c r="A26" s="220" t="s">
        <v>300</v>
      </c>
      <c r="B26" s="182"/>
      <c r="C26" s="182"/>
      <c r="D26" s="184"/>
      <c r="E26" s="182">
        <f>C26-'[1]Marts'!C26</f>
        <v>0</v>
      </c>
      <c r="F26" s="220" t="s">
        <v>300</v>
      </c>
      <c r="G26" s="182">
        <v>13580</v>
      </c>
      <c r="H26" s="182">
        <v>9510</v>
      </c>
      <c r="I26" s="184">
        <f t="shared" si="0"/>
        <v>70.02945508100147</v>
      </c>
      <c r="J26" s="182">
        <f>H26-'[1]Augusts'!H26</f>
        <v>773</v>
      </c>
    </row>
    <row r="27" spans="1:10" ht="25.5">
      <c r="A27" s="494" t="s">
        <v>301</v>
      </c>
      <c r="B27" s="182"/>
      <c r="C27" s="182"/>
      <c r="D27" s="184"/>
      <c r="E27" s="182">
        <f>C27-'[1]Marts'!C27</f>
        <v>0</v>
      </c>
      <c r="F27" s="494" t="s">
        <v>301</v>
      </c>
      <c r="G27" s="182">
        <v>606</v>
      </c>
      <c r="H27" s="182">
        <v>435</v>
      </c>
      <c r="I27" s="184">
        <f t="shared" si="0"/>
        <v>71.78217821782178</v>
      </c>
      <c r="J27" s="182">
        <f>H27-'[1]Augusts'!H27</f>
        <v>11</v>
      </c>
    </row>
    <row r="28" spans="1:10" ht="12.75">
      <c r="A28" s="220" t="s">
        <v>302</v>
      </c>
      <c r="B28" s="182"/>
      <c r="C28" s="182"/>
      <c r="D28" s="184"/>
      <c r="E28" s="182">
        <f>C28-'[1]Marts'!C28</f>
        <v>0</v>
      </c>
      <c r="F28" s="220" t="s">
        <v>302</v>
      </c>
      <c r="G28" s="182">
        <v>156</v>
      </c>
      <c r="H28" s="182">
        <v>140</v>
      </c>
      <c r="I28" s="184">
        <f t="shared" si="0"/>
        <v>89.74358974358975</v>
      </c>
      <c r="J28" s="182">
        <f>H28-'[1]Augusts'!H28</f>
        <v>37</v>
      </c>
    </row>
    <row r="29" spans="1:10" ht="51">
      <c r="A29" s="495" t="s">
        <v>303</v>
      </c>
      <c r="B29" s="182"/>
      <c r="C29" s="177"/>
      <c r="D29" s="195"/>
      <c r="E29" s="177">
        <f>C29-'[1]Marts'!C29</f>
        <v>0</v>
      </c>
      <c r="F29" s="495" t="s">
        <v>303</v>
      </c>
      <c r="G29" s="177">
        <v>25321</v>
      </c>
      <c r="H29" s="177">
        <v>18802</v>
      </c>
      <c r="I29" s="195">
        <f t="shared" si="0"/>
        <v>74.25457130445085</v>
      </c>
      <c r="J29" s="177">
        <f>H29-'[1]Augusts'!H29</f>
        <v>1855</v>
      </c>
    </row>
    <row r="30" spans="1:10" ht="12.75">
      <c r="A30" s="491" t="s">
        <v>304</v>
      </c>
      <c r="B30" s="182"/>
      <c r="C30" s="177">
        <f>SUM(C31,C35,C39,C43)</f>
        <v>0</v>
      </c>
      <c r="D30" s="195"/>
      <c r="E30" s="177">
        <f>SUM(E31,E35,E39,E43)</f>
        <v>0</v>
      </c>
      <c r="F30" s="491" t="s">
        <v>304</v>
      </c>
      <c r="G30" s="177">
        <f>SUM(G31,G35,G39,G43)</f>
        <v>154365</v>
      </c>
      <c r="H30" s="177">
        <f>SUM(H31,H35,H39,H43)</f>
        <v>117230</v>
      </c>
      <c r="I30" s="195">
        <f t="shared" si="0"/>
        <v>75.9433809477537</v>
      </c>
      <c r="J30" s="177">
        <f>SUM(J31,J35,J39,J43)</f>
        <v>11176</v>
      </c>
    </row>
    <row r="31" spans="1:10" ht="12.75">
      <c r="A31" s="489" t="s">
        <v>305</v>
      </c>
      <c r="B31" s="182"/>
      <c r="C31" s="177">
        <f>SUM(C32:C34)</f>
        <v>0</v>
      </c>
      <c r="D31" s="195"/>
      <c r="E31" s="177">
        <f>SUM(E32:E34)</f>
        <v>0</v>
      </c>
      <c r="F31" s="489" t="s">
        <v>305</v>
      </c>
      <c r="G31" s="177">
        <f>SUM(G32:G34)</f>
        <v>8719</v>
      </c>
      <c r="H31" s="177">
        <f>SUM(H32:H34)</f>
        <v>6146</v>
      </c>
      <c r="I31" s="195">
        <f t="shared" si="0"/>
        <v>70.48973506136025</v>
      </c>
      <c r="J31" s="177">
        <f>SUM(J32:J34)</f>
        <v>741</v>
      </c>
    </row>
    <row r="32" spans="1:10" ht="25.5">
      <c r="A32" s="494" t="s">
        <v>306</v>
      </c>
      <c r="B32" s="182"/>
      <c r="C32" s="182"/>
      <c r="D32" s="184"/>
      <c r="E32" s="182">
        <f>C32-'[1]Marts'!C32</f>
        <v>0</v>
      </c>
      <c r="F32" s="494" t="s">
        <v>306</v>
      </c>
      <c r="G32" s="182">
        <v>7003</v>
      </c>
      <c r="H32" s="182">
        <v>4762</v>
      </c>
      <c r="I32" s="184">
        <f t="shared" si="0"/>
        <v>67.99942881622162</v>
      </c>
      <c r="J32" s="182">
        <f>H32-'[1]Augusts'!H32</f>
        <v>524</v>
      </c>
    </row>
    <row r="33" spans="1:10" ht="38.25">
      <c r="A33" s="494" t="s">
        <v>307</v>
      </c>
      <c r="B33" s="182"/>
      <c r="C33" s="182"/>
      <c r="D33" s="184"/>
      <c r="E33" s="182">
        <f>C33-'[1]Marts'!C33</f>
        <v>0</v>
      </c>
      <c r="F33" s="494" t="s">
        <v>307</v>
      </c>
      <c r="G33" s="182">
        <v>500</v>
      </c>
      <c r="H33" s="182">
        <v>377</v>
      </c>
      <c r="I33" s="184">
        <f t="shared" si="0"/>
        <v>75.4</v>
      </c>
      <c r="J33" s="182">
        <f>H33-'[1]Augusts'!H33</f>
        <v>32</v>
      </c>
    </row>
    <row r="34" spans="1:10" ht="12.75">
      <c r="A34" s="220" t="s">
        <v>308</v>
      </c>
      <c r="B34" s="182"/>
      <c r="C34" s="182"/>
      <c r="D34" s="184"/>
      <c r="E34" s="182">
        <f>C34-'[1]Marts'!C34</f>
        <v>0</v>
      </c>
      <c r="F34" s="220" t="s">
        <v>308</v>
      </c>
      <c r="G34" s="182">
        <v>1216</v>
      </c>
      <c r="H34" s="182">
        <v>1007</v>
      </c>
      <c r="I34" s="184">
        <f t="shared" si="0"/>
        <v>82.8125</v>
      </c>
      <c r="J34" s="182">
        <f>H34-'[1]Augusts'!H34</f>
        <v>185</v>
      </c>
    </row>
    <row r="35" spans="1:10" ht="12.75">
      <c r="A35" s="489" t="s">
        <v>309</v>
      </c>
      <c r="B35" s="182"/>
      <c r="C35" s="177">
        <f>SUM(C36:C38)</f>
        <v>0</v>
      </c>
      <c r="D35" s="195"/>
      <c r="E35" s="177">
        <f>SUM(E36:E38)</f>
        <v>0</v>
      </c>
      <c r="F35" s="489" t="s">
        <v>309</v>
      </c>
      <c r="G35" s="177">
        <f>SUM(G36:G38)</f>
        <v>110060</v>
      </c>
      <c r="H35" s="177">
        <f>SUM(H36:H38)</f>
        <v>84197</v>
      </c>
      <c r="I35" s="195">
        <f t="shared" si="0"/>
        <v>76.50099945484281</v>
      </c>
      <c r="J35" s="177">
        <f>SUM(J36:J38)</f>
        <v>7489</v>
      </c>
    </row>
    <row r="36" spans="1:10" ht="12.75">
      <c r="A36" s="220" t="s">
        <v>310</v>
      </c>
      <c r="B36" s="182"/>
      <c r="C36" s="182"/>
      <c r="D36" s="184"/>
      <c r="E36" s="182">
        <f>C36-'[1]Marts'!C36</f>
        <v>0</v>
      </c>
      <c r="F36" s="220" t="s">
        <v>310</v>
      </c>
      <c r="G36" s="182">
        <v>274</v>
      </c>
      <c r="H36" s="182">
        <v>204</v>
      </c>
      <c r="I36" s="184">
        <f t="shared" si="0"/>
        <v>74.45255474452554</v>
      </c>
      <c r="J36" s="182">
        <f>H36-'[1]Augusts'!H36</f>
        <v>22</v>
      </c>
    </row>
    <row r="37" spans="1:10" ht="12.75">
      <c r="A37" s="220" t="s">
        <v>311</v>
      </c>
      <c r="B37" s="182"/>
      <c r="C37" s="182"/>
      <c r="D37" s="184"/>
      <c r="E37" s="182">
        <f>C37-'[1]Marts'!C37</f>
        <v>0</v>
      </c>
      <c r="F37" s="220" t="s">
        <v>311</v>
      </c>
      <c r="G37" s="182">
        <v>109786</v>
      </c>
      <c r="H37" s="182">
        <v>83993</v>
      </c>
      <c r="I37" s="184">
        <f t="shared" si="0"/>
        <v>76.50611189040497</v>
      </c>
      <c r="J37" s="182">
        <f>H37-'[1]Augusts'!H37</f>
        <v>7467</v>
      </c>
    </row>
    <row r="38" spans="1:10" ht="21.75" customHeight="1">
      <c r="A38" s="493" t="s">
        <v>312</v>
      </c>
      <c r="B38" s="182"/>
      <c r="C38" s="182"/>
      <c r="D38" s="184"/>
      <c r="E38" s="182">
        <f>C38-'[1]Marts'!C38</f>
        <v>0</v>
      </c>
      <c r="F38" s="496" t="s">
        <v>312</v>
      </c>
      <c r="G38" s="182"/>
      <c r="H38" s="182"/>
      <c r="I38" s="195"/>
      <c r="J38" s="182"/>
    </row>
    <row r="39" spans="1:10" ht="38.25">
      <c r="A39" s="490" t="s">
        <v>313</v>
      </c>
      <c r="B39" s="182"/>
      <c r="C39" s="177">
        <f>SUM(C40:C42)</f>
        <v>0</v>
      </c>
      <c r="D39" s="177"/>
      <c r="E39" s="177">
        <f>SUM(E40:E42)</f>
        <v>0</v>
      </c>
      <c r="F39" s="497" t="s">
        <v>313</v>
      </c>
      <c r="G39" s="177">
        <f>SUM(G40:G42)</f>
        <v>34369</v>
      </c>
      <c r="H39" s="177">
        <f>SUM(H40:H42)</f>
        <v>25772</v>
      </c>
      <c r="I39" s="195">
        <f>H39/G39*100</f>
        <v>74.98617940585993</v>
      </c>
      <c r="J39" s="177">
        <f>SUM(J40:J42)</f>
        <v>2864</v>
      </c>
    </row>
    <row r="40" spans="1:10" ht="12.75" customHeight="1">
      <c r="A40" s="220" t="s">
        <v>310</v>
      </c>
      <c r="B40" s="182"/>
      <c r="C40" s="182"/>
      <c r="D40" s="184"/>
      <c r="E40" s="182">
        <f>C40-'[1]Marts'!C40</f>
        <v>0</v>
      </c>
      <c r="F40" s="220" t="s">
        <v>310</v>
      </c>
      <c r="G40" s="182">
        <v>34316</v>
      </c>
      <c r="H40" s="182">
        <v>25739</v>
      </c>
      <c r="I40" s="184">
        <f>H40/G40*100</f>
        <v>75.00582818510317</v>
      </c>
      <c r="J40" s="182">
        <f>H40-'[1]Augusts'!H40</f>
        <v>2860</v>
      </c>
    </row>
    <row r="41" spans="1:10" ht="12.75" customHeight="1" hidden="1">
      <c r="A41" s="220" t="s">
        <v>314</v>
      </c>
      <c r="B41" s="182"/>
      <c r="C41" s="182"/>
      <c r="D41" s="184"/>
      <c r="E41" s="182">
        <f>C41-'[1]Marts'!C41</f>
        <v>0</v>
      </c>
      <c r="F41" s="220" t="s">
        <v>314</v>
      </c>
      <c r="G41" s="182"/>
      <c r="H41" s="182"/>
      <c r="I41" s="184" t="e">
        <f>H41/G41*100</f>
        <v>#DIV/0!</v>
      </c>
      <c r="J41" s="182">
        <f>H41-'[1]Augusts'!H41</f>
        <v>0</v>
      </c>
    </row>
    <row r="42" spans="1:10" ht="12.75" customHeight="1">
      <c r="A42" s="220" t="s">
        <v>315</v>
      </c>
      <c r="B42" s="182"/>
      <c r="C42" s="182"/>
      <c r="D42" s="184"/>
      <c r="E42" s="182">
        <f>C42-'[1]Marts'!C42</f>
        <v>0</v>
      </c>
      <c r="F42" s="220" t="s">
        <v>316</v>
      </c>
      <c r="G42" s="182">
        <v>53</v>
      </c>
      <c r="H42" s="182">
        <v>33</v>
      </c>
      <c r="I42" s="184">
        <f>H42/G42*100</f>
        <v>62.264150943396224</v>
      </c>
      <c r="J42" s="182">
        <f>H42-'[1]Augusts'!H42</f>
        <v>4</v>
      </c>
    </row>
    <row r="43" spans="1:10" ht="12.75">
      <c r="A43" s="489" t="s">
        <v>317</v>
      </c>
      <c r="B43" s="498"/>
      <c r="C43" s="182"/>
      <c r="D43" s="184"/>
      <c r="E43" s="182">
        <f>C43-'[1]Marts'!C43</f>
        <v>0</v>
      </c>
      <c r="F43" s="489" t="s">
        <v>317</v>
      </c>
      <c r="G43" s="177">
        <v>1217</v>
      </c>
      <c r="H43" s="177">
        <v>1115</v>
      </c>
      <c r="I43" s="195">
        <f>H43/G43*100</f>
        <v>91.61873459326212</v>
      </c>
      <c r="J43" s="177">
        <f>H43-'[1]Augusts'!H43</f>
        <v>82</v>
      </c>
    </row>
    <row r="44" spans="1:10" ht="12.75">
      <c r="A44" s="499" t="s">
        <v>318</v>
      </c>
      <c r="B44" s="500"/>
      <c r="C44" s="3" t="s">
        <v>319</v>
      </c>
      <c r="D44" s="501"/>
      <c r="E44" s="182"/>
      <c r="F44" s="828" t="s">
        <v>140</v>
      </c>
      <c r="G44" s="829"/>
      <c r="H44" s="829"/>
      <c r="I44" s="501"/>
      <c r="J44" s="502"/>
    </row>
    <row r="45" spans="1:10" ht="12.75">
      <c r="A45" s="499"/>
      <c r="B45" s="475"/>
      <c r="C45" s="475"/>
      <c r="D45" s="475"/>
      <c r="E45" s="502"/>
      <c r="F45" s="830" t="s">
        <v>141</v>
      </c>
      <c r="G45" s="830"/>
      <c r="H45" s="830"/>
      <c r="I45" s="475"/>
      <c r="J45" s="502"/>
    </row>
    <row r="47" s="1" customFormat="1" ht="17.25" customHeight="1">
      <c r="A47" s="49"/>
    </row>
    <row r="48" spans="1:10" ht="17.25" customHeight="1">
      <c r="A48" s="41" t="s">
        <v>938</v>
      </c>
      <c r="B48" s="39"/>
      <c r="C48" s="39"/>
      <c r="D48" s="39" t="s">
        <v>939</v>
      </c>
      <c r="E48" s="1"/>
      <c r="F48" s="41" t="s">
        <v>469</v>
      </c>
      <c r="G48" s="39"/>
      <c r="H48" s="39"/>
      <c r="I48" s="39" t="s">
        <v>859</v>
      </c>
      <c r="J48" s="1"/>
    </row>
    <row r="49" spans="1:10" s="1" customFormat="1" ht="17.25" customHeight="1">
      <c r="A49" s="475"/>
      <c r="B49" s="475"/>
      <c r="C49" s="475"/>
      <c r="D49" s="475"/>
      <c r="E49" s="473"/>
      <c r="F49" s="475"/>
      <c r="G49" s="475"/>
      <c r="H49" s="475"/>
      <c r="I49" s="475"/>
      <c r="J49" s="473"/>
    </row>
    <row r="50" spans="2:9" ht="17.25" customHeight="1">
      <c r="B50" s="475"/>
      <c r="C50" s="475"/>
      <c r="D50" s="475"/>
      <c r="G50" s="475"/>
      <c r="H50" s="475"/>
      <c r="I50" s="475"/>
    </row>
    <row r="51" spans="1:9" s="501" customFormat="1" ht="12.75">
      <c r="A51" s="503"/>
      <c r="C51" s="33"/>
      <c r="D51" s="453"/>
      <c r="F51" s="49" t="s">
        <v>61</v>
      </c>
      <c r="H51" s="33"/>
      <c r="I51" s="453"/>
    </row>
    <row r="52" spans="2:9" ht="12.75">
      <c r="B52" s="501"/>
      <c r="C52" s="501"/>
      <c r="D52" s="501"/>
      <c r="F52" s="49" t="s">
        <v>116</v>
      </c>
      <c r="G52" s="501"/>
      <c r="H52" s="501"/>
      <c r="I52" s="501"/>
    </row>
    <row r="53" spans="1:9" s="501" customFormat="1" ht="17.25" customHeight="1">
      <c r="A53" s="503"/>
      <c r="C53" s="33"/>
      <c r="D53" s="453"/>
      <c r="F53" s="503"/>
      <c r="H53" s="33"/>
      <c r="I53" s="453"/>
    </row>
    <row r="54" spans="2:9" ht="17.25" customHeight="1">
      <c r="B54" s="501"/>
      <c r="C54" s="501"/>
      <c r="D54" s="501"/>
      <c r="G54" s="501"/>
      <c r="H54" s="501"/>
      <c r="I54" s="501"/>
    </row>
    <row r="55" spans="2:8" ht="17.25" customHeight="1">
      <c r="B55" s="504"/>
      <c r="C55" s="33"/>
      <c r="G55" s="504"/>
      <c r="H55" s="33"/>
    </row>
    <row r="56" spans="2:8" ht="17.25" customHeight="1">
      <c r="B56" s="504"/>
      <c r="C56" s="38"/>
      <c r="G56" s="504"/>
      <c r="H56" s="38"/>
    </row>
    <row r="58" spans="2:8" ht="17.25" customHeight="1">
      <c r="B58" s="504"/>
      <c r="C58" s="1"/>
      <c r="G58" s="504"/>
      <c r="H58" s="1"/>
    </row>
    <row r="59" spans="2:8" ht="17.25" customHeight="1">
      <c r="B59" s="504"/>
      <c r="C59" s="1"/>
      <c r="G59" s="504"/>
      <c r="H59" s="1"/>
    </row>
  </sheetData>
  <mergeCells count="2">
    <mergeCell ref="F44:H44"/>
    <mergeCell ref="F45:H45"/>
  </mergeCells>
  <printOptions horizontalCentered="1"/>
  <pageMargins left="1.1023622047244095" right="0.4330708661417323" top="0.35433070866141736" bottom="0.5905511811023623" header="0.15748031496062992" footer="0.35433070866141736"/>
  <pageSetup firstPageNumber="33" useFirstPageNumber="1" fitToHeight="1" fitToWidth="1" horizontalDpi="300" verticalDpi="300" orientation="portrait" paperSize="9" scale="94" r:id="rId3"/>
  <headerFooter alignWithMargins="0">
    <oddFooter>&amp;R&amp;8&amp;P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1">
      <selection activeCell="F3" sqref="F3"/>
    </sheetView>
  </sheetViews>
  <sheetFormatPr defaultColWidth="9.140625" defaultRowHeight="17.25" customHeight="1"/>
  <cols>
    <col min="1" max="1" width="45.57421875" style="475" hidden="1" customWidth="1"/>
    <col min="2" max="2" width="10.8515625" style="520" hidden="1" customWidth="1"/>
    <col min="3" max="3" width="11.28125" style="453" hidden="1" customWidth="1"/>
    <col min="4" max="4" width="12.140625" style="453" hidden="1" customWidth="1"/>
    <col min="5" max="5" width="12.8515625" style="453" hidden="1" customWidth="1"/>
    <col min="6" max="6" width="45.57421875" style="475" customWidth="1"/>
    <col min="7" max="7" width="10.8515625" style="520" customWidth="1"/>
    <col min="8" max="8" width="11.28125" style="453" customWidth="1"/>
    <col min="9" max="9" width="12.140625" style="453" customWidth="1"/>
    <col min="10" max="10" width="12.8515625" style="453" customWidth="1"/>
    <col min="11" max="16384" width="9.140625" style="453" customWidth="1"/>
  </cols>
  <sheetData>
    <row r="1" spans="2:10" ht="17.25" customHeight="1">
      <c r="B1" s="476"/>
      <c r="C1" s="51"/>
      <c r="D1" s="51"/>
      <c r="E1" s="51" t="s">
        <v>320</v>
      </c>
      <c r="G1" s="476"/>
      <c r="H1" s="51"/>
      <c r="I1" s="51"/>
      <c r="J1" s="51" t="s">
        <v>320</v>
      </c>
    </row>
    <row r="2" spans="1:10" ht="17.25" customHeight="1">
      <c r="A2" s="832" t="s">
        <v>321</v>
      </c>
      <c r="B2" s="832"/>
      <c r="C2" s="832"/>
      <c r="D2" s="832"/>
      <c r="E2" s="832"/>
      <c r="F2" s="832" t="s">
        <v>826</v>
      </c>
      <c r="G2" s="832"/>
      <c r="H2" s="832"/>
      <c r="I2" s="832"/>
      <c r="J2" s="832"/>
    </row>
    <row r="3" spans="1:10" s="38" customFormat="1" ht="17.25" customHeight="1">
      <c r="A3" s="476"/>
      <c r="B3" s="506"/>
      <c r="C3" s="87"/>
      <c r="D3" s="87"/>
      <c r="E3" s="87"/>
      <c r="F3" s="476"/>
      <c r="G3" s="506"/>
      <c r="H3" s="87"/>
      <c r="I3" s="87"/>
      <c r="J3" s="87"/>
    </row>
    <row r="4" spans="1:10" ht="17.25" customHeight="1">
      <c r="A4" s="831" t="s">
        <v>322</v>
      </c>
      <c r="B4" s="831"/>
      <c r="C4" s="831"/>
      <c r="D4" s="831"/>
      <c r="E4" s="831"/>
      <c r="F4" s="831" t="s">
        <v>322</v>
      </c>
      <c r="G4" s="831"/>
      <c r="H4" s="831"/>
      <c r="I4" s="831"/>
      <c r="J4" s="831"/>
    </row>
    <row r="5" spans="1:10" s="479" customFormat="1" ht="17.25" customHeight="1">
      <c r="A5" s="831" t="s">
        <v>323</v>
      </c>
      <c r="B5" s="831"/>
      <c r="C5" s="831"/>
      <c r="D5" s="831"/>
      <c r="E5" s="831"/>
      <c r="F5" s="832" t="s">
        <v>98</v>
      </c>
      <c r="G5" s="832"/>
      <c r="H5" s="832"/>
      <c r="I5" s="832"/>
      <c r="J5" s="832"/>
    </row>
    <row r="6" spans="2:10" ht="17.25" customHeight="1">
      <c r="B6" s="508"/>
      <c r="C6" s="38"/>
      <c r="D6" s="87"/>
      <c r="E6" s="51" t="s">
        <v>1023</v>
      </c>
      <c r="G6" s="508"/>
      <c r="H6" s="38"/>
      <c r="I6" s="87" t="s">
        <v>324</v>
      </c>
      <c r="J6" s="51"/>
    </row>
    <row r="7" spans="1:10" s="38" customFormat="1" ht="33.75">
      <c r="A7" s="509" t="s">
        <v>644</v>
      </c>
      <c r="B7" s="486" t="s">
        <v>229</v>
      </c>
      <c r="C7" s="486" t="s">
        <v>751</v>
      </c>
      <c r="D7" s="486" t="s">
        <v>281</v>
      </c>
      <c r="E7" s="9" t="s">
        <v>946</v>
      </c>
      <c r="F7" s="509" t="s">
        <v>644</v>
      </c>
      <c r="G7" s="486" t="s">
        <v>229</v>
      </c>
      <c r="H7" s="486" t="s">
        <v>751</v>
      </c>
      <c r="I7" s="486" t="s">
        <v>281</v>
      </c>
      <c r="J7" s="9" t="s">
        <v>101</v>
      </c>
    </row>
    <row r="8" spans="1:10" ht="17.25" customHeight="1">
      <c r="A8" s="487" t="s">
        <v>282</v>
      </c>
      <c r="B8" s="488" t="s">
        <v>325</v>
      </c>
      <c r="C8" s="488" t="s">
        <v>326</v>
      </c>
      <c r="D8" s="488" t="s">
        <v>327</v>
      </c>
      <c r="E8" s="488" t="s">
        <v>283</v>
      </c>
      <c r="F8" s="487" t="s">
        <v>282</v>
      </c>
      <c r="G8" s="488" t="s">
        <v>325</v>
      </c>
      <c r="H8" s="488" t="s">
        <v>326</v>
      </c>
      <c r="I8" s="488" t="s">
        <v>327</v>
      </c>
      <c r="J8" s="488" t="s">
        <v>283</v>
      </c>
    </row>
    <row r="9" spans="1:10" ht="17.25" customHeight="1">
      <c r="A9" s="490" t="s">
        <v>328</v>
      </c>
      <c r="B9" s="177">
        <f>SUM(B10,B29)</f>
        <v>0</v>
      </c>
      <c r="C9" s="177">
        <f>SUM(C10,C29)</f>
        <v>0</v>
      </c>
      <c r="D9" s="195"/>
      <c r="E9" s="177">
        <f>SUM(E10,E29)</f>
        <v>0</v>
      </c>
      <c r="F9" s="490" t="s">
        <v>328</v>
      </c>
      <c r="G9" s="177">
        <f>SUM(G10,G29)</f>
        <v>472234</v>
      </c>
      <c r="H9" s="177">
        <f>SUM(H10,H29)</f>
        <v>347630</v>
      </c>
      <c r="I9" s="195">
        <f aca="true" t="shared" si="0" ref="I9:I35">H9/G9*100</f>
        <v>73.61392868789626</v>
      </c>
      <c r="J9" s="177">
        <f>SUM(J10,J29)</f>
        <v>35528</v>
      </c>
    </row>
    <row r="10" spans="1:10" s="49" customFormat="1" ht="17.25" customHeight="1">
      <c r="A10" s="510" t="s">
        <v>329</v>
      </c>
      <c r="B10" s="177">
        <f>SUM(B11:B27)</f>
        <v>0</v>
      </c>
      <c r="C10" s="177">
        <f>SUM(C11:C27)</f>
        <v>0</v>
      </c>
      <c r="D10" s="195"/>
      <c r="E10" s="177">
        <f>SUM(E11:E27)</f>
        <v>0</v>
      </c>
      <c r="F10" s="510" t="s">
        <v>329</v>
      </c>
      <c r="G10" s="177">
        <f>SUM(G11:G27)</f>
        <v>435084</v>
      </c>
      <c r="H10" s="177">
        <f>SUM(H11:H27)</f>
        <v>320806</v>
      </c>
      <c r="I10" s="195">
        <f t="shared" si="0"/>
        <v>73.73426740583427</v>
      </c>
      <c r="J10" s="177">
        <f>SUM(J11:J27)</f>
        <v>32537</v>
      </c>
    </row>
    <row r="11" spans="1:10" s="1" customFormat="1" ht="17.25" customHeight="1">
      <c r="A11" s="494" t="s">
        <v>330</v>
      </c>
      <c r="B11" s="182"/>
      <c r="C11" s="182"/>
      <c r="D11" s="184"/>
      <c r="E11" s="182">
        <f>C11-'[3]Marts'!C11</f>
        <v>0</v>
      </c>
      <c r="F11" s="494" t="s">
        <v>330</v>
      </c>
      <c r="G11" s="182">
        <v>47751</v>
      </c>
      <c r="H11" s="182">
        <v>34672</v>
      </c>
      <c r="I11" s="195">
        <f t="shared" si="0"/>
        <v>72.60999769638332</v>
      </c>
      <c r="J11" s="182">
        <f>H11-'[3]Augusts'!H11</f>
        <v>-2614</v>
      </c>
    </row>
    <row r="12" spans="1:10" s="1" customFormat="1" ht="17.25" customHeight="1">
      <c r="A12" s="494" t="s">
        <v>1004</v>
      </c>
      <c r="B12" s="182"/>
      <c r="C12" s="182"/>
      <c r="D12" s="184"/>
      <c r="E12" s="182">
        <f>C12-'[3]Marts'!C12</f>
        <v>0</v>
      </c>
      <c r="F12" s="494" t="s">
        <v>1004</v>
      </c>
      <c r="G12" s="182">
        <v>156</v>
      </c>
      <c r="H12" s="182">
        <v>93</v>
      </c>
      <c r="I12" s="195">
        <f t="shared" si="0"/>
        <v>59.61538461538461</v>
      </c>
      <c r="J12" s="182">
        <f>H12-'[3]Augusts'!H12</f>
        <v>8</v>
      </c>
    </row>
    <row r="13" spans="1:10" s="1" customFormat="1" ht="17.25" customHeight="1">
      <c r="A13" s="494" t="s">
        <v>1005</v>
      </c>
      <c r="B13" s="182"/>
      <c r="C13" s="182"/>
      <c r="D13" s="184"/>
      <c r="E13" s="182">
        <f>C13-'[3]Marts'!C13</f>
        <v>0</v>
      </c>
      <c r="F13" s="494" t="s">
        <v>1005</v>
      </c>
      <c r="G13" s="182">
        <v>6155</v>
      </c>
      <c r="H13" s="182">
        <v>4494</v>
      </c>
      <c r="I13" s="195">
        <f t="shared" si="0"/>
        <v>73.01380991064175</v>
      </c>
      <c r="J13" s="182">
        <f>H13-'[3]Augusts'!H13</f>
        <v>463</v>
      </c>
    </row>
    <row r="14" spans="1:10" s="1" customFormat="1" ht="17.25" customHeight="1">
      <c r="A14" s="494" t="s">
        <v>1006</v>
      </c>
      <c r="B14" s="182"/>
      <c r="C14" s="182"/>
      <c r="D14" s="184"/>
      <c r="E14" s="182">
        <f>C14-'[3]Marts'!C14</f>
        <v>0</v>
      </c>
      <c r="F14" s="494" t="s">
        <v>1006</v>
      </c>
      <c r="G14" s="182">
        <v>213425</v>
      </c>
      <c r="H14" s="182">
        <v>155123</v>
      </c>
      <c r="I14" s="195">
        <f t="shared" si="0"/>
        <v>72.68267541290851</v>
      </c>
      <c r="J14" s="182">
        <f>H14-'[3]Augusts'!H14</f>
        <v>21913</v>
      </c>
    </row>
    <row r="15" spans="1:10" s="1" customFormat="1" ht="17.25" customHeight="1">
      <c r="A15" s="494" t="s">
        <v>1007</v>
      </c>
      <c r="B15" s="182"/>
      <c r="C15" s="182"/>
      <c r="D15" s="184"/>
      <c r="E15" s="182">
        <f>C15-'[3]Marts'!C15</f>
        <v>0</v>
      </c>
      <c r="F15" s="494" t="s">
        <v>1007</v>
      </c>
      <c r="G15" s="182">
        <v>6098</v>
      </c>
      <c r="H15" s="182">
        <v>4889</v>
      </c>
      <c r="I15" s="195">
        <f t="shared" si="0"/>
        <v>80.17382748442112</v>
      </c>
      <c r="J15" s="182">
        <f>H15-'[3]Augusts'!H15</f>
        <v>681</v>
      </c>
    </row>
    <row r="16" spans="1:10" s="1" customFormat="1" ht="17.25" customHeight="1">
      <c r="A16" s="494" t="s">
        <v>1008</v>
      </c>
      <c r="B16" s="182"/>
      <c r="C16" s="182"/>
      <c r="D16" s="184"/>
      <c r="E16" s="182">
        <f>C16-'[3]Marts'!C16</f>
        <v>0</v>
      </c>
      <c r="F16" s="494" t="s">
        <v>1008</v>
      </c>
      <c r="G16" s="182">
        <v>37049</v>
      </c>
      <c r="H16" s="182">
        <v>26835</v>
      </c>
      <c r="I16" s="195">
        <f t="shared" si="0"/>
        <v>72.43110475316473</v>
      </c>
      <c r="J16" s="182">
        <f>H16-'[3]Augusts'!H16</f>
        <v>2667</v>
      </c>
    </row>
    <row r="17" spans="1:10" s="1" customFormat="1" ht="17.25" customHeight="1">
      <c r="A17" s="494" t="s">
        <v>1009</v>
      </c>
      <c r="B17" s="182"/>
      <c r="C17" s="182"/>
      <c r="D17" s="184"/>
      <c r="E17" s="182">
        <f>C17-'[3]Marts'!C17</f>
        <v>0</v>
      </c>
      <c r="F17" s="494" t="s">
        <v>1009</v>
      </c>
      <c r="G17" s="182">
        <v>69213</v>
      </c>
      <c r="H17" s="182">
        <v>52941</v>
      </c>
      <c r="I17" s="195">
        <f t="shared" si="0"/>
        <v>76.48996575787785</v>
      </c>
      <c r="J17" s="182">
        <f>H17-'[3]Augusts'!H17</f>
        <v>5455</v>
      </c>
    </row>
    <row r="18" spans="1:10" s="1" customFormat="1" ht="17.25" customHeight="1">
      <c r="A18" s="494" t="s">
        <v>205</v>
      </c>
      <c r="B18" s="182"/>
      <c r="C18" s="182"/>
      <c r="D18" s="184"/>
      <c r="E18" s="182">
        <f>C18-'[3]Marts'!C18</f>
        <v>0</v>
      </c>
      <c r="F18" s="494" t="s">
        <v>205</v>
      </c>
      <c r="G18" s="182">
        <v>33814</v>
      </c>
      <c r="H18" s="182">
        <v>26169</v>
      </c>
      <c r="I18" s="195">
        <f t="shared" si="0"/>
        <v>77.39102147039688</v>
      </c>
      <c r="J18" s="182">
        <f>H18-'[3]Augusts'!H18</f>
        <v>2757</v>
      </c>
    </row>
    <row r="19" spans="1:10" s="1" customFormat="1" ht="17.25" customHeight="1">
      <c r="A19" s="494" t="s">
        <v>1011</v>
      </c>
      <c r="B19" s="182"/>
      <c r="C19" s="182"/>
      <c r="D19" s="184"/>
      <c r="E19" s="182">
        <f>C19-'[3]Marts'!C19</f>
        <v>0</v>
      </c>
      <c r="F19" s="494" t="s">
        <v>1011</v>
      </c>
      <c r="G19" s="182">
        <v>664</v>
      </c>
      <c r="H19" s="182">
        <v>451</v>
      </c>
      <c r="I19" s="195">
        <f t="shared" si="0"/>
        <v>67.92168674698796</v>
      </c>
      <c r="J19" s="182">
        <f>H19-'[3]Augusts'!H19</f>
        <v>-119</v>
      </c>
    </row>
    <row r="20" spans="1:10" s="1" customFormat="1" ht="25.5">
      <c r="A20" s="494" t="s">
        <v>206</v>
      </c>
      <c r="B20" s="182"/>
      <c r="C20" s="182"/>
      <c r="D20" s="184"/>
      <c r="E20" s="182">
        <f>C20-'[3]Marts'!C20</f>
        <v>0</v>
      </c>
      <c r="F20" s="494" t="s">
        <v>206</v>
      </c>
      <c r="G20" s="182">
        <v>1740</v>
      </c>
      <c r="H20" s="182">
        <v>1067</v>
      </c>
      <c r="I20" s="195">
        <f t="shared" si="0"/>
        <v>61.321839080459775</v>
      </c>
      <c r="J20" s="182">
        <f>H20-'[3]Augusts'!H20</f>
        <v>91</v>
      </c>
    </row>
    <row r="21" spans="1:10" s="1" customFormat="1" ht="25.5">
      <c r="A21" s="494" t="s">
        <v>1013</v>
      </c>
      <c r="B21" s="182"/>
      <c r="C21" s="182"/>
      <c r="D21" s="184"/>
      <c r="E21" s="182">
        <f>C21-'[3]Marts'!C21</f>
        <v>0</v>
      </c>
      <c r="F21" s="494" t="s">
        <v>1013</v>
      </c>
      <c r="G21" s="182">
        <v>158</v>
      </c>
      <c r="H21" s="182">
        <v>49</v>
      </c>
      <c r="I21" s="195">
        <f t="shared" si="0"/>
        <v>31.0126582278481</v>
      </c>
      <c r="J21" s="182">
        <f>H21-'[3]Augusts'!H21</f>
        <v>12</v>
      </c>
    </row>
    <row r="22" spans="1:10" s="1" customFormat="1" ht="17.25" customHeight="1">
      <c r="A22" s="494" t="s">
        <v>331</v>
      </c>
      <c r="B22" s="66"/>
      <c r="C22" s="182"/>
      <c r="D22" s="184"/>
      <c r="E22" s="182">
        <f>C22-'[3]Marts'!C22</f>
        <v>0</v>
      </c>
      <c r="F22" s="494" t="s">
        <v>331</v>
      </c>
      <c r="G22" s="66">
        <v>10434</v>
      </c>
      <c r="H22" s="182">
        <v>8542</v>
      </c>
      <c r="I22" s="195">
        <f t="shared" si="0"/>
        <v>81.86697335633507</v>
      </c>
      <c r="J22" s="182">
        <f>H22-'[3]Augusts'!H22</f>
        <v>760</v>
      </c>
    </row>
    <row r="23" spans="1:10" s="1" customFormat="1" ht="17.25" customHeight="1">
      <c r="A23" s="494" t="s">
        <v>1015</v>
      </c>
      <c r="B23" s="182"/>
      <c r="C23" s="182"/>
      <c r="D23" s="184"/>
      <c r="E23" s="182">
        <f>C23-'[3]Marts'!C23</f>
        <v>0</v>
      </c>
      <c r="F23" s="494" t="s">
        <v>1015</v>
      </c>
      <c r="G23" s="182">
        <v>1379</v>
      </c>
      <c r="H23" s="182">
        <v>1044</v>
      </c>
      <c r="I23" s="195">
        <f t="shared" si="0"/>
        <v>75.7070340826686</v>
      </c>
      <c r="J23" s="182">
        <f>H23-'[3]Augusts'!H23</f>
        <v>110</v>
      </c>
    </row>
    <row r="24" spans="1:10" s="1" customFormat="1" ht="17.25" customHeight="1">
      <c r="A24" s="494" t="s">
        <v>332</v>
      </c>
      <c r="B24" s="182"/>
      <c r="C24" s="182"/>
      <c r="D24" s="184"/>
      <c r="E24" s="182">
        <f>C24-'[3]Marts'!C24</f>
        <v>0</v>
      </c>
      <c r="F24" s="494" t="s">
        <v>332</v>
      </c>
      <c r="G24" s="182">
        <v>3480</v>
      </c>
      <c r="H24" s="182">
        <v>2532</v>
      </c>
      <c r="I24" s="195">
        <f t="shared" si="0"/>
        <v>72.75862068965517</v>
      </c>
      <c r="J24" s="182">
        <f>H24-'[3]Augusts'!H24</f>
        <v>155</v>
      </c>
    </row>
    <row r="25" spans="1:10" s="1" customFormat="1" ht="17.25" customHeight="1">
      <c r="A25" s="494" t="s">
        <v>333</v>
      </c>
      <c r="B25" s="182"/>
      <c r="C25" s="182"/>
      <c r="D25" s="184"/>
      <c r="E25" s="182">
        <f>C25-'[3]Marts'!C25</f>
        <v>0</v>
      </c>
      <c r="F25" s="494" t="s">
        <v>333</v>
      </c>
      <c r="G25" s="182">
        <v>971</v>
      </c>
      <c r="H25" s="182">
        <v>447</v>
      </c>
      <c r="I25" s="195">
        <f t="shared" si="0"/>
        <v>46.03501544799176</v>
      </c>
      <c r="J25" s="182">
        <f>H25-'[3]Augusts'!H25</f>
        <v>13</v>
      </c>
    </row>
    <row r="26" spans="1:10" s="1" customFormat="1" ht="17.25" customHeight="1">
      <c r="A26" s="494" t="s">
        <v>334</v>
      </c>
      <c r="B26" s="182"/>
      <c r="C26" s="182"/>
      <c r="D26" s="184"/>
      <c r="E26" s="182">
        <f>C26-'[3]Marts'!C26</f>
        <v>0</v>
      </c>
      <c r="F26" s="494" t="s">
        <v>334</v>
      </c>
      <c r="G26" s="182">
        <v>966</v>
      </c>
      <c r="H26" s="182">
        <v>18</v>
      </c>
      <c r="I26" s="195">
        <f t="shared" si="0"/>
        <v>1.8633540372670807</v>
      </c>
      <c r="J26" s="182">
        <f>H26-'[3]Augusts'!H26</f>
        <v>-4</v>
      </c>
    </row>
    <row r="27" spans="1:10" s="1" customFormat="1" ht="18.75" customHeight="1">
      <c r="A27" s="69" t="s">
        <v>1016</v>
      </c>
      <c r="B27" s="219"/>
      <c r="C27" s="220"/>
      <c r="D27" s="220"/>
      <c r="E27" s="182">
        <f>C27-'[3]Marts'!C27</f>
        <v>0</v>
      </c>
      <c r="F27" s="69" t="s">
        <v>1016</v>
      </c>
      <c r="G27" s="182">
        <f>1633-2</f>
        <v>1631</v>
      </c>
      <c r="H27" s="182">
        <f>1438+2</f>
        <v>1440</v>
      </c>
      <c r="I27" s="195">
        <f t="shared" si="0"/>
        <v>88.28939301042305</v>
      </c>
      <c r="J27" s="182">
        <f>H27-'[3]Augusts'!H27</f>
        <v>189</v>
      </c>
    </row>
    <row r="28" spans="1:10" s="1" customFormat="1" ht="17.25" customHeight="1" hidden="1">
      <c r="A28" s="60" t="s">
        <v>877</v>
      </c>
      <c r="B28" s="225"/>
      <c r="C28" s="226"/>
      <c r="D28" s="226"/>
      <c r="E28" s="182">
        <f>C28-'[3]Marts'!C28</f>
        <v>0</v>
      </c>
      <c r="F28" s="60" t="s">
        <v>877</v>
      </c>
      <c r="G28" s="225"/>
      <c r="H28" s="226"/>
      <c r="I28" s="195" t="e">
        <f t="shared" si="0"/>
        <v>#DIV/0!</v>
      </c>
      <c r="J28" s="182">
        <f>H28-'[3]Augusts'!H28</f>
        <v>0</v>
      </c>
    </row>
    <row r="29" spans="1:10" s="1" customFormat="1" ht="12.75">
      <c r="A29" s="510" t="s">
        <v>335</v>
      </c>
      <c r="B29" s="177">
        <f>SUM(B30,B34)</f>
        <v>0</v>
      </c>
      <c r="C29" s="177">
        <f>SUM(C30,C34)</f>
        <v>0</v>
      </c>
      <c r="D29" s="195"/>
      <c r="E29" s="182">
        <f>SUM(E30,E34)</f>
        <v>0</v>
      </c>
      <c r="F29" s="510" t="s">
        <v>335</v>
      </c>
      <c r="G29" s="177">
        <f>SUM(G30,G34)</f>
        <v>37150</v>
      </c>
      <c r="H29" s="177">
        <f>SUM(H30,H34)</f>
        <v>26824</v>
      </c>
      <c r="I29" s="195">
        <f t="shared" si="0"/>
        <v>72.20457604306864</v>
      </c>
      <c r="J29" s="177">
        <f>SUM(J30,J34)</f>
        <v>2991</v>
      </c>
    </row>
    <row r="30" spans="1:10" s="1" customFormat="1" ht="12.75">
      <c r="A30" s="490" t="s">
        <v>305</v>
      </c>
      <c r="B30" s="182">
        <f>SUM(B31:B33)</f>
        <v>0</v>
      </c>
      <c r="C30" s="182">
        <f>SUM(C31:C33)</f>
        <v>0</v>
      </c>
      <c r="D30" s="184"/>
      <c r="E30" s="182">
        <f>SUM(E31:E33)</f>
        <v>0</v>
      </c>
      <c r="F30" s="490" t="s">
        <v>305</v>
      </c>
      <c r="G30" s="177">
        <f>SUM(G31:G33)</f>
        <v>9942</v>
      </c>
      <c r="H30" s="177">
        <f>SUM(H31:H33)</f>
        <v>6526</v>
      </c>
      <c r="I30" s="195">
        <f t="shared" si="0"/>
        <v>65.64071615369141</v>
      </c>
      <c r="J30" s="177">
        <f>SUM(J31:J33)</f>
        <v>708</v>
      </c>
    </row>
    <row r="31" spans="1:10" s="1" customFormat="1" ht="25.5">
      <c r="A31" s="511" t="s">
        <v>336</v>
      </c>
      <c r="B31" s="182"/>
      <c r="C31" s="182"/>
      <c r="D31" s="184"/>
      <c r="E31" s="182">
        <f>C31-'[3]Marts'!C31</f>
        <v>0</v>
      </c>
      <c r="F31" s="511" t="s">
        <v>336</v>
      </c>
      <c r="G31" s="182">
        <v>8406</v>
      </c>
      <c r="H31" s="182">
        <v>5414</v>
      </c>
      <c r="I31" s="195">
        <f t="shared" si="0"/>
        <v>64.40637639781109</v>
      </c>
      <c r="J31" s="182">
        <f>H31-'[3]Augusts'!H31</f>
        <v>577</v>
      </c>
    </row>
    <row r="32" spans="1:10" s="1" customFormat="1" ht="25.5">
      <c r="A32" s="511" t="s">
        <v>337</v>
      </c>
      <c r="B32" s="182"/>
      <c r="C32" s="182"/>
      <c r="D32" s="184"/>
      <c r="E32" s="182">
        <f>C32-'[3]Marts'!C32</f>
        <v>0</v>
      </c>
      <c r="F32" s="511" t="s">
        <v>337</v>
      </c>
      <c r="G32" s="182">
        <v>729</v>
      </c>
      <c r="H32" s="182">
        <v>524</v>
      </c>
      <c r="I32" s="195">
        <f t="shared" si="0"/>
        <v>71.87928669410151</v>
      </c>
      <c r="J32" s="182">
        <f>H32-'[3]Augusts'!H32</f>
        <v>67</v>
      </c>
    </row>
    <row r="33" spans="1:10" s="1" customFormat="1" ht="12.75">
      <c r="A33" s="511" t="s">
        <v>308</v>
      </c>
      <c r="B33" s="182"/>
      <c r="C33" s="182"/>
      <c r="D33" s="184"/>
      <c r="E33" s="182">
        <f>C33-'[3]Marts'!C33</f>
        <v>0</v>
      </c>
      <c r="F33" s="511" t="s">
        <v>308</v>
      </c>
      <c r="G33" s="182">
        <v>807</v>
      </c>
      <c r="H33" s="182">
        <f>590-2</f>
        <v>588</v>
      </c>
      <c r="I33" s="195">
        <f t="shared" si="0"/>
        <v>72.86245353159852</v>
      </c>
      <c r="J33" s="182">
        <f>H33-'[3]Augusts'!H33</f>
        <v>64</v>
      </c>
    </row>
    <row r="34" spans="1:10" s="1" customFormat="1" ht="25.5">
      <c r="A34" s="490" t="s">
        <v>338</v>
      </c>
      <c r="B34" s="177">
        <f>SUM(B35:B36)</f>
        <v>0</v>
      </c>
      <c r="C34" s="177">
        <f>SUM(C35:C36)</f>
        <v>0</v>
      </c>
      <c r="D34" s="195"/>
      <c r="E34" s="177">
        <f>SUM(E35:E36)</f>
        <v>0</v>
      </c>
      <c r="F34" s="490" t="s">
        <v>338</v>
      </c>
      <c r="G34" s="177">
        <f>SUM(G35:G36)</f>
        <v>27208</v>
      </c>
      <c r="H34" s="177">
        <f>SUM(H35:H36)</f>
        <v>20298</v>
      </c>
      <c r="I34" s="195">
        <f t="shared" si="0"/>
        <v>74.60305792413996</v>
      </c>
      <c r="J34" s="177">
        <f>SUM(J35:J36)</f>
        <v>2283</v>
      </c>
    </row>
    <row r="35" spans="1:10" s="1" customFormat="1" ht="12.75">
      <c r="A35" s="494" t="s">
        <v>339</v>
      </c>
      <c r="B35" s="182"/>
      <c r="C35" s="182"/>
      <c r="D35" s="184"/>
      <c r="E35" s="182">
        <f>C35-'[3]Marts'!C35</f>
        <v>0</v>
      </c>
      <c r="F35" s="494" t="s">
        <v>339</v>
      </c>
      <c r="G35" s="182">
        <v>27208</v>
      </c>
      <c r="H35" s="182">
        <v>20298</v>
      </c>
      <c r="I35" s="195">
        <f t="shared" si="0"/>
        <v>74.60305792413996</v>
      </c>
      <c r="J35" s="182">
        <f>H35-'[3]Augusts'!H35</f>
        <v>2283</v>
      </c>
    </row>
    <row r="36" spans="1:10" s="86" customFormat="1" ht="12.75">
      <c r="A36" s="511" t="s">
        <v>340</v>
      </c>
      <c r="B36" s="108"/>
      <c r="C36" s="512"/>
      <c r="D36" s="513"/>
      <c r="E36" s="182">
        <f>C36-'[3]Marts'!C36</f>
        <v>0</v>
      </c>
      <c r="F36" s="511" t="s">
        <v>340</v>
      </c>
      <c r="G36" s="108"/>
      <c r="H36" s="182"/>
      <c r="I36" s="195"/>
      <c r="J36" s="182"/>
    </row>
    <row r="37" spans="1:10" s="86" customFormat="1" ht="17.25" customHeight="1">
      <c r="A37" s="514"/>
      <c r="B37" s="134"/>
      <c r="C37" s="134"/>
      <c r="D37" s="134"/>
      <c r="E37" s="134"/>
      <c r="F37" s="514"/>
      <c r="G37" s="134"/>
      <c r="H37" s="134"/>
      <c r="I37" s="134"/>
      <c r="J37" s="134"/>
    </row>
    <row r="38" spans="1:10" s="1" customFormat="1" ht="17.25" customHeight="1">
      <c r="A38" s="49"/>
      <c r="C38" s="515"/>
      <c r="E38" s="453"/>
      <c r="F38" s="49"/>
      <c r="H38" s="515"/>
      <c r="J38" s="453"/>
    </row>
    <row r="39" spans="1:9" s="1" customFormat="1" ht="17.25" customHeight="1">
      <c r="A39" s="41" t="s">
        <v>938</v>
      </c>
      <c r="B39" s="39"/>
      <c r="C39" s="39"/>
      <c r="D39" s="39" t="s">
        <v>939</v>
      </c>
      <c r="F39" s="41" t="s">
        <v>1018</v>
      </c>
      <c r="G39" s="39"/>
      <c r="H39" s="39"/>
      <c r="I39" s="39" t="s">
        <v>859</v>
      </c>
    </row>
    <row r="40" spans="1:10" s="1" customFormat="1" ht="17.25" customHeight="1">
      <c r="A40" s="516"/>
      <c r="B40" s="517"/>
      <c r="C40" s="515"/>
      <c r="D40" s="134"/>
      <c r="E40" s="453"/>
      <c r="F40" s="516"/>
      <c r="G40" s="517"/>
      <c r="H40" s="515"/>
      <c r="I40" s="134"/>
      <c r="J40" s="453"/>
    </row>
    <row r="41" spans="1:10" s="1" customFormat="1" ht="17.25" customHeight="1">
      <c r="A41" s="475"/>
      <c r="B41" s="515"/>
      <c r="C41" s="134"/>
      <c r="E41" s="453"/>
      <c r="F41" s="475"/>
      <c r="G41" s="515"/>
      <c r="H41" s="134"/>
      <c r="J41" s="453"/>
    </row>
    <row r="43" spans="1:10" s="1" customFormat="1" ht="17.25" customHeight="1">
      <c r="A43" s="475"/>
      <c r="B43" s="518"/>
      <c r="C43" s="268"/>
      <c r="D43" s="268"/>
      <c r="E43" s="453"/>
      <c r="F43" s="49" t="s">
        <v>745</v>
      </c>
      <c r="G43" s="518"/>
      <c r="H43" s="268"/>
      <c r="I43" s="268"/>
      <c r="J43" s="453"/>
    </row>
    <row r="44" spans="1:10" s="1" customFormat="1" ht="17.25" customHeight="1">
      <c r="A44" s="475"/>
      <c r="B44" s="515"/>
      <c r="E44" s="453"/>
      <c r="F44" s="49" t="s">
        <v>116</v>
      </c>
      <c r="G44" s="515"/>
      <c r="J44" s="453"/>
    </row>
    <row r="45" spans="1:10" s="1" customFormat="1" ht="17.25" customHeight="1">
      <c r="A45" s="475"/>
      <c r="B45" s="518"/>
      <c r="C45" s="268"/>
      <c r="D45" s="268"/>
      <c r="E45" s="453"/>
      <c r="F45" s="475"/>
      <c r="G45" s="518"/>
      <c r="H45" s="268"/>
      <c r="I45" s="268"/>
      <c r="J45" s="453"/>
    </row>
    <row r="46" spans="1:10" s="1" customFormat="1" ht="17.25" customHeight="1">
      <c r="A46" s="475"/>
      <c r="B46" s="518"/>
      <c r="C46" s="268"/>
      <c r="E46" s="453"/>
      <c r="F46" s="475"/>
      <c r="G46" s="518"/>
      <c r="H46" s="268"/>
      <c r="J46" s="453"/>
    </row>
    <row r="47" spans="2:9" ht="17.25" customHeight="1">
      <c r="B47" s="519"/>
      <c r="C47" s="504"/>
      <c r="D47" s="268"/>
      <c r="G47" s="519"/>
      <c r="H47" s="504"/>
      <c r="I47" s="268"/>
    </row>
  </sheetData>
  <mergeCells count="6">
    <mergeCell ref="A5:E5"/>
    <mergeCell ref="F5:J5"/>
    <mergeCell ref="A2:E2"/>
    <mergeCell ref="F2:J2"/>
    <mergeCell ref="A4:E4"/>
    <mergeCell ref="F4:J4"/>
  </mergeCells>
  <printOptions horizontalCentered="1"/>
  <pageMargins left="0.9448818897637796" right="0.1968503937007874" top="0.4330708661417323" bottom="0.4724409448818898" header="0.15748031496062992" footer="0.1968503937007874"/>
  <pageSetup firstPageNumber="34" useFirstPageNumber="1" horizontalDpi="300" verticalDpi="300" orientation="portrait" paperSize="9" scale="99" r:id="rId1"/>
  <headerFooter alignWithMargins="0">
    <oddFooter>&amp;R&amp;8&amp;P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">
      <selection activeCell="F5" sqref="F5:J5"/>
    </sheetView>
  </sheetViews>
  <sheetFormatPr defaultColWidth="9.140625" defaultRowHeight="17.25" customHeight="1"/>
  <cols>
    <col min="1" max="1" width="40.28125" style="475" hidden="1" customWidth="1"/>
    <col min="2" max="2" width="8.8515625" style="453" hidden="1" customWidth="1"/>
    <col min="3" max="3" width="12.28125" style="453" hidden="1" customWidth="1"/>
    <col min="4" max="4" width="10.7109375" style="453" hidden="1" customWidth="1"/>
    <col min="5" max="5" width="0.42578125" style="453" hidden="1" customWidth="1"/>
    <col min="6" max="6" width="40.28125" style="475" customWidth="1"/>
    <col min="7" max="7" width="8.8515625" style="453" customWidth="1"/>
    <col min="8" max="8" width="12.28125" style="453" customWidth="1"/>
    <col min="9" max="9" width="10.7109375" style="453" customWidth="1"/>
    <col min="10" max="10" width="11.57421875" style="453" customWidth="1"/>
    <col min="11" max="16384" width="9.140625" style="453" customWidth="1"/>
  </cols>
  <sheetData>
    <row r="1" spans="1:10" s="38" customFormat="1" ht="17.25" customHeight="1">
      <c r="A1" s="49"/>
      <c r="B1" s="51"/>
      <c r="C1" s="51"/>
      <c r="D1" s="51"/>
      <c r="E1" s="275" t="s">
        <v>341</v>
      </c>
      <c r="F1" s="49"/>
      <c r="G1" s="51"/>
      <c r="H1" s="51"/>
      <c r="I1" s="51"/>
      <c r="J1" s="275" t="s">
        <v>341</v>
      </c>
    </row>
    <row r="2" spans="1:10" s="49" customFormat="1" ht="17.25" customHeight="1">
      <c r="A2" s="476" t="s">
        <v>342</v>
      </c>
      <c r="B2" s="51"/>
      <c r="C2" s="51"/>
      <c r="D2" s="51"/>
      <c r="E2" s="521"/>
      <c r="F2" s="476" t="s">
        <v>342</v>
      </c>
      <c r="G2" s="51"/>
      <c r="H2" s="51"/>
      <c r="I2" s="51"/>
      <c r="J2" s="521"/>
    </row>
    <row r="3" spans="1:10" s="38" customFormat="1" ht="17.25" customHeight="1">
      <c r="A3" s="475"/>
      <c r="D3" s="87"/>
      <c r="E3" s="87"/>
      <c r="F3" s="475"/>
      <c r="I3" s="87"/>
      <c r="J3" s="87"/>
    </row>
    <row r="4" spans="1:10" s="479" customFormat="1" ht="17.25" customHeight="1">
      <c r="A4" s="831" t="s">
        <v>343</v>
      </c>
      <c r="B4" s="831"/>
      <c r="C4" s="831"/>
      <c r="D4" s="831"/>
      <c r="E4" s="831"/>
      <c r="F4" s="831" t="s">
        <v>343</v>
      </c>
      <c r="G4" s="831"/>
      <c r="H4" s="831"/>
      <c r="I4" s="831"/>
      <c r="J4" s="831"/>
    </row>
    <row r="5" spans="1:10" s="479" customFormat="1" ht="17.25" customHeight="1">
      <c r="A5" s="831" t="s">
        <v>344</v>
      </c>
      <c r="B5" s="831"/>
      <c r="C5" s="831"/>
      <c r="D5" s="831"/>
      <c r="E5" s="831"/>
      <c r="F5" s="832" t="s">
        <v>139</v>
      </c>
      <c r="G5" s="832"/>
      <c r="H5" s="832"/>
      <c r="I5" s="832"/>
      <c r="J5" s="832"/>
    </row>
    <row r="6" spans="1:10" s="38" customFormat="1" ht="17.25" customHeight="1">
      <c r="A6" s="475"/>
      <c r="C6" s="87" t="s">
        <v>345</v>
      </c>
      <c r="D6" s="87"/>
      <c r="E6" s="51" t="s">
        <v>1023</v>
      </c>
      <c r="F6" s="475"/>
      <c r="I6" s="87"/>
      <c r="J6" s="2" t="s">
        <v>749</v>
      </c>
    </row>
    <row r="7" spans="1:10" s="38" customFormat="1" ht="57.75" customHeight="1">
      <c r="A7" s="509" t="s">
        <v>644</v>
      </c>
      <c r="B7" s="486" t="s">
        <v>229</v>
      </c>
      <c r="C7" s="486" t="s">
        <v>751</v>
      </c>
      <c r="D7" s="486" t="s">
        <v>281</v>
      </c>
      <c r="E7" s="9" t="s">
        <v>346</v>
      </c>
      <c r="F7" s="509" t="s">
        <v>644</v>
      </c>
      <c r="G7" s="486" t="s">
        <v>229</v>
      </c>
      <c r="H7" s="486" t="s">
        <v>751</v>
      </c>
      <c r="I7" s="486" t="s">
        <v>281</v>
      </c>
      <c r="J7" s="9" t="s">
        <v>101</v>
      </c>
    </row>
    <row r="8" spans="1:10" s="49" customFormat="1" ht="17.25" customHeight="1">
      <c r="A8" s="487" t="s">
        <v>282</v>
      </c>
      <c r="B8" s="488" t="s">
        <v>325</v>
      </c>
      <c r="C8" s="488" t="s">
        <v>326</v>
      </c>
      <c r="D8" s="488" t="s">
        <v>327</v>
      </c>
      <c r="E8" s="488" t="s">
        <v>283</v>
      </c>
      <c r="F8" s="487" t="s">
        <v>282</v>
      </c>
      <c r="G8" s="488" t="s">
        <v>325</v>
      </c>
      <c r="H8" s="488" t="s">
        <v>326</v>
      </c>
      <c r="I8" s="488" t="s">
        <v>327</v>
      </c>
      <c r="J8" s="488" t="s">
        <v>283</v>
      </c>
    </row>
    <row r="9" spans="1:10" s="49" customFormat="1" ht="17.25" customHeight="1">
      <c r="A9" s="490" t="s">
        <v>947</v>
      </c>
      <c r="B9" s="182"/>
      <c r="C9" s="177">
        <f>'[1]Marts'!$C$9</f>
        <v>0</v>
      </c>
      <c r="D9" s="184"/>
      <c r="E9" s="177">
        <f>C9-'[2]Marts'!C9</f>
        <v>0</v>
      </c>
      <c r="F9" s="490" t="s">
        <v>947</v>
      </c>
      <c r="G9" s="177">
        <f>'[1]Septembris'!$G$9</f>
        <v>442883</v>
      </c>
      <c r="H9" s="177">
        <f>'[1]Septembris'!$H$9</f>
        <v>334949</v>
      </c>
      <c r="I9" s="195">
        <f aca="true" t="shared" si="0" ref="I9:I32">H9/G9*100</f>
        <v>75.62922939015496</v>
      </c>
      <c r="J9" s="177">
        <f>H9-'[2]Augusts'!H9</f>
        <v>32900</v>
      </c>
    </row>
    <row r="10" spans="1:10" s="49" customFormat="1" ht="17.25" customHeight="1">
      <c r="A10" s="490" t="s">
        <v>347</v>
      </c>
      <c r="B10" s="182"/>
      <c r="C10" s="177">
        <f>SUM(C11,C26)</f>
        <v>0</v>
      </c>
      <c r="D10" s="195"/>
      <c r="E10" s="177">
        <f>SUM(E11,E26)</f>
        <v>0</v>
      </c>
      <c r="F10" s="490" t="s">
        <v>347</v>
      </c>
      <c r="G10" s="177">
        <f>SUM(G11,G26)</f>
        <v>472957</v>
      </c>
      <c r="H10" s="177">
        <f>SUM(H11,H26)</f>
        <v>348452</v>
      </c>
      <c r="I10" s="195">
        <f t="shared" si="0"/>
        <v>73.67519668807101</v>
      </c>
      <c r="J10" s="177">
        <f>SUM(J11,J26)</f>
        <v>35606</v>
      </c>
    </row>
    <row r="11" spans="1:10" s="501" customFormat="1" ht="17.25" customHeight="1">
      <c r="A11" s="510" t="s">
        <v>954</v>
      </c>
      <c r="B11" s="182"/>
      <c r="C11" s="177">
        <f>SUM(C12,C18,C19)</f>
        <v>0</v>
      </c>
      <c r="D11" s="195"/>
      <c r="E11" s="177">
        <f>SUM(E12,E18,E19)</f>
        <v>0</v>
      </c>
      <c r="F11" s="510" t="s">
        <v>954</v>
      </c>
      <c r="G11" s="177">
        <f>SUM(G12,G18,G19)</f>
        <v>398904</v>
      </c>
      <c r="H11" s="177">
        <f>SUM(H12,H18,H19)</f>
        <v>285428</v>
      </c>
      <c r="I11" s="195">
        <f t="shared" si="0"/>
        <v>71.55305537171851</v>
      </c>
      <c r="J11" s="177">
        <f>SUM(J12,J18,J19)</f>
        <v>26857</v>
      </c>
    </row>
    <row r="12" spans="1:10" s="501" customFormat="1" ht="17.25" customHeight="1">
      <c r="A12" s="510" t="s">
        <v>955</v>
      </c>
      <c r="B12" s="182"/>
      <c r="C12" s="177">
        <f>SUM(C13,C14,C15)</f>
        <v>0</v>
      </c>
      <c r="D12" s="195"/>
      <c r="E12" s="177">
        <f>SUM(E13,E14,E15)</f>
        <v>0</v>
      </c>
      <c r="F12" s="510" t="s">
        <v>955</v>
      </c>
      <c r="G12" s="177">
        <f>SUM(G13,G14,G15)</f>
        <v>314270</v>
      </c>
      <c r="H12" s="177">
        <f>SUM(H13,H14,H15)</f>
        <v>224025</v>
      </c>
      <c r="I12" s="195">
        <f t="shared" si="0"/>
        <v>71.28424603048335</v>
      </c>
      <c r="J12" s="177">
        <f>SUM(J13,J14,J15)</f>
        <v>21228</v>
      </c>
    </row>
    <row r="13" spans="1:10" ht="12.75">
      <c r="A13" s="511" t="s">
        <v>348</v>
      </c>
      <c r="B13" s="182"/>
      <c r="C13" s="182"/>
      <c r="D13" s="184"/>
      <c r="E13" s="182">
        <f>C13-'[2]Marts'!C13</f>
        <v>0</v>
      </c>
      <c r="F13" s="511" t="s">
        <v>348</v>
      </c>
      <c r="G13" s="182">
        <v>162776</v>
      </c>
      <c r="H13" s="182">
        <v>116507</v>
      </c>
      <c r="I13" s="184">
        <f t="shared" si="0"/>
        <v>71.57504791861207</v>
      </c>
      <c r="J13" s="182">
        <f>H13-'[2]Augusts'!H13</f>
        <v>10843</v>
      </c>
    </row>
    <row r="14" spans="1:10" ht="25.5">
      <c r="A14" s="511" t="s">
        <v>349</v>
      </c>
      <c r="B14" s="182"/>
      <c r="C14" s="182"/>
      <c r="D14" s="184"/>
      <c r="E14" s="182">
        <f>C14-'[2]Marts'!C14</f>
        <v>0</v>
      </c>
      <c r="F14" s="511" t="s">
        <v>349</v>
      </c>
      <c r="G14" s="182">
        <v>42805</v>
      </c>
      <c r="H14" s="182">
        <v>29775</v>
      </c>
      <c r="I14" s="184">
        <f t="shared" si="0"/>
        <v>69.5596308842425</v>
      </c>
      <c r="J14" s="182">
        <f>H14-'[2]Augusts'!H14</f>
        <v>2914</v>
      </c>
    </row>
    <row r="15" spans="1:10" ht="17.25" customHeight="1">
      <c r="A15" s="511" t="s">
        <v>350</v>
      </c>
      <c r="B15" s="182"/>
      <c r="C15" s="182">
        <f>SUM(C16:C17)</f>
        <v>0</v>
      </c>
      <c r="D15" s="184"/>
      <c r="E15" s="182">
        <f>SUM(E16:E17)</f>
        <v>0</v>
      </c>
      <c r="F15" s="511" t="s">
        <v>350</v>
      </c>
      <c r="G15" s="182">
        <f>SUM(G16:G17)</f>
        <v>108689</v>
      </c>
      <c r="H15" s="182">
        <f>SUM(H16:H17)</f>
        <v>77743</v>
      </c>
      <c r="I15" s="184">
        <f t="shared" si="0"/>
        <v>71.5279375097756</v>
      </c>
      <c r="J15" s="182">
        <f>H15-'[2]Augusts'!H15</f>
        <v>7471</v>
      </c>
    </row>
    <row r="16" spans="1:10" ht="25.5">
      <c r="A16" s="522" t="s">
        <v>351</v>
      </c>
      <c r="B16" s="182"/>
      <c r="C16" s="182"/>
      <c r="D16" s="184"/>
      <c r="E16" s="182">
        <f>C16-'[2]Marts'!C16</f>
        <v>0</v>
      </c>
      <c r="F16" s="522" t="s">
        <v>351</v>
      </c>
      <c r="G16" s="182">
        <f>49452+55429</f>
        <v>104881</v>
      </c>
      <c r="H16" s="182">
        <f>35854+39672</f>
        <v>75526</v>
      </c>
      <c r="I16" s="184">
        <f t="shared" si="0"/>
        <v>72.01113643081206</v>
      </c>
      <c r="J16" s="182">
        <f>H16-'[2]Augusts'!H16</f>
        <v>7161</v>
      </c>
    </row>
    <row r="17" spans="1:10" ht="12.75">
      <c r="A17" s="522" t="s">
        <v>352</v>
      </c>
      <c r="B17" s="182"/>
      <c r="C17" s="182"/>
      <c r="D17" s="184"/>
      <c r="E17" s="182">
        <f>C17-'[2]Marts'!C17</f>
        <v>0</v>
      </c>
      <c r="F17" s="522" t="s">
        <v>352</v>
      </c>
      <c r="G17" s="182">
        <f>1591+2217</f>
        <v>3808</v>
      </c>
      <c r="H17" s="182">
        <f>870+1356-1-8</f>
        <v>2217</v>
      </c>
      <c r="I17" s="184">
        <f t="shared" si="0"/>
        <v>58.21953781512605</v>
      </c>
      <c r="J17" s="182">
        <f>H17-'[2]Augusts'!H17</f>
        <v>310</v>
      </c>
    </row>
    <row r="18" spans="1:10" ht="25.5">
      <c r="A18" s="510" t="s">
        <v>353</v>
      </c>
      <c r="B18" s="182"/>
      <c r="C18" s="177"/>
      <c r="D18" s="184"/>
      <c r="E18" s="182">
        <f>C18-'[2]Marts'!C18</f>
        <v>0</v>
      </c>
      <c r="F18" s="510" t="s">
        <v>353</v>
      </c>
      <c r="G18" s="177">
        <v>4558</v>
      </c>
      <c r="H18" s="177">
        <v>3065</v>
      </c>
      <c r="I18" s="195">
        <f t="shared" si="0"/>
        <v>67.24440544098289</v>
      </c>
      <c r="J18" s="177">
        <f>H18-'[2]Augusts'!H18</f>
        <v>168</v>
      </c>
    </row>
    <row r="19" spans="1:10" ht="12.75">
      <c r="A19" s="510" t="s">
        <v>963</v>
      </c>
      <c r="B19" s="182"/>
      <c r="C19" s="177">
        <f>SUM(C20:C25)</f>
        <v>0</v>
      </c>
      <c r="D19" s="184"/>
      <c r="E19" s="182">
        <f>SUM(E20:E24)</f>
        <v>0</v>
      </c>
      <c r="F19" s="510" t="s">
        <v>963</v>
      </c>
      <c r="G19" s="177">
        <f>SUM(G20:G25)</f>
        <v>80076</v>
      </c>
      <c r="H19" s="177">
        <f>SUM(H20:H25)</f>
        <v>58338</v>
      </c>
      <c r="I19" s="195">
        <f t="shared" si="0"/>
        <v>72.85328937509367</v>
      </c>
      <c r="J19" s="177">
        <f>SUM(J20:J25)</f>
        <v>5461</v>
      </c>
    </row>
    <row r="20" spans="1:10" ht="12.75">
      <c r="A20" s="511" t="s">
        <v>354</v>
      </c>
      <c r="B20" s="182"/>
      <c r="C20" s="182"/>
      <c r="D20" s="184"/>
      <c r="E20" s="182">
        <f>C20-'[2]Marts'!C20</f>
        <v>0</v>
      </c>
      <c r="F20" s="511" t="s">
        <v>354</v>
      </c>
      <c r="G20" s="182">
        <v>310</v>
      </c>
      <c r="H20" s="182">
        <v>200</v>
      </c>
      <c r="I20" s="184">
        <f t="shared" si="0"/>
        <v>64.51612903225806</v>
      </c>
      <c r="J20" s="182">
        <f>H20-'[2]Augusts'!H20</f>
        <v>27</v>
      </c>
    </row>
    <row r="21" spans="1:10" ht="12.75">
      <c r="A21" s="511" t="s">
        <v>355</v>
      </c>
      <c r="B21" s="182"/>
      <c r="C21" s="182"/>
      <c r="D21" s="184"/>
      <c r="E21" s="182">
        <f>C21-'[2]Marts'!C21</f>
        <v>0</v>
      </c>
      <c r="F21" s="511" t="s">
        <v>355</v>
      </c>
      <c r="G21" s="182">
        <v>4991</v>
      </c>
      <c r="H21" s="182">
        <v>3547</v>
      </c>
      <c r="I21" s="184">
        <f t="shared" si="0"/>
        <v>71.06792226006812</v>
      </c>
      <c r="J21" s="182">
        <f>H21-'[2]Augusts'!H21</f>
        <v>294</v>
      </c>
    </row>
    <row r="22" spans="1:10" ht="12.75">
      <c r="A22" s="511" t="s">
        <v>356</v>
      </c>
      <c r="B22" s="182"/>
      <c r="C22" s="182"/>
      <c r="D22" s="184"/>
      <c r="E22" s="182">
        <f>C22-'[2]Marts'!C22</f>
        <v>0</v>
      </c>
      <c r="F22" s="511" t="s">
        <v>356</v>
      </c>
      <c r="G22" s="182">
        <v>27208</v>
      </c>
      <c r="H22" s="182">
        <v>20298</v>
      </c>
      <c r="I22" s="184">
        <f t="shared" si="0"/>
        <v>74.60305792413996</v>
      </c>
      <c r="J22" s="182">
        <f>H22-'[2]Augusts'!H22</f>
        <v>2283</v>
      </c>
    </row>
    <row r="23" spans="1:10" ht="25.5">
      <c r="A23" s="511" t="s">
        <v>357</v>
      </c>
      <c r="B23" s="182"/>
      <c r="C23" s="182"/>
      <c r="D23" s="184"/>
      <c r="E23" s="182">
        <f>C23-'[2]Marts'!C23</f>
        <v>0</v>
      </c>
      <c r="F23" s="511" t="s">
        <v>357</v>
      </c>
      <c r="G23" s="182">
        <v>20137</v>
      </c>
      <c r="H23" s="182">
        <v>15289</v>
      </c>
      <c r="I23" s="184">
        <f t="shared" si="0"/>
        <v>75.92491433679297</v>
      </c>
      <c r="J23" s="182">
        <f>H23-'[2]Augusts'!H23</f>
        <v>1001</v>
      </c>
    </row>
    <row r="24" spans="1:10" ht="12.75">
      <c r="A24" s="511" t="s">
        <v>358</v>
      </c>
      <c r="B24" s="182"/>
      <c r="C24" s="182"/>
      <c r="D24" s="184"/>
      <c r="E24" s="182">
        <f>C24-'[2]Marts'!C24</f>
        <v>0</v>
      </c>
      <c r="F24" s="511" t="s">
        <v>358</v>
      </c>
      <c r="G24" s="182">
        <v>17519</v>
      </c>
      <c r="H24" s="182">
        <v>12478</v>
      </c>
      <c r="I24" s="184">
        <f t="shared" si="0"/>
        <v>71.22552657115132</v>
      </c>
      <c r="J24" s="182">
        <f>H24-'[2]Augusts'!H24</f>
        <v>1148</v>
      </c>
    </row>
    <row r="25" spans="1:10" ht="15.75" customHeight="1">
      <c r="A25" s="511" t="s">
        <v>359</v>
      </c>
      <c r="B25" s="182"/>
      <c r="C25" s="182"/>
      <c r="D25" s="184"/>
      <c r="E25" s="182">
        <f>C25-'[2]Marts'!C25</f>
        <v>0</v>
      </c>
      <c r="F25" s="511" t="s">
        <v>359</v>
      </c>
      <c r="G25" s="182">
        <v>9911</v>
      </c>
      <c r="H25" s="182">
        <f>6518+8</f>
        <v>6526</v>
      </c>
      <c r="I25" s="184">
        <f t="shared" si="0"/>
        <v>65.84602966400969</v>
      </c>
      <c r="J25" s="182">
        <f>H25-'[2]Augusts'!H25</f>
        <v>708</v>
      </c>
    </row>
    <row r="26" spans="1:10" s="501" customFormat="1" ht="12.75">
      <c r="A26" s="510" t="s">
        <v>978</v>
      </c>
      <c r="B26" s="182"/>
      <c r="C26" s="177">
        <f>SUM(C27:C28)</f>
        <v>0</v>
      </c>
      <c r="D26" s="184"/>
      <c r="E26" s="182">
        <f>SUM(E27:E28)</f>
        <v>0</v>
      </c>
      <c r="F26" s="510" t="s">
        <v>978</v>
      </c>
      <c r="G26" s="177">
        <f>SUM(G27:G28)</f>
        <v>74053</v>
      </c>
      <c r="H26" s="177">
        <f>SUM(H27:H28)</f>
        <v>63024</v>
      </c>
      <c r="I26" s="195">
        <f t="shared" si="0"/>
        <v>85.10661283135052</v>
      </c>
      <c r="J26" s="177">
        <f>SUM(J27:J28)</f>
        <v>8749</v>
      </c>
    </row>
    <row r="27" spans="1:10" s="501" customFormat="1" ht="12.75">
      <c r="A27" s="511" t="s">
        <v>360</v>
      </c>
      <c r="B27" s="182"/>
      <c r="C27" s="182"/>
      <c r="D27" s="184"/>
      <c r="E27" s="182">
        <f>C27-'[2]Marts'!C27</f>
        <v>0</v>
      </c>
      <c r="F27" s="511" t="s">
        <v>360</v>
      </c>
      <c r="G27" s="182">
        <f>21242+933</f>
        <v>22175</v>
      </c>
      <c r="H27" s="182">
        <f>15144+684</f>
        <v>15828</v>
      </c>
      <c r="I27" s="184">
        <f t="shared" si="0"/>
        <v>71.37767756482525</v>
      </c>
      <c r="J27" s="182">
        <f>H27-'[2]Augusts'!H27</f>
        <v>3432</v>
      </c>
    </row>
    <row r="28" spans="1:10" ht="17.25" customHeight="1">
      <c r="A28" s="511" t="s">
        <v>195</v>
      </c>
      <c r="B28" s="182"/>
      <c r="C28" s="182"/>
      <c r="D28" s="184"/>
      <c r="E28" s="182">
        <f>C28-'[2]Marts'!C28</f>
        <v>0</v>
      </c>
      <c r="F28" s="511" t="s">
        <v>195</v>
      </c>
      <c r="G28" s="182">
        <v>51878</v>
      </c>
      <c r="H28" s="182">
        <v>47196</v>
      </c>
      <c r="I28" s="184">
        <f t="shared" si="0"/>
        <v>90.97497976020664</v>
      </c>
      <c r="J28" s="182">
        <f>H28-'[2]Augusts'!H28</f>
        <v>5317</v>
      </c>
    </row>
    <row r="29" spans="1:10" s="501" customFormat="1" ht="12.75">
      <c r="A29" s="510" t="s">
        <v>361</v>
      </c>
      <c r="B29" s="182"/>
      <c r="C29" s="177">
        <f>C30-C31</f>
        <v>0</v>
      </c>
      <c r="D29" s="184"/>
      <c r="E29" s="182">
        <f>E30-E31</f>
        <v>0</v>
      </c>
      <c r="F29" s="510" t="s">
        <v>361</v>
      </c>
      <c r="G29" s="177">
        <f>G30-G31</f>
        <v>-723</v>
      </c>
      <c r="H29" s="177">
        <f>H30-H31</f>
        <v>-822</v>
      </c>
      <c r="I29" s="195">
        <f t="shared" si="0"/>
        <v>113.69294605809128</v>
      </c>
      <c r="J29" s="177">
        <f>J30-J31</f>
        <v>-78</v>
      </c>
    </row>
    <row r="30" spans="1:10" ht="12.75">
      <c r="A30" s="511" t="s">
        <v>362</v>
      </c>
      <c r="B30" s="182"/>
      <c r="C30" s="182"/>
      <c r="D30" s="184"/>
      <c r="E30" s="182">
        <f>C30-'[2]Marts'!C30</f>
        <v>0</v>
      </c>
      <c r="F30" s="511" t="s">
        <v>362</v>
      </c>
      <c r="G30" s="182">
        <v>107</v>
      </c>
      <c r="H30" s="182">
        <v>154</v>
      </c>
      <c r="I30" s="184">
        <f t="shared" si="0"/>
        <v>143.92523364485982</v>
      </c>
      <c r="J30" s="182">
        <f>H30-'[2]Augusts'!H30</f>
        <v>57</v>
      </c>
    </row>
    <row r="31" spans="1:10" ht="12.75">
      <c r="A31" s="511" t="s">
        <v>363</v>
      </c>
      <c r="B31" s="182"/>
      <c r="C31" s="182"/>
      <c r="D31" s="184"/>
      <c r="E31" s="182">
        <f>C31-'[2]Marts'!C31</f>
        <v>0</v>
      </c>
      <c r="F31" s="511" t="s">
        <v>363</v>
      </c>
      <c r="G31" s="182">
        <v>830</v>
      </c>
      <c r="H31" s="182">
        <v>976</v>
      </c>
      <c r="I31" s="184">
        <f t="shared" si="0"/>
        <v>117.59036144578315</v>
      </c>
      <c r="J31" s="182">
        <f>H31-'[2]Augusts'!H31</f>
        <v>135</v>
      </c>
    </row>
    <row r="32" spans="1:10" ht="12.75">
      <c r="A32" s="510" t="s">
        <v>157</v>
      </c>
      <c r="B32" s="182"/>
      <c r="C32" s="182">
        <f>C9-C10-C25-C29</f>
        <v>0</v>
      </c>
      <c r="D32" s="184"/>
      <c r="E32" s="182">
        <f>C32-'[2]Marts'!C32</f>
        <v>0</v>
      </c>
      <c r="F32" s="510" t="s">
        <v>157</v>
      </c>
      <c r="G32" s="177">
        <f>G9-G10-G29</f>
        <v>-29351</v>
      </c>
      <c r="H32" s="177">
        <f>H9-H10-H29</f>
        <v>-12681</v>
      </c>
      <c r="I32" s="195">
        <f t="shared" si="0"/>
        <v>43.20466082927328</v>
      </c>
      <c r="J32" s="177">
        <f>H32-'[2]Augusts'!H32</f>
        <v>-2628</v>
      </c>
    </row>
    <row r="33" spans="1:10" s="1" customFormat="1" ht="17.25" customHeight="1">
      <c r="A33" s="503"/>
      <c r="B33" s="515"/>
      <c r="C33"/>
      <c r="D33" s="515"/>
      <c r="E33" s="515"/>
      <c r="F33" s="503"/>
      <c r="G33" s="515"/>
      <c r="H33"/>
      <c r="I33" s="515"/>
      <c r="J33" s="515"/>
    </row>
    <row r="34" spans="1:10" s="1" customFormat="1" ht="17.25" customHeight="1">
      <c r="A34" s="503"/>
      <c r="B34" s="515"/>
      <c r="C34"/>
      <c r="D34" s="515"/>
      <c r="E34" s="515"/>
      <c r="F34" s="503"/>
      <c r="G34" s="515"/>
      <c r="H34"/>
      <c r="I34" s="515"/>
      <c r="J34" s="515"/>
    </row>
    <row r="35" spans="1:10" ht="17.25" customHeight="1">
      <c r="A35" s="505"/>
      <c r="B35" s="515"/>
      <c r="C35"/>
      <c r="D35" s="515"/>
      <c r="E35" s="515"/>
      <c r="F35" s="505"/>
      <c r="G35" s="515"/>
      <c r="H35"/>
      <c r="I35" s="515"/>
      <c r="J35" s="515"/>
    </row>
    <row r="36" spans="1:10" s="1" customFormat="1" ht="17.25" customHeight="1">
      <c r="A36" s="41" t="s">
        <v>938</v>
      </c>
      <c r="B36" s="39"/>
      <c r="C36"/>
      <c r="D36" s="39" t="s">
        <v>939</v>
      </c>
      <c r="E36" s="505"/>
      <c r="F36" s="41" t="s">
        <v>1018</v>
      </c>
      <c r="G36" s="39"/>
      <c r="H36"/>
      <c r="I36" s="39" t="s">
        <v>859</v>
      </c>
      <c r="J36" s="505"/>
    </row>
    <row r="37" spans="1:10" s="1" customFormat="1" ht="17.25" customHeight="1">
      <c r="A37" s="49"/>
      <c r="C37"/>
      <c r="D37" s="515"/>
      <c r="E37" s="515"/>
      <c r="F37" s="49"/>
      <c r="H37"/>
      <c r="I37" s="515"/>
      <c r="J37" s="515"/>
    </row>
    <row r="38" spans="1:10" s="1" customFormat="1" ht="17.25" customHeight="1">
      <c r="A38" s="505"/>
      <c r="B38" s="268"/>
      <c r="C38"/>
      <c r="D38" s="515"/>
      <c r="E38" s="515"/>
      <c r="F38" s="505"/>
      <c r="G38" s="268"/>
      <c r="H38"/>
      <c r="I38" s="515"/>
      <c r="J38" s="515"/>
    </row>
    <row r="39" spans="1:10" s="1" customFormat="1" ht="17.25" customHeight="1">
      <c r="A39" s="505"/>
      <c r="B39" s="268"/>
      <c r="C39"/>
      <c r="D39" s="515"/>
      <c r="E39" s="515"/>
      <c r="F39" s="505"/>
      <c r="G39" s="268"/>
      <c r="H39"/>
      <c r="I39" s="515"/>
      <c r="J39" s="515"/>
    </row>
    <row r="40" spans="1:10" ht="17.25" customHeight="1">
      <c r="A40" s="505"/>
      <c r="B40" s="504"/>
      <c r="C40"/>
      <c r="D40" s="515"/>
      <c r="E40" s="515"/>
      <c r="F40" s="505"/>
      <c r="G40" s="504"/>
      <c r="H40"/>
      <c r="I40" s="515"/>
      <c r="J40" s="515"/>
    </row>
    <row r="41" spans="3:10" ht="17.25" customHeight="1">
      <c r="C41"/>
      <c r="D41" s="515"/>
      <c r="E41" s="515"/>
      <c r="F41" s="475" t="s">
        <v>61</v>
      </c>
      <c r="H41"/>
      <c r="I41" s="515"/>
      <c r="J41" s="515"/>
    </row>
    <row r="42" spans="3:10" ht="17.25" customHeight="1">
      <c r="C42"/>
      <c r="D42" s="515"/>
      <c r="E42" s="515"/>
      <c r="F42" s="475" t="s">
        <v>116</v>
      </c>
      <c r="H42"/>
      <c r="I42" s="515"/>
      <c r="J42" s="515"/>
    </row>
    <row r="43" spans="3:8" ht="17.25" customHeight="1">
      <c r="C43"/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4">
    <mergeCell ref="A4:E4"/>
    <mergeCell ref="F4:J4"/>
    <mergeCell ref="A5:E5"/>
    <mergeCell ref="F5:J5"/>
  </mergeCells>
  <printOptions/>
  <pageMargins left="0.984251968503937" right="0.1968503937007874" top="0.984251968503937" bottom="0.7480314960629921" header="0.5118110236220472" footer="0.5118110236220472"/>
  <pageSetup firstPageNumber="35" useFirstPageNumber="1" horizontalDpi="300" verticalDpi="300" orientation="portrait" paperSize="9" r:id="rId1"/>
  <headerFooter alignWithMargins="0">
    <oddFooter>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6" sqref="A6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49"/>
      <c r="B1" s="51"/>
      <c r="C1" s="51"/>
      <c r="D1" s="51"/>
      <c r="E1" s="275" t="s">
        <v>364</v>
      </c>
    </row>
    <row r="2" spans="1:5" ht="12.75">
      <c r="A2" s="846" t="s">
        <v>862</v>
      </c>
      <c r="B2" s="846"/>
      <c r="C2" s="846"/>
      <c r="D2" s="846"/>
      <c r="E2" s="846"/>
    </row>
    <row r="3" spans="1:5" ht="12.75">
      <c r="A3" s="49"/>
      <c r="B3" s="453"/>
      <c r="C3" s="453"/>
      <c r="D3" s="523"/>
      <c r="E3" s="523"/>
    </row>
    <row r="4" spans="1:5" ht="12.75">
      <c r="A4" s="831" t="s">
        <v>365</v>
      </c>
      <c r="B4" s="831"/>
      <c r="C4" s="831"/>
      <c r="D4" s="831"/>
      <c r="E4" s="831"/>
    </row>
    <row r="5" spans="1:5" ht="12.75">
      <c r="A5" s="832" t="s">
        <v>98</v>
      </c>
      <c r="B5" s="832"/>
      <c r="C5" s="832"/>
      <c r="D5" s="832"/>
      <c r="E5" s="832"/>
    </row>
    <row r="6" spans="1:5" ht="12.75">
      <c r="A6" s="49"/>
      <c r="B6" s="87"/>
      <c r="C6" s="87"/>
      <c r="D6" s="38"/>
      <c r="E6" s="457" t="s">
        <v>1024</v>
      </c>
    </row>
    <row r="7" spans="1:5" ht="33.75">
      <c r="A7" s="524" t="s">
        <v>644</v>
      </c>
      <c r="B7" s="486" t="s">
        <v>229</v>
      </c>
      <c r="C7" s="486" t="s">
        <v>751</v>
      </c>
      <c r="D7" s="486" t="s">
        <v>281</v>
      </c>
      <c r="E7" s="9" t="s">
        <v>101</v>
      </c>
    </row>
    <row r="8" spans="1:5" ht="12.75">
      <c r="A8" s="225">
        <v>1</v>
      </c>
      <c r="B8" s="525">
        <v>2</v>
      </c>
      <c r="C8" s="525">
        <v>3</v>
      </c>
      <c r="D8" s="526">
        <v>4</v>
      </c>
      <c r="E8" s="526">
        <v>5</v>
      </c>
    </row>
    <row r="9" spans="1:5" ht="24.75" customHeight="1">
      <c r="A9" s="527" t="s">
        <v>366</v>
      </c>
      <c r="B9" s="177">
        <f>SUM(B10:B14)</f>
        <v>38186</v>
      </c>
      <c r="C9" s="177">
        <f>SUM(C10:C14)</f>
        <v>30580</v>
      </c>
      <c r="D9" s="528">
        <f aca="true" t="shared" si="0" ref="D9:D20">C9/B9*100</f>
        <v>80.08170533703452</v>
      </c>
      <c r="E9" s="177">
        <f>C9-'[7]Augusts'!C9</f>
        <v>3452</v>
      </c>
    </row>
    <row r="10" spans="1:5" ht="24.75" customHeight="1">
      <c r="A10" s="529" t="s">
        <v>367</v>
      </c>
      <c r="B10" s="182">
        <v>9349</v>
      </c>
      <c r="C10" s="182">
        <v>9198</v>
      </c>
      <c r="D10" s="530">
        <f t="shared" si="0"/>
        <v>98.3848539950797</v>
      </c>
      <c r="E10" s="182">
        <f>C10-'[7]Augusts'!C10</f>
        <v>1408</v>
      </c>
    </row>
    <row r="11" spans="1:5" ht="21.75" customHeight="1">
      <c r="A11" s="529" t="s">
        <v>368</v>
      </c>
      <c r="B11" s="182">
        <v>2012</v>
      </c>
      <c r="C11" s="182">
        <v>1435</v>
      </c>
      <c r="D11" s="530">
        <f t="shared" si="0"/>
        <v>71.3220675944334</v>
      </c>
      <c r="E11" s="182">
        <f>C11-'[7]Augusts'!C11</f>
        <v>96</v>
      </c>
    </row>
    <row r="12" spans="1:5" ht="30" customHeight="1">
      <c r="A12" s="531" t="s">
        <v>369</v>
      </c>
      <c r="B12" s="182">
        <v>13800</v>
      </c>
      <c r="C12" s="182">
        <v>8748</v>
      </c>
      <c r="D12" s="530">
        <f t="shared" si="0"/>
        <v>63.391304347826086</v>
      </c>
      <c r="E12" s="182">
        <f>C12-'[7]Augusts'!C12</f>
        <v>976</v>
      </c>
    </row>
    <row r="13" spans="1:5" ht="39" customHeight="1">
      <c r="A13" s="531" t="s">
        <v>370</v>
      </c>
      <c r="B13" s="182">
        <v>3042</v>
      </c>
      <c r="C13" s="182">
        <v>1808</v>
      </c>
      <c r="D13" s="530">
        <f t="shared" si="0"/>
        <v>59.43458251150558</v>
      </c>
      <c r="E13" s="182">
        <f>C13-'[7]Augusts'!C13</f>
        <v>85</v>
      </c>
    </row>
    <row r="14" spans="1:5" ht="19.5" customHeight="1">
      <c r="A14" s="529" t="s">
        <v>371</v>
      </c>
      <c r="B14" s="182">
        <f>9919+64</f>
        <v>9983</v>
      </c>
      <c r="C14" s="182">
        <f>9018+373</f>
        <v>9391</v>
      </c>
      <c r="D14" s="530">
        <f t="shared" si="0"/>
        <v>94.06991886206552</v>
      </c>
      <c r="E14" s="182">
        <f>C14-'[7]Augusts'!C14</f>
        <v>887</v>
      </c>
    </row>
    <row r="15" spans="1:5" ht="19.5" customHeight="1">
      <c r="A15" s="532" t="s">
        <v>372</v>
      </c>
      <c r="B15" s="177">
        <f>SUM(B16:B20)</f>
        <v>50286</v>
      </c>
      <c r="C15" s="177">
        <f>SUM(C16:C20)</f>
        <v>25846</v>
      </c>
      <c r="D15" s="530">
        <f t="shared" si="0"/>
        <v>51.39800342043511</v>
      </c>
      <c r="E15" s="177">
        <f>SUM(E16:E20)</f>
        <v>4007</v>
      </c>
    </row>
    <row r="16" spans="1:5" ht="19.5" customHeight="1">
      <c r="A16" s="529" t="s">
        <v>373</v>
      </c>
      <c r="B16" s="182">
        <v>17346</v>
      </c>
      <c r="C16" s="182">
        <v>5525</v>
      </c>
      <c r="D16" s="530">
        <f t="shared" si="0"/>
        <v>31.851723740343594</v>
      </c>
      <c r="E16" s="182">
        <f>C16-'[7]Augusts'!C16</f>
        <v>1071</v>
      </c>
    </row>
    <row r="17" spans="1:5" ht="19.5" customHeight="1">
      <c r="A17" s="529" t="s">
        <v>368</v>
      </c>
      <c r="B17" s="182">
        <v>3042</v>
      </c>
      <c r="C17" s="182">
        <v>1345</v>
      </c>
      <c r="D17" s="530">
        <f t="shared" si="0"/>
        <v>44.214332675871134</v>
      </c>
      <c r="E17" s="182">
        <f>C17-'[7]Augusts'!C17</f>
        <v>218</v>
      </c>
    </row>
    <row r="18" spans="1:5" ht="19.5" customHeight="1">
      <c r="A18" s="529" t="s">
        <v>374</v>
      </c>
      <c r="B18" s="182">
        <v>14643</v>
      </c>
      <c r="C18" s="182">
        <v>7845</v>
      </c>
      <c r="D18" s="530">
        <f t="shared" si="0"/>
        <v>53.575087072321246</v>
      </c>
      <c r="E18" s="182">
        <f>C18-'[7]Augusts'!C18</f>
        <v>1136</v>
      </c>
    </row>
    <row r="19" spans="1:5" ht="19.5" customHeight="1">
      <c r="A19" s="533" t="s">
        <v>375</v>
      </c>
      <c r="B19" s="182">
        <v>3147</v>
      </c>
      <c r="C19" s="182">
        <v>1881</v>
      </c>
      <c r="D19" s="530">
        <f t="shared" si="0"/>
        <v>59.77121067683508</v>
      </c>
      <c r="E19" s="182">
        <f>C19-'[7]Augusts'!C19</f>
        <v>160</v>
      </c>
    </row>
    <row r="20" spans="1:5" ht="19.5" customHeight="1">
      <c r="A20" s="533" t="s">
        <v>376</v>
      </c>
      <c r="B20" s="182">
        <f>11807+301</f>
        <v>12108</v>
      </c>
      <c r="C20" s="182">
        <f>8692+560-2</f>
        <v>9250</v>
      </c>
      <c r="D20" s="530">
        <f t="shared" si="0"/>
        <v>76.395771390816</v>
      </c>
      <c r="E20" s="182">
        <f>C20-'[7]Augusts'!C20</f>
        <v>1422</v>
      </c>
    </row>
    <row r="21" spans="1:5" ht="12.75">
      <c r="A21" s="534"/>
      <c r="B21" s="535"/>
      <c r="C21" s="535"/>
      <c r="D21" s="469"/>
      <c r="E21" s="535"/>
    </row>
    <row r="22" spans="1:5" ht="12.75">
      <c r="A22" s="135"/>
      <c r="B22" s="135"/>
      <c r="C22" s="135"/>
      <c r="D22" s="135"/>
      <c r="E22" s="135"/>
    </row>
    <row r="23" spans="1:6" ht="12.75">
      <c r="A23" s="514"/>
      <c r="B23" s="134"/>
      <c r="C23" s="134"/>
      <c r="D23" s="471"/>
      <c r="E23" s="134"/>
      <c r="F23" s="135"/>
    </row>
    <row r="24" spans="1:6" ht="12.75">
      <c r="A24" s="745" t="s">
        <v>639</v>
      </c>
      <c r="B24" s="135"/>
      <c r="C24" s="135"/>
      <c r="D24" s="833" t="s">
        <v>859</v>
      </c>
      <c r="E24" s="833"/>
      <c r="F24" s="135"/>
    </row>
    <row r="25" ht="12.75">
      <c r="F25" s="135"/>
    </row>
    <row r="26" ht="12.75">
      <c r="F26" s="135"/>
    </row>
    <row r="27" ht="12.75">
      <c r="F27" s="135"/>
    </row>
    <row r="28" ht="12.75">
      <c r="F28" s="135"/>
    </row>
    <row r="29" ht="12.75">
      <c r="F29" s="135"/>
    </row>
    <row r="30" ht="12.75">
      <c r="F30" s="135"/>
    </row>
    <row r="31" ht="12.75">
      <c r="F31" s="135"/>
    </row>
    <row r="32" spans="1:6" ht="12.75">
      <c r="A32" s="1" t="s">
        <v>860</v>
      </c>
      <c r="F32" s="135"/>
    </row>
    <row r="33" spans="1:6" ht="12.75">
      <c r="A33" s="1" t="s">
        <v>116</v>
      </c>
      <c r="F33" s="135"/>
    </row>
  </sheetData>
  <mergeCells count="4">
    <mergeCell ref="A2:E2"/>
    <mergeCell ref="A4:E4"/>
    <mergeCell ref="A5:E5"/>
    <mergeCell ref="D24:E24"/>
  </mergeCells>
  <printOptions/>
  <pageMargins left="1.05" right="0.43" top="1.16" bottom="1" header="0.5" footer="0.5"/>
  <pageSetup firstPageNumber="36" useFirstPageNumber="1" horizontalDpi="300" verticalDpi="300" orientation="portrait" paperSize="9" r:id="rId1"/>
  <headerFooter alignWithMargins="0">
    <oddFooter>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4" sqref="A4:E4"/>
    </sheetView>
  </sheetViews>
  <sheetFormatPr defaultColWidth="9.140625" defaultRowHeight="17.25" customHeight="1"/>
  <cols>
    <col min="1" max="1" width="40.00390625" style="49" customWidth="1"/>
    <col min="2" max="2" width="8.8515625" style="453" customWidth="1"/>
    <col min="3" max="3" width="11.28125" style="453" customWidth="1"/>
    <col min="4" max="4" width="12.57421875" style="453" customWidth="1"/>
    <col min="5" max="5" width="11.57421875" style="453" customWidth="1"/>
  </cols>
  <sheetData>
    <row r="1" spans="2:5" ht="17.25" customHeight="1">
      <c r="B1" s="51"/>
      <c r="C1" s="51"/>
      <c r="D1" s="51"/>
      <c r="E1" s="275" t="s">
        <v>377</v>
      </c>
    </row>
    <row r="2" spans="1:5" ht="17.25" customHeight="1">
      <c r="A2" s="846" t="s">
        <v>378</v>
      </c>
      <c r="B2" s="846"/>
      <c r="C2" s="846"/>
      <c r="D2" s="846"/>
      <c r="E2" s="846"/>
    </row>
    <row r="3" spans="4:5" ht="17.25" customHeight="1">
      <c r="D3" s="523"/>
      <c r="E3" s="523"/>
    </row>
    <row r="4" spans="1:5" ht="17.25" customHeight="1">
      <c r="A4" s="831" t="s">
        <v>379</v>
      </c>
      <c r="B4" s="831"/>
      <c r="C4" s="831"/>
      <c r="D4" s="831"/>
      <c r="E4" s="831"/>
    </row>
    <row r="5" spans="1:5" ht="12.75" customHeight="1">
      <c r="A5" s="832" t="s">
        <v>135</v>
      </c>
      <c r="B5" s="832"/>
      <c r="C5" s="832"/>
      <c r="D5" s="832"/>
      <c r="E5" s="832"/>
    </row>
    <row r="6" spans="1:5" ht="12.75" customHeight="1">
      <c r="A6" s="507"/>
      <c r="B6" s="507"/>
      <c r="C6" s="507"/>
      <c r="D6" s="507"/>
      <c r="E6" s="507"/>
    </row>
    <row r="7" spans="2:5" ht="10.5" customHeight="1">
      <c r="B7" s="87"/>
      <c r="C7" s="87"/>
      <c r="D7" s="38"/>
      <c r="E7" s="457" t="s">
        <v>1024</v>
      </c>
    </row>
    <row r="8" spans="1:5" ht="22.5">
      <c r="A8" s="524" t="s">
        <v>644</v>
      </c>
      <c r="B8" s="486" t="s">
        <v>229</v>
      </c>
      <c r="C8" s="486" t="s">
        <v>751</v>
      </c>
      <c r="D8" s="486" t="s">
        <v>281</v>
      </c>
      <c r="E8" s="9" t="s">
        <v>101</v>
      </c>
    </row>
    <row r="9" spans="1:5" ht="12.75">
      <c r="A9" s="225">
        <v>1</v>
      </c>
      <c r="B9" s="525">
        <v>2</v>
      </c>
      <c r="C9" s="525">
        <v>3</v>
      </c>
      <c r="D9" s="526">
        <v>4</v>
      </c>
      <c r="E9" s="526">
        <v>5</v>
      </c>
    </row>
    <row r="10" spans="1:5" ht="12.75">
      <c r="A10" s="490" t="s">
        <v>947</v>
      </c>
      <c r="B10" s="177">
        <v>38186</v>
      </c>
      <c r="C10" s="177">
        <f>'[7]Septembris'!$C$9</f>
        <v>30580</v>
      </c>
      <c r="D10" s="528">
        <f aca="true" t="shared" si="0" ref="D10:D33">C10/B10*100</f>
        <v>80.08170533703452</v>
      </c>
      <c r="E10" s="177">
        <f>C10-'[8]Augusts'!C10</f>
        <v>3452</v>
      </c>
    </row>
    <row r="11" spans="1:5" ht="12.75">
      <c r="A11" s="490" t="s">
        <v>347</v>
      </c>
      <c r="B11" s="177">
        <f>SUM(B12,B27)</f>
        <v>51949</v>
      </c>
      <c r="C11" s="177">
        <f>SUM(C12,C27)</f>
        <v>27532</v>
      </c>
      <c r="D11" s="528">
        <f t="shared" si="0"/>
        <v>52.99813278407669</v>
      </c>
      <c r="E11" s="177">
        <f>C11-'[8]Augusts'!C11</f>
        <v>3850</v>
      </c>
    </row>
    <row r="12" spans="1:5" ht="12.75">
      <c r="A12" s="510" t="s">
        <v>954</v>
      </c>
      <c r="B12" s="177">
        <f>SUM(B13,B19,B20)</f>
        <v>40489</v>
      </c>
      <c r="C12" s="177">
        <f>SUM(C13,C19,C20)</f>
        <v>20776</v>
      </c>
      <c r="D12" s="528">
        <f t="shared" si="0"/>
        <v>51.31270221541653</v>
      </c>
      <c r="E12" s="177">
        <f>C12-'[8]Augusts'!C12</f>
        <v>2638</v>
      </c>
    </row>
    <row r="13" spans="1:5" ht="12.75">
      <c r="A13" s="510" t="s">
        <v>955</v>
      </c>
      <c r="B13" s="177">
        <f>SUM(B14,B15,B16)</f>
        <v>23169</v>
      </c>
      <c r="C13" s="177">
        <f>SUM(C14,C15,C16)</f>
        <v>13181</v>
      </c>
      <c r="D13" s="528">
        <f t="shared" si="0"/>
        <v>56.89067288186801</v>
      </c>
      <c r="E13" s="177">
        <f>C13-'[8]Augusts'!C13</f>
        <v>1539</v>
      </c>
    </row>
    <row r="14" spans="1:5" ht="17.25" customHeight="1">
      <c r="A14" s="511" t="s">
        <v>348</v>
      </c>
      <c r="B14" s="182">
        <v>2525</v>
      </c>
      <c r="C14" s="182">
        <v>1798</v>
      </c>
      <c r="D14" s="530">
        <f t="shared" si="0"/>
        <v>71.20792079207921</v>
      </c>
      <c r="E14" s="182">
        <f>C14-'[8]Augusts'!C14</f>
        <v>236</v>
      </c>
    </row>
    <row r="15" spans="1:5" ht="25.5">
      <c r="A15" s="511" t="s">
        <v>349</v>
      </c>
      <c r="B15" s="182">
        <v>632</v>
      </c>
      <c r="C15" s="182">
        <v>445</v>
      </c>
      <c r="D15" s="530">
        <f t="shared" si="0"/>
        <v>70.41139240506328</v>
      </c>
      <c r="E15" s="182">
        <f>C15-'[8]Augusts'!C15</f>
        <v>72</v>
      </c>
    </row>
    <row r="16" spans="1:5" ht="12.75">
      <c r="A16" s="511" t="s">
        <v>350</v>
      </c>
      <c r="B16" s="182">
        <f>SUM(B17:B18)</f>
        <v>20012</v>
      </c>
      <c r="C16" s="182">
        <f>SUM(C17:C18)</f>
        <v>10938</v>
      </c>
      <c r="D16" s="530">
        <f t="shared" si="0"/>
        <v>54.657205676594046</v>
      </c>
      <c r="E16" s="182">
        <f>C16-'[8]Augusts'!C16</f>
        <v>1231</v>
      </c>
    </row>
    <row r="17" spans="1:5" ht="25.5">
      <c r="A17" s="522" t="s">
        <v>351</v>
      </c>
      <c r="B17" s="182">
        <f>18079+1726</f>
        <v>19805</v>
      </c>
      <c r="C17" s="182">
        <f>9694+1128</f>
        <v>10822</v>
      </c>
      <c r="D17" s="530">
        <f t="shared" si="0"/>
        <v>54.64276697803585</v>
      </c>
      <c r="E17" s="182">
        <f>C17-'[8]Augusts'!C17</f>
        <v>1212</v>
      </c>
    </row>
    <row r="18" spans="1:5" ht="12.75">
      <c r="A18" s="522" t="s">
        <v>380</v>
      </c>
      <c r="B18" s="182">
        <f>119+90-2</f>
        <v>207</v>
      </c>
      <c r="C18" s="182">
        <f>47+70-1</f>
        <v>116</v>
      </c>
      <c r="D18" s="530">
        <f t="shared" si="0"/>
        <v>56.038647342995176</v>
      </c>
      <c r="E18" s="182">
        <f>C18-'[8]Augusts'!C18</f>
        <v>19</v>
      </c>
    </row>
    <row r="19" spans="1:5" ht="25.5">
      <c r="A19" s="510" t="s">
        <v>353</v>
      </c>
      <c r="B19" s="177">
        <v>68</v>
      </c>
      <c r="C19" s="177">
        <v>67</v>
      </c>
      <c r="D19" s="528">
        <f t="shared" si="0"/>
        <v>98.52941176470588</v>
      </c>
      <c r="E19" s="177">
        <f>C19-'[8]Augusts'!C19</f>
        <v>19</v>
      </c>
    </row>
    <row r="20" spans="1:5" ht="12.75">
      <c r="A20" s="510" t="s">
        <v>963</v>
      </c>
      <c r="B20" s="177">
        <f>SUM(B21:B26)</f>
        <v>17252</v>
      </c>
      <c r="C20" s="177">
        <f>SUM(C21:C26)</f>
        <v>7528</v>
      </c>
      <c r="D20" s="528">
        <f t="shared" si="0"/>
        <v>43.63552051936007</v>
      </c>
      <c r="E20" s="177">
        <f>C20-'[8]Augusts'!C20</f>
        <v>1080</v>
      </c>
    </row>
    <row r="21" spans="1:5" ht="12.75">
      <c r="A21" s="511" t="s">
        <v>354</v>
      </c>
      <c r="B21" s="182">
        <v>506</v>
      </c>
      <c r="C21" s="182">
        <v>380</v>
      </c>
      <c r="D21" s="530">
        <f t="shared" si="0"/>
        <v>75.09881422924902</v>
      </c>
      <c r="E21" s="182">
        <f>C21-'[8]Augusts'!C21</f>
        <v>101</v>
      </c>
    </row>
    <row r="22" spans="1:5" ht="12.75">
      <c r="A22" s="511" t="s">
        <v>355</v>
      </c>
      <c r="B22" s="182">
        <v>1285</v>
      </c>
      <c r="C22" s="182">
        <v>642</v>
      </c>
      <c r="D22" s="530">
        <f t="shared" si="0"/>
        <v>49.961089494163424</v>
      </c>
      <c r="E22" s="182">
        <f>C22-'[8]Augusts'!C22</f>
        <v>44</v>
      </c>
    </row>
    <row r="23" spans="1:5" ht="12.75">
      <c r="A23" s="511" t="s">
        <v>356</v>
      </c>
      <c r="B23" s="182">
        <v>91</v>
      </c>
      <c r="C23" s="182">
        <v>70</v>
      </c>
      <c r="D23" s="530">
        <f t="shared" si="0"/>
        <v>76.92307692307693</v>
      </c>
      <c r="E23" s="182">
        <f>C23-'[8]Augusts'!C23</f>
        <v>1</v>
      </c>
    </row>
    <row r="24" spans="1:5" ht="25.5">
      <c r="A24" s="511" t="s">
        <v>357</v>
      </c>
      <c r="B24" s="182">
        <v>12505</v>
      </c>
      <c r="C24" s="182">
        <v>4099</v>
      </c>
      <c r="D24" s="530">
        <f t="shared" si="0"/>
        <v>32.77888844462215</v>
      </c>
      <c r="E24" s="182">
        <f>C24-'[8]Augusts'!C24</f>
        <v>690</v>
      </c>
    </row>
    <row r="25" spans="1:5" ht="12.75">
      <c r="A25" s="511" t="s">
        <v>358</v>
      </c>
      <c r="B25" s="182">
        <v>2564</v>
      </c>
      <c r="C25" s="182">
        <v>1777</v>
      </c>
      <c r="D25" s="530">
        <f t="shared" si="0"/>
        <v>69.30577223088925</v>
      </c>
      <c r="E25" s="182">
        <f>C25-'[8]Augusts'!C25</f>
        <v>185</v>
      </c>
    </row>
    <row r="26" spans="1:5" ht="12.75">
      <c r="A26" s="511" t="s">
        <v>381</v>
      </c>
      <c r="B26" s="182">
        <v>301</v>
      </c>
      <c r="C26" s="182">
        <v>560</v>
      </c>
      <c r="D26" s="530">
        <f t="shared" si="0"/>
        <v>186.04651162790697</v>
      </c>
      <c r="E26" s="182">
        <f>C26-'[8]Augusts'!C26</f>
        <v>59</v>
      </c>
    </row>
    <row r="27" spans="1:5" ht="12.75">
      <c r="A27" s="510" t="s">
        <v>978</v>
      </c>
      <c r="B27" s="177">
        <f>SUM(B28:B29)</f>
        <v>11460</v>
      </c>
      <c r="C27" s="177">
        <f>SUM(C28:C29)</f>
        <v>6756</v>
      </c>
      <c r="D27" s="528">
        <f t="shared" si="0"/>
        <v>58.95287958115183</v>
      </c>
      <c r="E27" s="177">
        <f>C27-'[8]Augusts'!C27</f>
        <v>1212</v>
      </c>
    </row>
    <row r="28" spans="1:5" ht="17.25" customHeight="1">
      <c r="A28" s="511" t="s">
        <v>360</v>
      </c>
      <c r="B28" s="182">
        <f>8293+69</f>
        <v>8362</v>
      </c>
      <c r="C28" s="182">
        <f>5376+17-2</f>
        <v>5391</v>
      </c>
      <c r="D28" s="530">
        <f t="shared" si="0"/>
        <v>64.47022243482421</v>
      </c>
      <c r="E28" s="182">
        <f>C28-'[8]Augusts'!C28</f>
        <v>1064</v>
      </c>
    </row>
    <row r="29" spans="1:5" ht="12.75">
      <c r="A29" s="220" t="s">
        <v>195</v>
      </c>
      <c r="B29" s="182">
        <v>3098</v>
      </c>
      <c r="C29" s="182">
        <v>1365</v>
      </c>
      <c r="D29" s="530">
        <f t="shared" si="0"/>
        <v>44.06068431245965</v>
      </c>
      <c r="E29" s="182">
        <f>C29-'[8]Augusts'!C29</f>
        <v>148</v>
      </c>
    </row>
    <row r="30" spans="1:5" ht="12.75">
      <c r="A30" s="510" t="s">
        <v>361</v>
      </c>
      <c r="B30" s="177">
        <f>B31-B32</f>
        <v>-1663</v>
      </c>
      <c r="C30" s="177">
        <f>C31-C32</f>
        <v>-1686</v>
      </c>
      <c r="D30" s="528">
        <f t="shared" si="0"/>
        <v>101.38304269392664</v>
      </c>
      <c r="E30" s="177">
        <f>C30-'[8]Augusts'!C30</f>
        <v>157</v>
      </c>
    </row>
    <row r="31" spans="1:5" ht="12.75">
      <c r="A31" s="511" t="s">
        <v>362</v>
      </c>
      <c r="B31" s="182">
        <v>974</v>
      </c>
      <c r="C31" s="182">
        <v>636</v>
      </c>
      <c r="D31" s="530">
        <f t="shared" si="0"/>
        <v>65.29774127310061</v>
      </c>
      <c r="E31" s="182">
        <f>C31-'[8]Augusts'!C31</f>
        <v>121</v>
      </c>
    </row>
    <row r="32" spans="1:5" ht="12.75">
      <c r="A32" s="511" t="s">
        <v>363</v>
      </c>
      <c r="B32" s="182">
        <v>2637</v>
      </c>
      <c r="C32" s="182">
        <v>2322</v>
      </c>
      <c r="D32" s="530">
        <f t="shared" si="0"/>
        <v>88.05460750853243</v>
      </c>
      <c r="E32" s="182">
        <f>C32-'[8]Augusts'!C32</f>
        <v>-36</v>
      </c>
    </row>
    <row r="33" spans="1:5" ht="12.75">
      <c r="A33" s="510" t="s">
        <v>157</v>
      </c>
      <c r="B33" s="177">
        <f>B10-B11-B30</f>
        <v>-12100</v>
      </c>
      <c r="C33" s="177">
        <f>C10-C11-C30</f>
        <v>4734</v>
      </c>
      <c r="D33" s="528">
        <f t="shared" si="0"/>
        <v>-39.123966942148755</v>
      </c>
      <c r="E33" s="177">
        <f>C33-'[8]Augusts'!C33</f>
        <v>-555</v>
      </c>
    </row>
    <row r="34" spans="1:4" ht="17.25" customHeight="1">
      <c r="A34" s="503"/>
      <c r="B34" s="134"/>
      <c r="C34" s="134"/>
      <c r="D34" s="536"/>
    </row>
    <row r="35" ht="17.25" customHeight="1">
      <c r="A35" s="505"/>
    </row>
    <row r="36" ht="17.25" customHeight="1">
      <c r="A36" s="505"/>
    </row>
    <row r="37" ht="17.25" customHeight="1">
      <c r="A37" s="503"/>
    </row>
    <row r="38" spans="1:5" ht="12.75" customHeight="1">
      <c r="A38" s="41" t="s">
        <v>639</v>
      </c>
      <c r="B38" s="39"/>
      <c r="C38" s="39"/>
      <c r="D38" s="39" t="s">
        <v>859</v>
      </c>
      <c r="E38" s="537"/>
    </row>
    <row r="39" spans="1:3" ht="17.25" customHeight="1">
      <c r="A39" s="475"/>
      <c r="B39" s="89"/>
      <c r="C39" s="89"/>
    </row>
    <row r="40" spans="1:3" ht="17.25" customHeight="1">
      <c r="A40" s="505"/>
      <c r="B40" s="232"/>
      <c r="C40" s="232"/>
    </row>
    <row r="41" spans="1:3" ht="17.25" customHeight="1">
      <c r="A41" s="505"/>
      <c r="B41" s="49"/>
      <c r="C41" s="49"/>
    </row>
    <row r="42" spans="1:3" ht="17.25" customHeight="1">
      <c r="A42" s="475"/>
      <c r="B42" s="475"/>
      <c r="C42" s="475"/>
    </row>
    <row r="44" ht="12.75" customHeight="1">
      <c r="A44" s="1" t="s">
        <v>61</v>
      </c>
    </row>
    <row r="45" ht="12.75" customHeight="1">
      <c r="A45" s="1" t="s">
        <v>116</v>
      </c>
    </row>
  </sheetData>
  <mergeCells count="3">
    <mergeCell ref="A2:E2"/>
    <mergeCell ref="A4:E4"/>
    <mergeCell ref="A5:E5"/>
  </mergeCells>
  <printOptions/>
  <pageMargins left="0.95" right="0.67" top="1" bottom="1" header="0.5" footer="0.5"/>
  <pageSetup firstPageNumber="37" useFirstPageNumber="1" horizontalDpi="300" verticalDpi="300" orientation="portrait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2"/>
  <sheetViews>
    <sheetView workbookViewId="0" topLeftCell="F1">
      <selection activeCell="F21" sqref="F21"/>
    </sheetView>
  </sheetViews>
  <sheetFormatPr defaultColWidth="9.140625" defaultRowHeight="12.75"/>
  <cols>
    <col min="1" max="1" width="53.8515625" style="49" hidden="1" customWidth="1"/>
    <col min="2" max="2" width="12.7109375" style="50" hidden="1" customWidth="1"/>
    <col min="3" max="3" width="6.28125" style="49" hidden="1" customWidth="1"/>
    <col min="4" max="4" width="7.57421875" style="49" hidden="1" customWidth="1"/>
    <col min="5" max="5" width="0.13671875" style="49" customWidth="1"/>
    <col min="6" max="6" width="53.14062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  <col min="11" max="16" width="9.140625" style="0" hidden="1" customWidth="1"/>
  </cols>
  <sheetData>
    <row r="1" spans="1:10" ht="18.75" customHeight="1">
      <c r="A1" s="48"/>
      <c r="B1" s="48"/>
      <c r="C1" s="48"/>
      <c r="D1" s="48"/>
      <c r="E1" s="48"/>
      <c r="F1" s="49"/>
      <c r="G1" s="50"/>
      <c r="H1" s="49"/>
      <c r="I1" s="49"/>
      <c r="J1" s="49" t="s">
        <v>746</v>
      </c>
    </row>
    <row r="2" spans="1:10" ht="18.75" customHeight="1">
      <c r="A2" s="48"/>
      <c r="B2" s="48"/>
      <c r="C2" s="48"/>
      <c r="D2" s="48"/>
      <c r="E2" s="48"/>
      <c r="F2" s="51" t="s">
        <v>747</v>
      </c>
      <c r="G2" s="52"/>
      <c r="H2" s="51"/>
      <c r="I2" s="51"/>
      <c r="J2" s="51"/>
    </row>
    <row r="3" spans="1:10" ht="14.25" customHeight="1">
      <c r="A3" s="48"/>
      <c r="B3" s="48"/>
      <c r="C3" s="48"/>
      <c r="D3" s="48"/>
      <c r="E3" s="48"/>
      <c r="F3" s="49"/>
      <c r="G3" s="50"/>
      <c r="H3" s="49"/>
      <c r="I3" s="49"/>
      <c r="J3" s="49"/>
    </row>
    <row r="4" spans="1:10" ht="18.75" customHeight="1">
      <c r="A4" s="48"/>
      <c r="B4" s="48"/>
      <c r="C4" s="48"/>
      <c r="D4" s="48"/>
      <c r="E4" s="48"/>
      <c r="F4" s="847" t="s">
        <v>748</v>
      </c>
      <c r="G4" s="847"/>
      <c r="H4" s="847"/>
      <c r="I4" s="847"/>
      <c r="J4" s="847"/>
    </row>
    <row r="5" spans="1:10" ht="18.75" customHeight="1">
      <c r="A5" s="48"/>
      <c r="B5" s="48"/>
      <c r="C5" s="48"/>
      <c r="D5" s="48"/>
      <c r="E5" s="48"/>
      <c r="F5" s="845" t="s">
        <v>132</v>
      </c>
      <c r="G5" s="845"/>
      <c r="H5" s="845"/>
      <c r="I5" s="845"/>
      <c r="J5" s="845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.75" customHeight="1">
      <c r="A7" s="53"/>
      <c r="B7" s="52"/>
      <c r="C7" s="51"/>
      <c r="D7" s="38"/>
      <c r="E7" s="38"/>
      <c r="F7" s="53"/>
      <c r="G7" s="52"/>
      <c r="H7" s="51"/>
      <c r="I7" s="38"/>
      <c r="J7" s="2" t="s">
        <v>749</v>
      </c>
    </row>
    <row r="8" spans="1:10" ht="49.5" customHeight="1">
      <c r="A8" s="9" t="s">
        <v>644</v>
      </c>
      <c r="B8" s="54" t="s">
        <v>750</v>
      </c>
      <c r="C8" s="9" t="s">
        <v>751</v>
      </c>
      <c r="D8" s="9" t="s">
        <v>752</v>
      </c>
      <c r="E8" s="9" t="s">
        <v>753</v>
      </c>
      <c r="F8" s="9" t="s">
        <v>644</v>
      </c>
      <c r="G8" s="54" t="s">
        <v>750</v>
      </c>
      <c r="H8" s="9" t="s">
        <v>751</v>
      </c>
      <c r="I8" s="9" t="s">
        <v>752</v>
      </c>
      <c r="J8" s="9" t="s">
        <v>133</v>
      </c>
    </row>
    <row r="9" spans="1:10" ht="12.75">
      <c r="A9" s="9">
        <v>1</v>
      </c>
      <c r="B9" s="54">
        <v>2</v>
      </c>
      <c r="C9" s="9">
        <v>3</v>
      </c>
      <c r="D9" s="9">
        <v>4</v>
      </c>
      <c r="E9" s="9">
        <v>5</v>
      </c>
      <c r="F9" s="9">
        <v>1</v>
      </c>
      <c r="G9" s="54">
        <v>2</v>
      </c>
      <c r="H9" s="9">
        <v>3</v>
      </c>
      <c r="I9" s="9">
        <v>4</v>
      </c>
      <c r="J9" s="9">
        <v>5</v>
      </c>
    </row>
    <row r="10" spans="1:10" ht="12.75">
      <c r="A10" s="32" t="s">
        <v>754</v>
      </c>
      <c r="B10" s="55">
        <f>SUM(B26,B37)</f>
        <v>1457113808</v>
      </c>
      <c r="C10" s="55">
        <f>SUM(C26,C37)</f>
        <v>0</v>
      </c>
      <c r="D10" s="56">
        <f>IF(ISERROR(C10/B10)," ",(C10/B10))</f>
        <v>0</v>
      </c>
      <c r="E10" s="55">
        <f>C10</f>
        <v>0</v>
      </c>
      <c r="F10" s="32" t="s">
        <v>754</v>
      </c>
      <c r="G10" s="57">
        <f>SUM(G26,G37)</f>
        <v>1457114</v>
      </c>
      <c r="H10" s="57">
        <f>SUM(H26,H37)</f>
        <v>1024671</v>
      </c>
      <c r="I10" s="58">
        <f>IF(ISERROR(H10/G10)," ",(H10/G10))*100</f>
        <v>70.32195147394096</v>
      </c>
      <c r="J10" s="57">
        <f>H10-'[20]Augusts'!H10</f>
        <v>108216</v>
      </c>
    </row>
    <row r="11" spans="1:10" ht="12.75" customHeight="1">
      <c r="A11" s="59" t="s">
        <v>755</v>
      </c>
      <c r="B11" s="55">
        <f>SUM(B12,B22,B23,B24)</f>
        <v>795345958</v>
      </c>
      <c r="C11" s="55">
        <f>SUM(C12,C22,C23)</f>
        <v>0</v>
      </c>
      <c r="D11" s="56">
        <f aca="true" t="shared" si="0" ref="D11:D74">IF(ISERROR(C11/B11)," ",(C11/B11))</f>
        <v>0</v>
      </c>
      <c r="E11" s="55">
        <f aca="true" t="shared" si="1" ref="E11:E84">C11</f>
        <v>0</v>
      </c>
      <c r="F11" s="59" t="s">
        <v>755</v>
      </c>
      <c r="G11" s="57">
        <f>SUM(G12,G22,G23,G24)</f>
        <v>795346</v>
      </c>
      <c r="H11" s="57">
        <f>SUM(H12,H22,H23,H24)</f>
        <v>553836</v>
      </c>
      <c r="I11" s="58">
        <f>IF(ISERROR(H11/G11)," ",(H11/G11))*100</f>
        <v>69.63459928131908</v>
      </c>
      <c r="J11" s="57">
        <f>H11-'[20]Augusts'!H11</f>
        <v>57957</v>
      </c>
    </row>
    <row r="12" spans="1:10" ht="12.75">
      <c r="A12" s="60" t="s">
        <v>756</v>
      </c>
      <c r="B12" s="61">
        <f>SUM(B13,B15,B21,B19)</f>
        <v>615019797</v>
      </c>
      <c r="C12" s="61">
        <f>SUM(C13,C15,C21)</f>
        <v>0</v>
      </c>
      <c r="D12" s="62">
        <f t="shared" si="0"/>
        <v>0</v>
      </c>
      <c r="E12" s="55">
        <f t="shared" si="1"/>
        <v>0</v>
      </c>
      <c r="F12" s="60" t="s">
        <v>756</v>
      </c>
      <c r="G12" s="63">
        <f>SUM(G13,G15,G19,G21)</f>
        <v>615020</v>
      </c>
      <c r="H12" s="63">
        <f>SUM(H13,H15,H19,H21)</f>
        <v>439141</v>
      </c>
      <c r="I12" s="64">
        <f>IF(ISERROR(H12/G12)," ",(H12/G12))*100</f>
        <v>71.40271861077689</v>
      </c>
      <c r="J12" s="63">
        <f>H12-'[20]Augusts'!H12</f>
        <v>48079</v>
      </c>
    </row>
    <row r="13" spans="1:10" ht="12.75">
      <c r="A13" s="65" t="s">
        <v>757</v>
      </c>
      <c r="B13" s="61">
        <f>SUM(B14)</f>
        <v>98046000</v>
      </c>
      <c r="C13" s="61">
        <f>SUM(C14)</f>
        <v>0</v>
      </c>
      <c r="D13" s="62">
        <f t="shared" si="0"/>
        <v>0</v>
      </c>
      <c r="E13" s="55">
        <f t="shared" si="1"/>
        <v>0</v>
      </c>
      <c r="F13" s="65" t="s">
        <v>757</v>
      </c>
      <c r="G13" s="61">
        <f>SUM(G14)</f>
        <v>98046</v>
      </c>
      <c r="H13" s="61">
        <f>SUM(H14)</f>
        <v>73883</v>
      </c>
      <c r="I13" s="81">
        <f>IF(ISERROR(H13/G13)," ",(H13/G13))*100</f>
        <v>75.3554454031781</v>
      </c>
      <c r="J13" s="61">
        <f>H13-'[20]Augusts'!H13</f>
        <v>6325</v>
      </c>
    </row>
    <row r="14" spans="1:10" ht="12.75">
      <c r="A14" s="66" t="s">
        <v>758</v>
      </c>
      <c r="B14" s="61">
        <v>98046000</v>
      </c>
      <c r="C14" s="61"/>
      <c r="D14" s="62">
        <f t="shared" si="0"/>
        <v>0</v>
      </c>
      <c r="E14" s="55">
        <f t="shared" si="1"/>
        <v>0</v>
      </c>
      <c r="F14" s="66" t="s">
        <v>758</v>
      </c>
      <c r="G14" s="63">
        <f>ROUND(B14/1000,0)</f>
        <v>98046</v>
      </c>
      <c r="H14" s="63">
        <v>73883</v>
      </c>
      <c r="I14" s="64">
        <f>IF(ISERROR(H14/G14)," ",(H14/G14))*100</f>
        <v>75.3554454031781</v>
      </c>
      <c r="J14" s="63">
        <f>H14-'[20]Augusts'!H14</f>
        <v>6325</v>
      </c>
    </row>
    <row r="15" spans="1:10" ht="12.75">
      <c r="A15" s="65" t="s">
        <v>759</v>
      </c>
      <c r="B15" s="61">
        <f>SUM(B16:B18)</f>
        <v>513733797</v>
      </c>
      <c r="C15" s="61">
        <f>SUM(C16:C18)</f>
        <v>0</v>
      </c>
      <c r="D15" s="62">
        <f t="shared" si="0"/>
        <v>0</v>
      </c>
      <c r="E15" s="55">
        <f t="shared" si="1"/>
        <v>0</v>
      </c>
      <c r="F15" s="65" t="s">
        <v>759</v>
      </c>
      <c r="G15" s="61">
        <f>SUM(G16:G18)</f>
        <v>513734</v>
      </c>
      <c r="H15" s="61">
        <f>SUM(H16:H18)</f>
        <v>358826</v>
      </c>
      <c r="I15" s="64">
        <f aca="true" t="shared" si="2" ref="I15:I78">IF(ISERROR(H15/G15)," ",(H15/G15))*100</f>
        <v>69.84665215851005</v>
      </c>
      <c r="J15" s="61">
        <f>H15-'[20]Augusts'!H15</f>
        <v>41615</v>
      </c>
    </row>
    <row r="16" spans="1:10" ht="12.75" customHeight="1">
      <c r="A16" s="67" t="s">
        <v>760</v>
      </c>
      <c r="B16" s="61">
        <v>368947657</v>
      </c>
      <c r="C16" s="61"/>
      <c r="D16" s="62">
        <f t="shared" si="0"/>
        <v>0</v>
      </c>
      <c r="E16" s="55">
        <f t="shared" si="1"/>
        <v>0</v>
      </c>
      <c r="F16" s="67" t="s">
        <v>760</v>
      </c>
      <c r="G16" s="63">
        <f aca="true" t="shared" si="3" ref="G16:G25">ROUND(B16/1000,0)</f>
        <v>368948</v>
      </c>
      <c r="H16" s="63">
        <v>262482</v>
      </c>
      <c r="I16" s="64">
        <f t="shared" si="2"/>
        <v>71.1433589557336</v>
      </c>
      <c r="J16" s="63">
        <f>H16-'[20]Augusts'!H16</f>
        <v>30189</v>
      </c>
    </row>
    <row r="17" spans="1:10" ht="12.75">
      <c r="A17" s="66" t="s">
        <v>761</v>
      </c>
      <c r="B17" s="61">
        <v>132843140</v>
      </c>
      <c r="C17" s="61"/>
      <c r="D17" s="62">
        <f t="shared" si="0"/>
        <v>0</v>
      </c>
      <c r="E17" s="55">
        <f t="shared" si="1"/>
        <v>0</v>
      </c>
      <c r="F17" s="66" t="s">
        <v>761</v>
      </c>
      <c r="G17" s="63">
        <f t="shared" si="3"/>
        <v>132843</v>
      </c>
      <c r="H17" s="63">
        <v>85120</v>
      </c>
      <c r="I17" s="64">
        <f t="shared" si="2"/>
        <v>64.07563815933094</v>
      </c>
      <c r="J17" s="63">
        <f>H17-'[20]Augusts'!H17</f>
        <v>10139</v>
      </c>
    </row>
    <row r="18" spans="1:10" ht="12.75">
      <c r="A18" s="66" t="s">
        <v>762</v>
      </c>
      <c r="B18" s="61">
        <v>11943000</v>
      </c>
      <c r="C18" s="61"/>
      <c r="D18" s="62">
        <f t="shared" si="0"/>
        <v>0</v>
      </c>
      <c r="E18" s="55">
        <f t="shared" si="1"/>
        <v>0</v>
      </c>
      <c r="F18" s="66" t="s">
        <v>762</v>
      </c>
      <c r="G18" s="63">
        <f t="shared" si="3"/>
        <v>11943</v>
      </c>
      <c r="H18" s="63">
        <v>11224</v>
      </c>
      <c r="I18" s="64">
        <f t="shared" si="2"/>
        <v>93.97973708448464</v>
      </c>
      <c r="J18" s="63">
        <f>H18-'[20]Augusts'!H18</f>
        <v>1287</v>
      </c>
    </row>
    <row r="19" spans="1:10" ht="12.75">
      <c r="A19" s="65" t="s">
        <v>686</v>
      </c>
      <c r="B19" s="61">
        <f>B20</f>
        <v>3240000</v>
      </c>
      <c r="C19" s="61"/>
      <c r="D19" s="62"/>
      <c r="E19" s="55"/>
      <c r="F19" s="65" t="s">
        <v>686</v>
      </c>
      <c r="G19" s="61">
        <f t="shared" si="3"/>
        <v>3240</v>
      </c>
      <c r="H19" s="61">
        <f>H20</f>
        <v>3004</v>
      </c>
      <c r="I19" s="81">
        <f t="shared" si="2"/>
        <v>92.71604938271605</v>
      </c>
      <c r="J19" s="61">
        <f>H19-'[20]Augusts'!H19</f>
        <v>342</v>
      </c>
    </row>
    <row r="20" spans="1:10" ht="12.75">
      <c r="A20" s="66" t="s">
        <v>687</v>
      </c>
      <c r="B20" s="61">
        <v>3240000</v>
      </c>
      <c r="C20" s="61"/>
      <c r="D20" s="62"/>
      <c r="E20" s="55"/>
      <c r="F20" s="66" t="s">
        <v>687</v>
      </c>
      <c r="G20" s="63">
        <f t="shared" si="3"/>
        <v>3240</v>
      </c>
      <c r="H20" s="63">
        <v>3004</v>
      </c>
      <c r="I20" s="64">
        <f t="shared" si="2"/>
        <v>92.71604938271605</v>
      </c>
      <c r="J20" s="63">
        <f>H20-'[20]Augusts'!H20</f>
        <v>342</v>
      </c>
    </row>
    <row r="21" spans="1:10" ht="12.75">
      <c r="A21" s="65" t="s">
        <v>763</v>
      </c>
      <c r="B21" s="61"/>
      <c r="C21" s="61"/>
      <c r="D21" s="62" t="str">
        <f t="shared" si="0"/>
        <v> </v>
      </c>
      <c r="E21" s="55">
        <f t="shared" si="1"/>
        <v>0</v>
      </c>
      <c r="F21" s="65" t="s">
        <v>763</v>
      </c>
      <c r="G21" s="68" t="s">
        <v>650</v>
      </c>
      <c r="H21" s="61">
        <v>3428</v>
      </c>
      <c r="I21" s="64"/>
      <c r="J21" s="61">
        <f>H21-'[20]Augusts'!H21</f>
        <v>-203</v>
      </c>
    </row>
    <row r="22" spans="1:10" ht="12.75">
      <c r="A22" s="60" t="s">
        <v>764</v>
      </c>
      <c r="B22" s="61">
        <v>63990583</v>
      </c>
      <c r="C22" s="61"/>
      <c r="D22" s="62">
        <f t="shared" si="0"/>
        <v>0</v>
      </c>
      <c r="E22" s="55">
        <f t="shared" si="1"/>
        <v>0</v>
      </c>
      <c r="F22" s="60" t="s">
        <v>764</v>
      </c>
      <c r="G22" s="63">
        <f>ROUND(B22/1000,0)-1</f>
        <v>63990</v>
      </c>
      <c r="H22" s="63">
        <v>51796</v>
      </c>
      <c r="I22" s="64">
        <f t="shared" si="2"/>
        <v>80.94389748398187</v>
      </c>
      <c r="J22" s="63">
        <f>H22-'[20]Augusts'!H22</f>
        <v>3929</v>
      </c>
    </row>
    <row r="23" spans="1:10" ht="12.75" customHeight="1">
      <c r="A23" s="69" t="s">
        <v>765</v>
      </c>
      <c r="B23" s="61">
        <v>65026004</v>
      </c>
      <c r="C23" s="61"/>
      <c r="D23" s="62">
        <f t="shared" si="0"/>
        <v>0</v>
      </c>
      <c r="E23" s="55">
        <f t="shared" si="1"/>
        <v>0</v>
      </c>
      <c r="F23" s="69" t="s">
        <v>765</v>
      </c>
      <c r="G23" s="63">
        <f t="shared" si="3"/>
        <v>65026</v>
      </c>
      <c r="H23" s="63">
        <v>45830</v>
      </c>
      <c r="I23" s="64">
        <f t="shared" si="2"/>
        <v>70.4795005074893</v>
      </c>
      <c r="J23" s="63">
        <f>H23-'[20]Augusts'!H23</f>
        <v>5940</v>
      </c>
    </row>
    <row r="24" spans="1:10" ht="12" customHeight="1">
      <c r="A24" s="69" t="s">
        <v>766</v>
      </c>
      <c r="B24" s="61">
        <v>51309574</v>
      </c>
      <c r="C24" s="61"/>
      <c r="D24" s="62"/>
      <c r="E24" s="55"/>
      <c r="F24" s="69" t="s">
        <v>767</v>
      </c>
      <c r="G24" s="63">
        <f t="shared" si="3"/>
        <v>51310</v>
      </c>
      <c r="H24" s="63">
        <v>17069</v>
      </c>
      <c r="I24" s="64">
        <f t="shared" si="2"/>
        <v>33.26641980120834</v>
      </c>
      <c r="J24" s="63">
        <f>H24-'[20]Augusts'!H24</f>
        <v>9</v>
      </c>
    </row>
    <row r="25" spans="1:10" ht="12.75" customHeight="1">
      <c r="A25" s="70" t="s">
        <v>768</v>
      </c>
      <c r="B25" s="61">
        <v>1201200</v>
      </c>
      <c r="C25" s="61"/>
      <c r="D25" s="62">
        <f t="shared" si="0"/>
        <v>0</v>
      </c>
      <c r="E25" s="55">
        <f t="shared" si="1"/>
        <v>0</v>
      </c>
      <c r="F25" s="70" t="s">
        <v>768</v>
      </c>
      <c r="G25" s="71">
        <f t="shared" si="3"/>
        <v>1201</v>
      </c>
      <c r="H25" s="72">
        <v>901</v>
      </c>
      <c r="I25" s="73">
        <f t="shared" si="2"/>
        <v>75.02081598667777</v>
      </c>
      <c r="J25" s="72">
        <f>H25-'[20]Augusts'!H25</f>
        <v>100</v>
      </c>
    </row>
    <row r="26" spans="1:10" ht="12.75" customHeight="1">
      <c r="A26" s="59" t="s">
        <v>769</v>
      </c>
      <c r="B26" s="55">
        <f>SUM(B11-B25)</f>
        <v>794144758</v>
      </c>
      <c r="C26" s="55">
        <f>SUM(C11-C25)</f>
        <v>0</v>
      </c>
      <c r="D26" s="56">
        <f t="shared" si="0"/>
        <v>0</v>
      </c>
      <c r="E26" s="55">
        <f t="shared" si="1"/>
        <v>0</v>
      </c>
      <c r="F26" s="59" t="s">
        <v>769</v>
      </c>
      <c r="G26" s="57">
        <f>SUM(G11-G25)</f>
        <v>794145</v>
      </c>
      <c r="H26" s="57">
        <f>SUM(H11-H25)</f>
        <v>552935</v>
      </c>
      <c r="I26" s="58">
        <f t="shared" si="2"/>
        <v>69.62645360733872</v>
      </c>
      <c r="J26" s="57">
        <f>H26-'[20]Augusts'!H26</f>
        <v>57857</v>
      </c>
    </row>
    <row r="27" spans="1:10" ht="12.75">
      <c r="A27" s="74" t="s">
        <v>770</v>
      </c>
      <c r="B27" s="55">
        <f>SUM(B28+B33+B34+B35)</f>
        <v>727134239</v>
      </c>
      <c r="C27" s="55">
        <f>SUM(C28)</f>
        <v>0</v>
      </c>
      <c r="D27" s="56">
        <f t="shared" si="0"/>
        <v>0</v>
      </c>
      <c r="E27" s="55">
        <f t="shared" si="1"/>
        <v>0</v>
      </c>
      <c r="F27" s="74" t="s">
        <v>770</v>
      </c>
      <c r="G27" s="57">
        <f>SUM(G28+G33+G34+G35)</f>
        <v>727134</v>
      </c>
      <c r="H27" s="57">
        <f>SUM(H28+H33+H34+H35)</f>
        <v>521912</v>
      </c>
      <c r="I27" s="58">
        <f t="shared" si="2"/>
        <v>71.77659138480665</v>
      </c>
      <c r="J27" s="57">
        <f>H27-'[20]Augusts'!H27</f>
        <v>55774</v>
      </c>
    </row>
    <row r="28" spans="1:10" ht="12.75">
      <c r="A28" s="60" t="s">
        <v>756</v>
      </c>
      <c r="B28" s="61">
        <f>SUM(B29:B32)</f>
        <v>637745447</v>
      </c>
      <c r="C28" s="61">
        <f>SUM(C29:C35)</f>
        <v>0</v>
      </c>
      <c r="D28" s="62">
        <f t="shared" si="0"/>
        <v>0</v>
      </c>
      <c r="E28" s="55">
        <f t="shared" si="1"/>
        <v>0</v>
      </c>
      <c r="F28" s="60" t="s">
        <v>756</v>
      </c>
      <c r="G28" s="63">
        <f>SUM(G29:G32)</f>
        <v>637745</v>
      </c>
      <c r="H28" s="63">
        <f>SUM(H29:H32)</f>
        <v>451891</v>
      </c>
      <c r="I28" s="64">
        <f t="shared" si="2"/>
        <v>70.85763118487797</v>
      </c>
      <c r="J28" s="63">
        <f>H28-'[20]Augusts'!H28</f>
        <v>48873</v>
      </c>
    </row>
    <row r="29" spans="1:10" ht="12.75">
      <c r="A29" s="66" t="s">
        <v>771</v>
      </c>
      <c r="B29" s="61">
        <v>495585390</v>
      </c>
      <c r="C29" s="61"/>
      <c r="D29" s="62">
        <f t="shared" si="0"/>
        <v>0</v>
      </c>
      <c r="E29" s="55">
        <f t="shared" si="1"/>
        <v>0</v>
      </c>
      <c r="F29" s="66" t="s">
        <v>771</v>
      </c>
      <c r="G29" s="63">
        <f aca="true" t="shared" si="4" ref="G29:G35">ROUND(B29/1000,0)</f>
        <v>495585</v>
      </c>
      <c r="H29" s="63">
        <v>356219</v>
      </c>
      <c r="I29" s="64">
        <f t="shared" si="2"/>
        <v>71.87848704056822</v>
      </c>
      <c r="J29" s="63">
        <f>H29-'[20]Augusts'!H29</f>
        <v>38047</v>
      </c>
    </row>
    <row r="30" spans="1:10" ht="12.75">
      <c r="A30" s="66" t="s">
        <v>772</v>
      </c>
      <c r="B30" s="61">
        <v>51689860</v>
      </c>
      <c r="C30" s="61"/>
      <c r="D30" s="62">
        <f t="shared" si="0"/>
        <v>0</v>
      </c>
      <c r="E30" s="55">
        <f t="shared" si="1"/>
        <v>0</v>
      </c>
      <c r="F30" s="66" t="s">
        <v>772</v>
      </c>
      <c r="G30" s="63">
        <f t="shared" si="4"/>
        <v>51690</v>
      </c>
      <c r="H30" s="63">
        <f>30592+273+863+478</f>
        <v>32206</v>
      </c>
      <c r="I30" s="64">
        <f t="shared" si="2"/>
        <v>62.30605532985104</v>
      </c>
      <c r="J30" s="63">
        <f>H30-'[20]Augusts'!H30</f>
        <v>4153</v>
      </c>
    </row>
    <row r="31" spans="1:10" ht="12.75">
      <c r="A31" s="66" t="s">
        <v>773</v>
      </c>
      <c r="B31" s="61">
        <v>81519197</v>
      </c>
      <c r="C31" s="61"/>
      <c r="D31" s="62">
        <f t="shared" si="0"/>
        <v>0</v>
      </c>
      <c r="E31" s="55">
        <f t="shared" si="1"/>
        <v>0</v>
      </c>
      <c r="F31" s="66" t="s">
        <v>773</v>
      </c>
      <c r="G31" s="63">
        <f t="shared" si="4"/>
        <v>81519</v>
      </c>
      <c r="H31" s="63">
        <v>57868</v>
      </c>
      <c r="I31" s="64">
        <f t="shared" si="2"/>
        <v>70.9871318342963</v>
      </c>
      <c r="J31" s="63">
        <f>H31-'[20]Augusts'!H31</f>
        <v>6107</v>
      </c>
    </row>
    <row r="32" spans="1:10" ht="12.75">
      <c r="A32" s="66" t="s">
        <v>688</v>
      </c>
      <c r="B32" s="61">
        <v>8951000</v>
      </c>
      <c r="C32" s="61"/>
      <c r="D32" s="62"/>
      <c r="E32" s="55"/>
      <c r="F32" s="66" t="s">
        <v>688</v>
      </c>
      <c r="G32" s="63">
        <f t="shared" si="4"/>
        <v>8951</v>
      </c>
      <c r="H32" s="63">
        <f>5598</f>
        <v>5598</v>
      </c>
      <c r="I32" s="64">
        <f t="shared" si="2"/>
        <v>62.54049826834991</v>
      </c>
      <c r="J32" s="63">
        <f>H32-'[20]Augusts'!H32</f>
        <v>566</v>
      </c>
    </row>
    <row r="33" spans="1:10" ht="12.75">
      <c r="A33" s="66" t="s">
        <v>689</v>
      </c>
      <c r="B33" s="61">
        <v>83323775</v>
      </c>
      <c r="C33" s="61"/>
      <c r="D33" s="62"/>
      <c r="E33" s="55"/>
      <c r="F33" s="66" t="s">
        <v>689</v>
      </c>
      <c r="G33" s="63">
        <f t="shared" si="4"/>
        <v>83324</v>
      </c>
      <c r="H33" s="63">
        <v>66015</v>
      </c>
      <c r="I33" s="64">
        <f t="shared" si="2"/>
        <v>79.22687340982189</v>
      </c>
      <c r="J33" s="63">
        <f>H33-'[20]Augusts'!H33</f>
        <v>6743</v>
      </c>
    </row>
    <row r="34" spans="1:10" ht="12.75">
      <c r="A34" s="66" t="s">
        <v>690</v>
      </c>
      <c r="B34" s="61">
        <v>3459911</v>
      </c>
      <c r="C34" s="61"/>
      <c r="D34" s="62"/>
      <c r="E34" s="55"/>
      <c r="F34" s="66" t="s">
        <v>690</v>
      </c>
      <c r="G34" s="63">
        <f t="shared" si="4"/>
        <v>3460</v>
      </c>
      <c r="H34" s="63">
        <f>78+1904+103+35</f>
        <v>2120</v>
      </c>
      <c r="I34" s="64">
        <f t="shared" si="2"/>
        <v>61.27167630057804</v>
      </c>
      <c r="J34" s="63">
        <f>H34-'[20]Augusts'!H34</f>
        <v>158</v>
      </c>
    </row>
    <row r="35" spans="1:10" ht="12.75">
      <c r="A35" s="66" t="s">
        <v>691</v>
      </c>
      <c r="B35" s="61">
        <v>2605106</v>
      </c>
      <c r="C35" s="61"/>
      <c r="D35" s="62">
        <f t="shared" si="0"/>
        <v>0</v>
      </c>
      <c r="E35" s="55">
        <f t="shared" si="1"/>
        <v>0</v>
      </c>
      <c r="F35" s="66" t="s">
        <v>691</v>
      </c>
      <c r="G35" s="63">
        <f t="shared" si="4"/>
        <v>2605</v>
      </c>
      <c r="H35" s="63">
        <f>1730+156</f>
        <v>1886</v>
      </c>
      <c r="I35" s="64">
        <f t="shared" si="2"/>
        <v>72.39923224568138</v>
      </c>
      <c r="J35" s="63">
        <f>H35-'[20]Augusts'!H35</f>
        <v>0</v>
      </c>
    </row>
    <row r="36" spans="1:10" ht="12.75">
      <c r="A36" s="75" t="s">
        <v>774</v>
      </c>
      <c r="B36" s="61">
        <v>64165189</v>
      </c>
      <c r="C36" s="61"/>
      <c r="D36" s="62">
        <f t="shared" si="0"/>
        <v>0</v>
      </c>
      <c r="E36" s="55">
        <f t="shared" si="1"/>
        <v>0</v>
      </c>
      <c r="F36" s="75" t="s">
        <v>774</v>
      </c>
      <c r="G36" s="71">
        <f>ROUND(B36/1000,0)</f>
        <v>64165</v>
      </c>
      <c r="H36" s="71">
        <f>1194+1041+43038+4903</f>
        <v>50176</v>
      </c>
      <c r="I36" s="73">
        <f t="shared" si="2"/>
        <v>78.19839476350035</v>
      </c>
      <c r="J36" s="71">
        <f>H36-'[20]Augusts'!H36</f>
        <v>5415</v>
      </c>
    </row>
    <row r="37" spans="1:10" ht="12.75" customHeight="1">
      <c r="A37" s="59" t="s">
        <v>775</v>
      </c>
      <c r="B37" s="55">
        <f>SUM(B27-B36)</f>
        <v>662969050</v>
      </c>
      <c r="C37" s="55">
        <f>SUM(C27-C36)</f>
        <v>0</v>
      </c>
      <c r="D37" s="56">
        <f t="shared" si="0"/>
        <v>0</v>
      </c>
      <c r="E37" s="55">
        <f t="shared" si="1"/>
        <v>0</v>
      </c>
      <c r="F37" s="59" t="s">
        <v>775</v>
      </c>
      <c r="G37" s="57">
        <f>SUM(G27-G36)</f>
        <v>662969</v>
      </c>
      <c r="H37" s="57">
        <f>SUM(H27-H36)</f>
        <v>471736</v>
      </c>
      <c r="I37" s="58">
        <f t="shared" si="2"/>
        <v>71.15506154888087</v>
      </c>
      <c r="J37" s="57">
        <f>H37-'[20]Augusts'!H37</f>
        <v>50359</v>
      </c>
    </row>
    <row r="38" spans="1:10" ht="15" customHeight="1">
      <c r="A38" s="76" t="s">
        <v>776</v>
      </c>
      <c r="B38" s="55">
        <f>SUM(B39:B41)</f>
        <v>1536543434</v>
      </c>
      <c r="C38" s="55">
        <f>SUM(C39:C41)</f>
        <v>0</v>
      </c>
      <c r="D38" s="56">
        <f t="shared" si="0"/>
        <v>0</v>
      </c>
      <c r="E38" s="55">
        <f t="shared" si="1"/>
        <v>0</v>
      </c>
      <c r="F38" s="76" t="s">
        <v>776</v>
      </c>
      <c r="G38" s="57">
        <f>SUM(G39:G41)</f>
        <v>1536543</v>
      </c>
      <c r="H38" s="57">
        <f>SUM(H39:H41)</f>
        <v>1050875</v>
      </c>
      <c r="I38" s="58">
        <f t="shared" si="2"/>
        <v>68.39216344742711</v>
      </c>
      <c r="J38" s="57">
        <f>H38-'[20]Augusts'!H38</f>
        <v>109298</v>
      </c>
    </row>
    <row r="39" spans="1:10" ht="25.5">
      <c r="A39" s="76" t="s">
        <v>777</v>
      </c>
      <c r="B39" s="55">
        <f>SUM(B56+B78)</f>
        <v>1427129160</v>
      </c>
      <c r="C39" s="55">
        <f>SUM(C56+C78)</f>
        <v>0</v>
      </c>
      <c r="D39" s="56">
        <f t="shared" si="0"/>
        <v>0</v>
      </c>
      <c r="E39" s="55">
        <f t="shared" si="1"/>
        <v>0</v>
      </c>
      <c r="F39" s="76" t="s">
        <v>777</v>
      </c>
      <c r="G39" s="57">
        <f>SUM(G56+G78)</f>
        <v>1427128</v>
      </c>
      <c r="H39" s="57">
        <f>SUM(H56+H78)</f>
        <v>996713</v>
      </c>
      <c r="I39" s="58">
        <f t="shared" si="2"/>
        <v>69.84047681777669</v>
      </c>
      <c r="J39" s="57">
        <f>H39-'[20]Augusts'!H39</f>
        <v>102364</v>
      </c>
    </row>
    <row r="40" spans="1:10" ht="25.5">
      <c r="A40" s="76" t="s">
        <v>778</v>
      </c>
      <c r="B40" s="55">
        <f>SUM(B58+B80)</f>
        <v>32661601</v>
      </c>
      <c r="C40" s="55">
        <f>SUM(C58+C80)</f>
        <v>0</v>
      </c>
      <c r="D40" s="56">
        <f t="shared" si="0"/>
        <v>0</v>
      </c>
      <c r="E40" s="55">
        <f t="shared" si="1"/>
        <v>0</v>
      </c>
      <c r="F40" s="76" t="s">
        <v>778</v>
      </c>
      <c r="G40" s="57">
        <f>SUM(G58+G80)</f>
        <v>32662</v>
      </c>
      <c r="H40" s="57">
        <f>SUM(H58+H80)</f>
        <v>18412</v>
      </c>
      <c r="I40" s="58">
        <f t="shared" si="2"/>
        <v>56.37131835160125</v>
      </c>
      <c r="J40" s="57">
        <f>H40-'[20]Augusts'!H40</f>
        <v>2052</v>
      </c>
    </row>
    <row r="41" spans="1:10" ht="25.5">
      <c r="A41" s="76" t="s">
        <v>779</v>
      </c>
      <c r="B41" s="55">
        <f>SUM(B61+B82)</f>
        <v>76752673</v>
      </c>
      <c r="C41" s="55">
        <f>SUM(C61+C82)</f>
        <v>0</v>
      </c>
      <c r="D41" s="56">
        <f t="shared" si="0"/>
        <v>0</v>
      </c>
      <c r="E41" s="55">
        <f t="shared" si="1"/>
        <v>0</v>
      </c>
      <c r="F41" s="76" t="s">
        <v>779</v>
      </c>
      <c r="G41" s="57">
        <f>SUM(G61+G82)</f>
        <v>76753</v>
      </c>
      <c r="H41" s="57">
        <f>SUM(H61+H82)</f>
        <v>35750</v>
      </c>
      <c r="I41" s="58">
        <f t="shared" si="2"/>
        <v>46.577983922452546</v>
      </c>
      <c r="J41" s="57">
        <f>H41-'[20]Augusts'!H41</f>
        <v>4882</v>
      </c>
    </row>
    <row r="42" spans="1:10" ht="26.25" customHeight="1">
      <c r="A42" s="76" t="s">
        <v>780</v>
      </c>
      <c r="B42" s="55">
        <f>SUM(B10-B38)</f>
        <v>-79429626</v>
      </c>
      <c r="C42" s="55">
        <f>SUM(C10-C38)</f>
        <v>0</v>
      </c>
      <c r="D42" s="56">
        <f t="shared" si="0"/>
        <v>0</v>
      </c>
      <c r="E42" s="55">
        <f t="shared" si="1"/>
        <v>0</v>
      </c>
      <c r="F42" s="76" t="s">
        <v>780</v>
      </c>
      <c r="G42" s="57">
        <f>SUM(G10-G38)</f>
        <v>-79429</v>
      </c>
      <c r="H42" s="57">
        <f>SUM(H10-H38)</f>
        <v>-26204</v>
      </c>
      <c r="I42" s="58">
        <f t="shared" si="2"/>
        <v>32.99046947588412</v>
      </c>
      <c r="J42" s="57">
        <f>H42-'[20]Augusts'!H42</f>
        <v>-1082</v>
      </c>
    </row>
    <row r="43" spans="1:10" ht="15" customHeight="1">
      <c r="A43" s="76" t="s">
        <v>781</v>
      </c>
      <c r="B43" s="55">
        <f>SUM(B63+B84)</f>
        <v>12043832</v>
      </c>
      <c r="C43" s="55">
        <f>SUM(C63+C84)</f>
        <v>0</v>
      </c>
      <c r="D43" s="56">
        <f t="shared" si="0"/>
        <v>0</v>
      </c>
      <c r="E43" s="55">
        <f t="shared" si="1"/>
        <v>0</v>
      </c>
      <c r="F43" s="76" t="s">
        <v>781</v>
      </c>
      <c r="G43" s="57">
        <f>SUM(G63+G84)</f>
        <v>12044</v>
      </c>
      <c r="H43" s="57">
        <f>SUM(H63+H84)</f>
        <v>5217</v>
      </c>
      <c r="I43" s="58">
        <f t="shared" si="2"/>
        <v>43.31617402856194</v>
      </c>
      <c r="J43" s="57">
        <f>H43-'[20]Augusts'!H43</f>
        <v>1793</v>
      </c>
    </row>
    <row r="44" spans="1:10" ht="27" customHeight="1">
      <c r="A44" s="76" t="s">
        <v>782</v>
      </c>
      <c r="B44" s="55">
        <f>SUM(B38+B43)</f>
        <v>1548587266</v>
      </c>
      <c r="C44" s="55">
        <f>SUM(C38+C43)</f>
        <v>0</v>
      </c>
      <c r="D44" s="56">
        <f t="shared" si="0"/>
        <v>0</v>
      </c>
      <c r="E44" s="55">
        <f t="shared" si="1"/>
        <v>0</v>
      </c>
      <c r="F44" s="76" t="s">
        <v>782</v>
      </c>
      <c r="G44" s="57">
        <f>SUM(G38+G43)</f>
        <v>1548587</v>
      </c>
      <c r="H44" s="57">
        <f>SUM(H38+H43)</f>
        <v>1056092</v>
      </c>
      <c r="I44" s="58">
        <f t="shared" si="2"/>
        <v>68.19713713210818</v>
      </c>
      <c r="J44" s="57">
        <f>H44-'[20]Augusts'!H44</f>
        <v>111091</v>
      </c>
    </row>
    <row r="45" spans="1:10" ht="25.5">
      <c r="A45" s="76" t="s">
        <v>783</v>
      </c>
      <c r="B45" s="55">
        <f>IF((B42-B43=B10-B44)=TRUE,B42-B43,9)</f>
        <v>-91473458</v>
      </c>
      <c r="C45" s="57">
        <f>C42-C43</f>
        <v>0</v>
      </c>
      <c r="D45" s="56">
        <f t="shared" si="0"/>
        <v>0</v>
      </c>
      <c r="E45" s="55">
        <f t="shared" si="1"/>
        <v>0</v>
      </c>
      <c r="F45" s="76" t="s">
        <v>783</v>
      </c>
      <c r="G45" s="57">
        <f>IF((G42-G43=G10-G44)=TRUE,G42-G43,9)</f>
        <v>-91473</v>
      </c>
      <c r="H45" s="57">
        <f>IF((H42-H43=H10-H44)=TRUE,H42-H43,9)</f>
        <v>-31421</v>
      </c>
      <c r="I45" s="58">
        <f t="shared" si="2"/>
        <v>34.35002678385972</v>
      </c>
      <c r="J45" s="57">
        <f>H45-'[20]Augusts'!H45</f>
        <v>-2875</v>
      </c>
    </row>
    <row r="46" spans="1:10" ht="12.75">
      <c r="A46" s="76"/>
      <c r="B46" s="55"/>
      <c r="C46" s="57"/>
      <c r="D46" s="56"/>
      <c r="E46" s="55"/>
      <c r="F46" s="77" t="s">
        <v>784</v>
      </c>
      <c r="G46" s="57"/>
      <c r="H46" s="57"/>
      <c r="I46" s="58"/>
      <c r="J46" s="57">
        <f>H46-'[20]Augusts'!H46</f>
        <v>0</v>
      </c>
    </row>
    <row r="47" spans="1:10" ht="12.75" customHeight="1">
      <c r="A47" s="76"/>
      <c r="B47" s="55">
        <v>17266744</v>
      </c>
      <c r="C47" s="57"/>
      <c r="D47" s="56"/>
      <c r="E47" s="55"/>
      <c r="F47" s="77" t="s">
        <v>785</v>
      </c>
      <c r="G47" s="78">
        <f>ROUND(B47/1000,0)</f>
        <v>17267</v>
      </c>
      <c r="H47" s="78">
        <v>14544</v>
      </c>
      <c r="I47" s="79">
        <f t="shared" si="2"/>
        <v>84.23003416922454</v>
      </c>
      <c r="J47" s="78">
        <f>H47-'[20]Augusts'!H47</f>
        <v>5689</v>
      </c>
    </row>
    <row r="48" spans="1:10" ht="12.75">
      <c r="A48" s="76"/>
      <c r="B48" s="55">
        <v>800000</v>
      </c>
      <c r="C48" s="57"/>
      <c r="D48" s="56"/>
      <c r="E48" s="55"/>
      <c r="F48" s="77" t="s">
        <v>786</v>
      </c>
      <c r="G48" s="78">
        <f>ROUND(B48/1000,0)</f>
        <v>800</v>
      </c>
      <c r="H48" s="78">
        <v>606</v>
      </c>
      <c r="I48" s="79">
        <f t="shared" si="2"/>
        <v>75.75</v>
      </c>
      <c r="J48" s="78">
        <f>H48-'[20]Augusts'!H48</f>
        <v>0</v>
      </c>
    </row>
    <row r="49" spans="1:10" ht="12.75">
      <c r="A49" s="76"/>
      <c r="B49" s="55">
        <v>71869175</v>
      </c>
      <c r="C49" s="57"/>
      <c r="D49" s="56"/>
      <c r="E49" s="55"/>
      <c r="F49" s="77" t="s">
        <v>787</v>
      </c>
      <c r="G49" s="78">
        <f>ROUND(B49/1000,0)</f>
        <v>71869</v>
      </c>
      <c r="H49" s="78">
        <v>65174</v>
      </c>
      <c r="I49" s="79">
        <f t="shared" si="2"/>
        <v>90.6844397445352</v>
      </c>
      <c r="J49" s="78">
        <f>H49-'[20]Augusts'!H49</f>
        <v>-13261</v>
      </c>
    </row>
    <row r="50" spans="1:10" ht="12.75">
      <c r="A50" s="76"/>
      <c r="B50" s="55">
        <v>1537539</v>
      </c>
      <c r="C50" s="57"/>
      <c r="D50" s="56"/>
      <c r="E50" s="55"/>
      <c r="F50" s="77" t="s">
        <v>692</v>
      </c>
      <c r="G50" s="78">
        <f>ROUND(B50/1000,0)-1</f>
        <v>1537</v>
      </c>
      <c r="H50" s="78">
        <v>-48903</v>
      </c>
      <c r="I50" s="79"/>
      <c r="J50" s="78">
        <f>H50-'[20]Augusts'!H50</f>
        <v>10447</v>
      </c>
    </row>
    <row r="51" spans="1:10" ht="12.75">
      <c r="A51" s="59" t="s">
        <v>788</v>
      </c>
      <c r="B51" s="55">
        <f>B54+B57+B59</f>
        <v>832064074</v>
      </c>
      <c r="C51" s="55">
        <f>C54+C57+C59</f>
        <v>0</v>
      </c>
      <c r="D51" s="56">
        <f t="shared" si="0"/>
        <v>0</v>
      </c>
      <c r="E51" s="55">
        <f t="shared" si="1"/>
        <v>0</v>
      </c>
      <c r="F51" s="59" t="s">
        <v>788</v>
      </c>
      <c r="G51" s="57">
        <f>G54+G57+G59</f>
        <v>832064</v>
      </c>
      <c r="H51" s="57">
        <f>H54+H57+H59</f>
        <v>569678</v>
      </c>
      <c r="I51" s="58">
        <f t="shared" si="2"/>
        <v>68.46564687331743</v>
      </c>
      <c r="J51" s="57">
        <f>H51-'[20]Augusts'!H51</f>
        <v>61769</v>
      </c>
    </row>
    <row r="52" spans="1:10" ht="12.75">
      <c r="A52" s="80" t="s">
        <v>789</v>
      </c>
      <c r="B52" s="61">
        <f>B55+B60</f>
        <v>64165189</v>
      </c>
      <c r="C52" s="61">
        <f>C55+C60</f>
        <v>0</v>
      </c>
      <c r="D52" s="62">
        <f t="shared" si="0"/>
        <v>0</v>
      </c>
      <c r="E52" s="55">
        <f t="shared" si="1"/>
        <v>0</v>
      </c>
      <c r="F52" s="80" t="s">
        <v>789</v>
      </c>
      <c r="G52" s="71">
        <f>G55+G60</f>
        <v>64165</v>
      </c>
      <c r="H52" s="71">
        <f>H55+H60</f>
        <v>50176</v>
      </c>
      <c r="I52" s="73">
        <f t="shared" si="2"/>
        <v>78.19839476350035</v>
      </c>
      <c r="J52" s="71">
        <f>H52-'[20]Augusts'!H52</f>
        <v>5415</v>
      </c>
    </row>
    <row r="53" spans="1:10" ht="13.5" customHeight="1">
      <c r="A53" s="59" t="s">
        <v>790</v>
      </c>
      <c r="B53" s="55">
        <f>SUM(B51-B52)</f>
        <v>767898885</v>
      </c>
      <c r="C53" s="55">
        <f>SUM(C51-C52)</f>
        <v>0</v>
      </c>
      <c r="D53" s="56">
        <f t="shared" si="0"/>
        <v>0</v>
      </c>
      <c r="E53" s="55">
        <f t="shared" si="1"/>
        <v>0</v>
      </c>
      <c r="F53" s="59" t="s">
        <v>790</v>
      </c>
      <c r="G53" s="57">
        <f>SUM(G51-G52)</f>
        <v>767899</v>
      </c>
      <c r="H53" s="57">
        <f>SUM(H51-H52)</f>
        <v>519502</v>
      </c>
      <c r="I53" s="58">
        <f t="shared" si="2"/>
        <v>67.65238657688056</v>
      </c>
      <c r="J53" s="57">
        <f>H53-'[20]Augusts'!H53</f>
        <v>56354</v>
      </c>
    </row>
    <row r="54" spans="1:10" ht="12.75">
      <c r="A54" s="60" t="s">
        <v>791</v>
      </c>
      <c r="B54" s="61">
        <v>754923325</v>
      </c>
      <c r="C54" s="61"/>
      <c r="D54" s="62">
        <f t="shared" si="0"/>
        <v>0</v>
      </c>
      <c r="E54" s="55">
        <f t="shared" si="1"/>
        <v>0</v>
      </c>
      <c r="F54" s="60" t="s">
        <v>791</v>
      </c>
      <c r="G54" s="61">
        <f>ROUND(B54/1000,0)</f>
        <v>754923</v>
      </c>
      <c r="H54" s="61">
        <v>529860</v>
      </c>
      <c r="I54" s="64">
        <f t="shared" si="2"/>
        <v>70.18729062434183</v>
      </c>
      <c r="J54" s="61">
        <f>H54-'[20]Augusts'!H54</f>
        <v>56303</v>
      </c>
    </row>
    <row r="55" spans="1:10" ht="12.75">
      <c r="A55" s="75" t="s">
        <v>792</v>
      </c>
      <c r="B55" s="61">
        <v>63413789</v>
      </c>
      <c r="C55" s="61"/>
      <c r="D55" s="62">
        <f t="shared" si="0"/>
        <v>0</v>
      </c>
      <c r="E55" s="55">
        <f t="shared" si="1"/>
        <v>0</v>
      </c>
      <c r="F55" s="75" t="s">
        <v>792</v>
      </c>
      <c r="G55" s="71">
        <f>ROUND(B55/1000,0)</f>
        <v>63414</v>
      </c>
      <c r="H55" s="71">
        <v>49466</v>
      </c>
      <c r="I55" s="73">
        <f t="shared" si="2"/>
        <v>78.00485697164665</v>
      </c>
      <c r="J55" s="71">
        <f>H55-'[20]Augusts'!H55</f>
        <v>5350</v>
      </c>
    </row>
    <row r="56" spans="1:10" ht="13.5" customHeight="1">
      <c r="A56" s="59" t="s">
        <v>793</v>
      </c>
      <c r="B56" s="55">
        <f>SUM(B54-B55)</f>
        <v>691509536</v>
      </c>
      <c r="C56" s="55">
        <f>SUM(C54-C55)</f>
        <v>0</v>
      </c>
      <c r="D56" s="56">
        <f t="shared" si="0"/>
        <v>0</v>
      </c>
      <c r="E56" s="55">
        <f t="shared" si="1"/>
        <v>0</v>
      </c>
      <c r="F56" s="59" t="s">
        <v>793</v>
      </c>
      <c r="G56" s="57">
        <f>SUM(G54-G55)</f>
        <v>691509</v>
      </c>
      <c r="H56" s="57">
        <f>SUM(H54-H55)</f>
        <v>480394</v>
      </c>
      <c r="I56" s="58">
        <f t="shared" si="2"/>
        <v>69.47039011784372</v>
      </c>
      <c r="J56" s="57">
        <f>H56-'[20]Augusts'!H56</f>
        <v>50953</v>
      </c>
    </row>
    <row r="57" spans="1:10" ht="12.75">
      <c r="A57" s="60" t="s">
        <v>794</v>
      </c>
      <c r="B57" s="61">
        <v>20101489</v>
      </c>
      <c r="C57" s="61"/>
      <c r="D57" s="62">
        <f t="shared" si="0"/>
        <v>0</v>
      </c>
      <c r="E57" s="55">
        <f t="shared" si="1"/>
        <v>0</v>
      </c>
      <c r="F57" s="60" t="s">
        <v>794</v>
      </c>
      <c r="G57" s="61">
        <f>ROUND(B57/1000,0)+1</f>
        <v>20102</v>
      </c>
      <c r="H57" s="61">
        <v>10996</v>
      </c>
      <c r="I57" s="64">
        <f t="shared" si="2"/>
        <v>54.70102477365436</v>
      </c>
      <c r="J57" s="61">
        <f>H57-'[20]Augusts'!H57</f>
        <v>1368</v>
      </c>
    </row>
    <row r="58" spans="1:10" ht="15" customHeight="1">
      <c r="A58" s="59" t="s">
        <v>795</v>
      </c>
      <c r="B58" s="55">
        <f>SUM(B57)</f>
        <v>20101489</v>
      </c>
      <c r="C58" s="55">
        <f>SUM(C57)</f>
        <v>0</v>
      </c>
      <c r="D58" s="56">
        <f t="shared" si="0"/>
        <v>0</v>
      </c>
      <c r="E58" s="55">
        <f t="shared" si="1"/>
        <v>0</v>
      </c>
      <c r="F58" s="59" t="s">
        <v>795</v>
      </c>
      <c r="G58" s="57">
        <f>SUM(G57)</f>
        <v>20102</v>
      </c>
      <c r="H58" s="57">
        <f>SUM(H57)</f>
        <v>10996</v>
      </c>
      <c r="I58" s="58">
        <f t="shared" si="2"/>
        <v>54.70102477365436</v>
      </c>
      <c r="J58" s="57">
        <f>H58-'[20]Augusts'!H58</f>
        <v>1368</v>
      </c>
    </row>
    <row r="59" spans="1:10" ht="12.75">
      <c r="A59" s="60" t="s">
        <v>796</v>
      </c>
      <c r="B59" s="61">
        <v>57039260</v>
      </c>
      <c r="C59" s="61"/>
      <c r="D59" s="62">
        <f t="shared" si="0"/>
        <v>0</v>
      </c>
      <c r="E59" s="55">
        <f t="shared" si="1"/>
        <v>0</v>
      </c>
      <c r="F59" s="60" t="s">
        <v>796</v>
      </c>
      <c r="G59" s="61">
        <f>ROUND(B59/1000,0)</f>
        <v>57039</v>
      </c>
      <c r="H59" s="61">
        <v>28822</v>
      </c>
      <c r="I59" s="64">
        <f t="shared" si="2"/>
        <v>50.53033889093427</v>
      </c>
      <c r="J59" s="61">
        <f>H59-'[20]Augusts'!H59</f>
        <v>4098</v>
      </c>
    </row>
    <row r="60" spans="1:10" ht="12.75">
      <c r="A60" s="75" t="s">
        <v>797</v>
      </c>
      <c r="B60" s="61">
        <v>751400</v>
      </c>
      <c r="C60" s="61"/>
      <c r="D60" s="62">
        <f t="shared" si="0"/>
        <v>0</v>
      </c>
      <c r="E60" s="55">
        <f t="shared" si="1"/>
        <v>0</v>
      </c>
      <c r="F60" s="75" t="s">
        <v>797</v>
      </c>
      <c r="G60" s="71">
        <f>ROUND(B60/1000,0)</f>
        <v>751</v>
      </c>
      <c r="H60" s="71">
        <v>710</v>
      </c>
      <c r="I60" s="73">
        <f t="shared" si="2"/>
        <v>94.54061251664447</v>
      </c>
      <c r="J60" s="71">
        <f>H60-'[20]Augusts'!H60</f>
        <v>65</v>
      </c>
    </row>
    <row r="61" spans="1:10" ht="14.25" customHeight="1">
      <c r="A61" s="59" t="s">
        <v>798</v>
      </c>
      <c r="B61" s="55">
        <f>SUM(B59-B60)</f>
        <v>56287860</v>
      </c>
      <c r="C61" s="55">
        <f>SUM(C59-C60)</f>
        <v>0</v>
      </c>
      <c r="D61" s="56">
        <f t="shared" si="0"/>
        <v>0</v>
      </c>
      <c r="E61" s="55">
        <f t="shared" si="1"/>
        <v>0</v>
      </c>
      <c r="F61" s="59" t="s">
        <v>798</v>
      </c>
      <c r="G61" s="57">
        <f>SUM(G59-G60)</f>
        <v>56288</v>
      </c>
      <c r="H61" s="57">
        <f>SUM(H59-H60)</f>
        <v>28112</v>
      </c>
      <c r="I61" s="58">
        <f t="shared" si="2"/>
        <v>49.94314951677089</v>
      </c>
      <c r="J61" s="57">
        <f>H61-'[20]Augusts'!H61</f>
        <v>4033</v>
      </c>
    </row>
    <row r="62" spans="1:10" ht="27" customHeight="1">
      <c r="A62" s="76" t="s">
        <v>799</v>
      </c>
      <c r="B62" s="55">
        <f>SUM(B11-B51)</f>
        <v>-36718116</v>
      </c>
      <c r="C62" s="55">
        <f>SUM(C11-C51)</f>
        <v>0</v>
      </c>
      <c r="D62" s="56">
        <f t="shared" si="0"/>
        <v>0</v>
      </c>
      <c r="E62" s="55">
        <f t="shared" si="1"/>
        <v>0</v>
      </c>
      <c r="F62" s="76" t="s">
        <v>799</v>
      </c>
      <c r="G62" s="57">
        <f>SUM(G11-G51)</f>
        <v>-36718</v>
      </c>
      <c r="H62" s="57">
        <f>SUM(H11-H51)</f>
        <v>-15842</v>
      </c>
      <c r="I62" s="58">
        <f t="shared" si="2"/>
        <v>43.145051473391796</v>
      </c>
      <c r="J62" s="57">
        <f>H62-'[20]Augusts'!H62</f>
        <v>-3812</v>
      </c>
    </row>
    <row r="63" spans="1:10" ht="14.25" customHeight="1">
      <c r="A63" s="59" t="s">
        <v>800</v>
      </c>
      <c r="B63" s="55">
        <f>B66</f>
        <v>5673780</v>
      </c>
      <c r="C63" s="55"/>
      <c r="D63" s="56">
        <f t="shared" si="0"/>
        <v>0</v>
      </c>
      <c r="E63" s="55">
        <f t="shared" si="1"/>
        <v>0</v>
      </c>
      <c r="F63" s="59" t="s">
        <v>800</v>
      </c>
      <c r="G63" s="57">
        <f>G66</f>
        <v>5674</v>
      </c>
      <c r="H63" s="57">
        <f>H66</f>
        <v>1105</v>
      </c>
      <c r="I63" s="58">
        <f t="shared" si="2"/>
        <v>19.47479732111385</v>
      </c>
      <c r="J63" s="57">
        <f>H63-'[20]Augusts'!H63</f>
        <v>1259</v>
      </c>
    </row>
    <row r="64" spans="1:10" ht="12.75">
      <c r="A64" s="60" t="s">
        <v>801</v>
      </c>
      <c r="B64" s="61">
        <v>48031380</v>
      </c>
      <c r="C64" s="61"/>
      <c r="D64" s="62">
        <f t="shared" si="0"/>
        <v>0</v>
      </c>
      <c r="E64" s="55">
        <f t="shared" si="1"/>
        <v>0</v>
      </c>
      <c r="F64" s="60" t="s">
        <v>802</v>
      </c>
      <c r="G64" s="63">
        <f>ROUND(B64/1000,0)</f>
        <v>48031</v>
      </c>
      <c r="H64" s="63">
        <v>23275</v>
      </c>
      <c r="I64" s="64">
        <f t="shared" si="2"/>
        <v>48.45828735608253</v>
      </c>
      <c r="J64" s="63">
        <f>H64-'[20]Augusts'!H64</f>
        <v>133</v>
      </c>
    </row>
    <row r="65" spans="1:10" ht="12.75" customHeight="1">
      <c r="A65" s="75" t="s">
        <v>797</v>
      </c>
      <c r="B65" s="61">
        <v>42357600</v>
      </c>
      <c r="C65" s="61"/>
      <c r="D65" s="62">
        <f t="shared" si="0"/>
        <v>0</v>
      </c>
      <c r="E65" s="55">
        <f t="shared" si="1"/>
        <v>0</v>
      </c>
      <c r="F65" s="75" t="s">
        <v>797</v>
      </c>
      <c r="G65" s="71">
        <f>ROUND(B65/1000,0)-1</f>
        <v>42357</v>
      </c>
      <c r="H65" s="71">
        <v>22170</v>
      </c>
      <c r="I65" s="73">
        <f t="shared" si="2"/>
        <v>52.34081733833841</v>
      </c>
      <c r="J65" s="71">
        <f>H65-'[20]Augusts'!H65</f>
        <v>-1126</v>
      </c>
    </row>
    <row r="66" spans="1:10" ht="12.75">
      <c r="A66" s="60" t="s">
        <v>803</v>
      </c>
      <c r="B66" s="61">
        <f>B64-B65</f>
        <v>5673780</v>
      </c>
      <c r="C66" s="61"/>
      <c r="D66" s="62">
        <f t="shared" si="0"/>
        <v>0</v>
      </c>
      <c r="E66" s="55">
        <f t="shared" si="1"/>
        <v>0</v>
      </c>
      <c r="F66" s="60" t="s">
        <v>803</v>
      </c>
      <c r="G66" s="63">
        <f>G64-G65</f>
        <v>5674</v>
      </c>
      <c r="H66" s="63">
        <f>SUM(H64-H65)</f>
        <v>1105</v>
      </c>
      <c r="I66" s="64">
        <f t="shared" si="2"/>
        <v>19.47479732111385</v>
      </c>
      <c r="J66" s="63">
        <f>H66-'[20]Augusts'!H66</f>
        <v>1259</v>
      </c>
    </row>
    <row r="67" spans="1:10" ht="26.25" customHeight="1">
      <c r="A67" s="76" t="s">
        <v>804</v>
      </c>
      <c r="B67" s="55">
        <f>B62-B64</f>
        <v>-84749496</v>
      </c>
      <c r="C67" s="55">
        <f>C62-C64</f>
        <v>0</v>
      </c>
      <c r="D67" s="56">
        <f t="shared" si="0"/>
        <v>0</v>
      </c>
      <c r="E67" s="55">
        <f t="shared" si="1"/>
        <v>0</v>
      </c>
      <c r="F67" s="76" t="s">
        <v>805</v>
      </c>
      <c r="G67" s="57">
        <f>G62-G64</f>
        <v>-84749</v>
      </c>
      <c r="H67" s="57">
        <f>H62-H64</f>
        <v>-39117</v>
      </c>
      <c r="I67" s="58">
        <f t="shared" si="2"/>
        <v>46.15629682946111</v>
      </c>
      <c r="J67" s="57">
        <f>H67-'[20]Augusts'!H67</f>
        <v>-3945</v>
      </c>
    </row>
    <row r="68" spans="1:10" ht="12.75">
      <c r="A68" s="77" t="s">
        <v>784</v>
      </c>
      <c r="B68" s="55"/>
      <c r="C68" s="55"/>
      <c r="D68" s="56"/>
      <c r="E68" s="55"/>
      <c r="F68" s="77" t="s">
        <v>784</v>
      </c>
      <c r="G68" s="57"/>
      <c r="H68" s="57"/>
      <c r="I68" s="58"/>
      <c r="J68" s="57">
        <f>H68-'[20]Augusts'!H68</f>
        <v>0</v>
      </c>
    </row>
    <row r="69" spans="1:10" ht="12.75" customHeight="1">
      <c r="A69" s="77" t="s">
        <v>785</v>
      </c>
      <c r="B69" s="55">
        <v>17266744</v>
      </c>
      <c r="C69" s="55"/>
      <c r="D69" s="56"/>
      <c r="E69" s="55"/>
      <c r="F69" s="77" t="s">
        <v>785</v>
      </c>
      <c r="G69" s="78">
        <f>ROUND(B69/1000,0)</f>
        <v>17267</v>
      </c>
      <c r="H69" s="78">
        <v>14544</v>
      </c>
      <c r="I69" s="79">
        <f t="shared" si="2"/>
        <v>84.23003416922454</v>
      </c>
      <c r="J69" s="78">
        <f>H69-'[20]Augusts'!H69</f>
        <v>5689</v>
      </c>
    </row>
    <row r="70" spans="1:10" ht="12.75">
      <c r="A70" s="77" t="s">
        <v>786</v>
      </c>
      <c r="B70" s="55">
        <v>800000</v>
      </c>
      <c r="C70" s="55"/>
      <c r="D70" s="56"/>
      <c r="E70" s="55"/>
      <c r="F70" s="77" t="s">
        <v>786</v>
      </c>
      <c r="G70" s="78">
        <f>ROUND(B70/1000,0)</f>
        <v>800</v>
      </c>
      <c r="H70" s="78">
        <v>606</v>
      </c>
      <c r="I70" s="79">
        <f t="shared" si="2"/>
        <v>75.75</v>
      </c>
      <c r="J70" s="78">
        <f>H70-'[20]Augusts'!H70</f>
        <v>0</v>
      </c>
    </row>
    <row r="71" spans="1:10" ht="12.75">
      <c r="A71" s="77" t="s">
        <v>787</v>
      </c>
      <c r="B71" s="55">
        <v>66179118</v>
      </c>
      <c r="C71" s="55"/>
      <c r="D71" s="56"/>
      <c r="E71" s="55"/>
      <c r="F71" s="77" t="s">
        <v>787</v>
      </c>
      <c r="G71" s="78">
        <f>ROUND(B71/1000,0)</f>
        <v>66179</v>
      </c>
      <c r="H71" s="78">
        <v>23494</v>
      </c>
      <c r="I71" s="79">
        <f t="shared" si="2"/>
        <v>35.50068752927666</v>
      </c>
      <c r="J71" s="78">
        <f>H71-'[20]Augusts'!H71</f>
        <v>-1788</v>
      </c>
    </row>
    <row r="72" spans="1:10" ht="12.75">
      <c r="A72" s="77" t="s">
        <v>692</v>
      </c>
      <c r="B72" s="55">
        <v>503634</v>
      </c>
      <c r="C72" s="55"/>
      <c r="D72" s="56"/>
      <c r="E72" s="55"/>
      <c r="F72" s="77" t="s">
        <v>692</v>
      </c>
      <c r="G72" s="78">
        <f>ROUND(B72/1000,0)-1</f>
        <v>503</v>
      </c>
      <c r="H72" s="78">
        <v>473</v>
      </c>
      <c r="I72" s="79">
        <f t="shared" si="2"/>
        <v>94.03578528827038</v>
      </c>
      <c r="J72" s="78">
        <f>H72-'[20]Augusts'!H72</f>
        <v>44</v>
      </c>
    </row>
    <row r="73" spans="1:10" ht="14.25" customHeight="1">
      <c r="A73" s="59" t="s">
        <v>806</v>
      </c>
      <c r="B73" s="55">
        <f>B76+B79+B81</f>
        <v>769845749</v>
      </c>
      <c r="C73" s="55">
        <f>C76+C79+C81</f>
        <v>0</v>
      </c>
      <c r="D73" s="56">
        <f t="shared" si="0"/>
        <v>0</v>
      </c>
      <c r="E73" s="55">
        <f t="shared" si="1"/>
        <v>0</v>
      </c>
      <c r="F73" s="59" t="s">
        <v>806</v>
      </c>
      <c r="G73" s="57">
        <f>G76+G79+G81</f>
        <v>769845</v>
      </c>
      <c r="H73" s="57">
        <f>H76+H79+H81</f>
        <v>532274</v>
      </c>
      <c r="I73" s="58">
        <f t="shared" si="2"/>
        <v>69.14041138151187</v>
      </c>
      <c r="J73" s="57">
        <f>H73-'[20]Augusts'!H73</f>
        <v>53044</v>
      </c>
    </row>
    <row r="74" spans="1:10" ht="12.75">
      <c r="A74" s="75" t="s">
        <v>807</v>
      </c>
      <c r="B74" s="61">
        <f>B77</f>
        <v>1201200</v>
      </c>
      <c r="C74" s="61">
        <f>C25</f>
        <v>0</v>
      </c>
      <c r="D74" s="62">
        <f t="shared" si="0"/>
        <v>0</v>
      </c>
      <c r="E74" s="55">
        <f t="shared" si="1"/>
        <v>0</v>
      </c>
      <c r="F74" s="75" t="s">
        <v>807</v>
      </c>
      <c r="G74" s="71">
        <f>G77</f>
        <v>1201</v>
      </c>
      <c r="H74" s="71">
        <f>H77</f>
        <v>901</v>
      </c>
      <c r="I74" s="73">
        <f t="shared" si="2"/>
        <v>75.02081598667777</v>
      </c>
      <c r="J74" s="71">
        <f>H74-'[20]Augusts'!H74</f>
        <v>100</v>
      </c>
    </row>
    <row r="75" spans="1:10" ht="14.25" customHeight="1">
      <c r="A75" s="59" t="s">
        <v>808</v>
      </c>
      <c r="B75" s="55">
        <f>SUM(B73-B74)</f>
        <v>768644549</v>
      </c>
      <c r="C75" s="55">
        <f>SUM(C73-C74)</f>
        <v>0</v>
      </c>
      <c r="D75" s="56">
        <f aca="true" t="shared" si="5" ref="D75:D83">IF(ISERROR(C75/B75)," ",(C75/B75))</f>
        <v>0</v>
      </c>
      <c r="E75" s="55">
        <f t="shared" si="1"/>
        <v>0</v>
      </c>
      <c r="F75" s="59" t="s">
        <v>808</v>
      </c>
      <c r="G75" s="57">
        <f>SUM(G73-G74)</f>
        <v>768644</v>
      </c>
      <c r="H75" s="57">
        <f>SUM(H73-H74)</f>
        <v>531373</v>
      </c>
      <c r="I75" s="58">
        <f t="shared" si="2"/>
        <v>69.13122329713104</v>
      </c>
      <c r="J75" s="57">
        <f>H75-'[20]Augusts'!H75</f>
        <v>52944</v>
      </c>
    </row>
    <row r="76" spans="1:10" ht="12.75">
      <c r="A76" s="60" t="s">
        <v>809</v>
      </c>
      <c r="B76" s="61">
        <v>736820824</v>
      </c>
      <c r="C76" s="61"/>
      <c r="D76" s="62">
        <f t="shared" si="5"/>
        <v>0</v>
      </c>
      <c r="E76" s="55">
        <f t="shared" si="1"/>
        <v>0</v>
      </c>
      <c r="F76" s="60" t="s">
        <v>809</v>
      </c>
      <c r="G76" s="63">
        <f>ROUND(B76/1000,0)-1</f>
        <v>736820</v>
      </c>
      <c r="H76" s="63">
        <v>517220</v>
      </c>
      <c r="I76" s="64">
        <f t="shared" si="2"/>
        <v>70.1962487446052</v>
      </c>
      <c r="J76" s="63">
        <f>H76-'[20]Augusts'!H76</f>
        <v>51511</v>
      </c>
    </row>
    <row r="77" spans="1:10" ht="12.75">
      <c r="A77" s="75" t="s">
        <v>810</v>
      </c>
      <c r="B77" s="61">
        <v>1201200</v>
      </c>
      <c r="C77" s="61">
        <f>C25</f>
        <v>0</v>
      </c>
      <c r="D77" s="62">
        <f t="shared" si="5"/>
        <v>0</v>
      </c>
      <c r="E77" s="55">
        <f t="shared" si="1"/>
        <v>0</v>
      </c>
      <c r="F77" s="75" t="s">
        <v>810</v>
      </c>
      <c r="G77" s="71">
        <f>ROUND(B77/1000,0)</f>
        <v>1201</v>
      </c>
      <c r="H77" s="72">
        <v>901</v>
      </c>
      <c r="I77" s="73">
        <f t="shared" si="2"/>
        <v>75.02081598667777</v>
      </c>
      <c r="J77" s="72">
        <f>H77-'[20]Augusts'!H77</f>
        <v>100</v>
      </c>
    </row>
    <row r="78" spans="1:10" ht="15" customHeight="1">
      <c r="A78" s="59" t="s">
        <v>811</v>
      </c>
      <c r="B78" s="55">
        <f>SUM(B76-B77)</f>
        <v>735619624</v>
      </c>
      <c r="C78" s="55">
        <f>SUM(C76-C77)</f>
        <v>0</v>
      </c>
      <c r="D78" s="56">
        <f t="shared" si="5"/>
        <v>0</v>
      </c>
      <c r="E78" s="55">
        <f t="shared" si="1"/>
        <v>0</v>
      </c>
      <c r="F78" s="59" t="s">
        <v>811</v>
      </c>
      <c r="G78" s="57">
        <f>SUM(G76-G77)</f>
        <v>735619</v>
      </c>
      <c r="H78" s="57">
        <f>SUM(H76-H77)</f>
        <v>516319</v>
      </c>
      <c r="I78" s="58">
        <f t="shared" si="2"/>
        <v>70.18837196972889</v>
      </c>
      <c r="J78" s="57">
        <f>H78-'[20]Augusts'!H78</f>
        <v>51411</v>
      </c>
    </row>
    <row r="79" spans="1:10" ht="12.75">
      <c r="A79" s="60" t="s">
        <v>812</v>
      </c>
      <c r="B79" s="61">
        <v>12560112</v>
      </c>
      <c r="C79" s="61"/>
      <c r="D79" s="62">
        <f t="shared" si="5"/>
        <v>0</v>
      </c>
      <c r="E79" s="55">
        <f t="shared" si="1"/>
        <v>0</v>
      </c>
      <c r="F79" s="60" t="s">
        <v>812</v>
      </c>
      <c r="G79" s="63">
        <f>ROUND(B79/1000,0)</f>
        <v>12560</v>
      </c>
      <c r="H79" s="63">
        <v>7416</v>
      </c>
      <c r="I79" s="64">
        <f aca="true" t="shared" si="6" ref="I79:I87">IF(ISERROR(H79/G79)," ",(H79/G79))*100</f>
        <v>59.044585987261144</v>
      </c>
      <c r="J79" s="63">
        <f>H79-'[20]Augusts'!H79</f>
        <v>684</v>
      </c>
    </row>
    <row r="80" spans="1:10" ht="15" customHeight="1">
      <c r="A80" s="59" t="s">
        <v>815</v>
      </c>
      <c r="B80" s="55">
        <f>SUM(B79)</f>
        <v>12560112</v>
      </c>
      <c r="C80" s="55">
        <f>SUM(C79)</f>
        <v>0</v>
      </c>
      <c r="D80" s="56">
        <f t="shared" si="5"/>
        <v>0</v>
      </c>
      <c r="E80" s="55">
        <f t="shared" si="1"/>
        <v>0</v>
      </c>
      <c r="F80" s="59" t="s">
        <v>815</v>
      </c>
      <c r="G80" s="57">
        <f>SUM(G79)</f>
        <v>12560</v>
      </c>
      <c r="H80" s="57">
        <f>SUM(H79)</f>
        <v>7416</v>
      </c>
      <c r="I80" s="58">
        <f t="shared" si="6"/>
        <v>59.044585987261144</v>
      </c>
      <c r="J80" s="57">
        <f>H80-'[20]Augusts'!H80</f>
        <v>684</v>
      </c>
    </row>
    <row r="81" spans="1:10" ht="12.75">
      <c r="A81" s="60" t="s">
        <v>816</v>
      </c>
      <c r="B81" s="61">
        <v>20464813</v>
      </c>
      <c r="C81" s="61"/>
      <c r="D81" s="62">
        <f t="shared" si="5"/>
        <v>0</v>
      </c>
      <c r="E81" s="55">
        <f t="shared" si="1"/>
        <v>0</v>
      </c>
      <c r="F81" s="60" t="s">
        <v>816</v>
      </c>
      <c r="G81" s="63">
        <f>ROUND(B81/1000,0)</f>
        <v>20465</v>
      </c>
      <c r="H81" s="63">
        <v>7638</v>
      </c>
      <c r="I81" s="64">
        <f t="shared" si="6"/>
        <v>37.32225751282678</v>
      </c>
      <c r="J81" s="63">
        <f>H81-'[20]Augusts'!H81</f>
        <v>849</v>
      </c>
    </row>
    <row r="82" spans="1:10" ht="14.25" customHeight="1">
      <c r="A82" s="59" t="s">
        <v>817</v>
      </c>
      <c r="B82" s="55">
        <f>SUM(B81)</f>
        <v>20464813</v>
      </c>
      <c r="C82" s="55">
        <f>SUM(C81)</f>
        <v>0</v>
      </c>
      <c r="D82" s="56">
        <f t="shared" si="5"/>
        <v>0</v>
      </c>
      <c r="E82" s="55">
        <f t="shared" si="1"/>
        <v>0</v>
      </c>
      <c r="F82" s="59" t="s">
        <v>817</v>
      </c>
      <c r="G82" s="57">
        <f>SUM(G81)</f>
        <v>20465</v>
      </c>
      <c r="H82" s="57">
        <f>SUM(H81)</f>
        <v>7638</v>
      </c>
      <c r="I82" s="58">
        <f t="shared" si="6"/>
        <v>37.32225751282678</v>
      </c>
      <c r="J82" s="57">
        <f>H82-'[20]Augusts'!H82</f>
        <v>849</v>
      </c>
    </row>
    <row r="83" spans="1:10" ht="27" customHeight="1">
      <c r="A83" s="76" t="s">
        <v>818</v>
      </c>
      <c r="B83" s="55">
        <f>SUM(B27-B73)</f>
        <v>-42711510</v>
      </c>
      <c r="C83" s="55">
        <f>SUM(C27-C73)</f>
        <v>0</v>
      </c>
      <c r="D83" s="56">
        <f t="shared" si="5"/>
        <v>0</v>
      </c>
      <c r="E83" s="55">
        <f t="shared" si="1"/>
        <v>0</v>
      </c>
      <c r="F83" s="76" t="s">
        <v>818</v>
      </c>
      <c r="G83" s="57">
        <f>SUM(G27-G73)</f>
        <v>-42711</v>
      </c>
      <c r="H83" s="57">
        <f>SUM(H27-H73)</f>
        <v>-10362</v>
      </c>
      <c r="I83" s="58">
        <f t="shared" si="6"/>
        <v>24.26072908618389</v>
      </c>
      <c r="J83" s="57">
        <f>H83-'[20]Augusts'!H83</f>
        <v>2730</v>
      </c>
    </row>
    <row r="84" spans="1:10" ht="13.5" customHeight="1">
      <c r="A84" s="59" t="s">
        <v>819</v>
      </c>
      <c r="B84" s="55">
        <f>SUM(B85)</f>
        <v>6370052</v>
      </c>
      <c r="C84" s="55"/>
      <c r="D84" s="56">
        <f>IF(ISERROR(C84/B84)," ",(C84/B84))</f>
        <v>0</v>
      </c>
      <c r="E84" s="55">
        <f t="shared" si="1"/>
        <v>0</v>
      </c>
      <c r="F84" s="59" t="s">
        <v>819</v>
      </c>
      <c r="G84" s="57">
        <f>SUM(G85)</f>
        <v>6370</v>
      </c>
      <c r="H84" s="57">
        <f>SUM(H85)</f>
        <v>4112</v>
      </c>
      <c r="I84" s="58">
        <f t="shared" si="6"/>
        <v>64.55259026687598</v>
      </c>
      <c r="J84" s="57">
        <f>H84-'[20]Augusts'!H84</f>
        <v>534</v>
      </c>
    </row>
    <row r="85" spans="1:10" ht="12.75">
      <c r="A85" s="60" t="s">
        <v>820</v>
      </c>
      <c r="B85" s="61">
        <v>6370052</v>
      </c>
      <c r="C85" s="61"/>
      <c r="D85" s="62">
        <f>IF(ISERROR(C85/B85)," ",(C85/B85))</f>
        <v>0</v>
      </c>
      <c r="E85" s="55">
        <f>C85</f>
        <v>0</v>
      </c>
      <c r="F85" s="60" t="s">
        <v>820</v>
      </c>
      <c r="G85" s="61">
        <f>ROUND(B85/1000,0)</f>
        <v>6370</v>
      </c>
      <c r="H85" s="61">
        <v>4112</v>
      </c>
      <c r="I85" s="81">
        <f t="shared" si="6"/>
        <v>64.55259026687598</v>
      </c>
      <c r="J85" s="61">
        <f>H85-'[20]Augusts'!H85</f>
        <v>534</v>
      </c>
    </row>
    <row r="86" spans="1:10" ht="12.75">
      <c r="A86" s="60" t="s">
        <v>821</v>
      </c>
      <c r="B86" s="61">
        <f>SUM(B85)</f>
        <v>6370052</v>
      </c>
      <c r="C86" s="61">
        <f>SUM(C85)</f>
        <v>0</v>
      </c>
      <c r="D86" s="62">
        <f>IF(ISERROR(C86/B86)," ",(C86/B86))</f>
        <v>0</v>
      </c>
      <c r="E86" s="55">
        <f>C86</f>
        <v>0</v>
      </c>
      <c r="F86" s="60" t="s">
        <v>821</v>
      </c>
      <c r="G86" s="61">
        <f>SUM(G85)</f>
        <v>6370</v>
      </c>
      <c r="H86" s="61">
        <f>SUM(H85)</f>
        <v>4112</v>
      </c>
      <c r="I86" s="81">
        <f t="shared" si="6"/>
        <v>64.55259026687598</v>
      </c>
      <c r="J86" s="61">
        <f>H86-'[20]Augusts'!H86</f>
        <v>534</v>
      </c>
    </row>
    <row r="87" spans="1:10" ht="27" customHeight="1">
      <c r="A87" s="76" t="s">
        <v>822</v>
      </c>
      <c r="B87" s="55">
        <f>SUM(B83-B84)</f>
        <v>-49081562</v>
      </c>
      <c r="C87" s="55">
        <f>SUM(C83-C84)</f>
        <v>0</v>
      </c>
      <c r="D87" s="56">
        <f>IF(ISERROR(C87/B87)," ",(C87/B87))</f>
        <v>0</v>
      </c>
      <c r="E87" s="55">
        <f>C87</f>
        <v>0</v>
      </c>
      <c r="F87" s="76" t="s">
        <v>822</v>
      </c>
      <c r="G87" s="57">
        <f>SUM(G83-G84)</f>
        <v>-49081</v>
      </c>
      <c r="H87" s="57">
        <f>SUM(H83-H84)</f>
        <v>-14474</v>
      </c>
      <c r="I87" s="58">
        <f t="shared" si="6"/>
        <v>29.49002669057273</v>
      </c>
      <c r="J87" s="57">
        <f>H87-'[20]Augusts'!H87</f>
        <v>2196</v>
      </c>
    </row>
    <row r="88" spans="1:10" ht="12.75">
      <c r="A88" s="77" t="s">
        <v>784</v>
      </c>
      <c r="B88" s="82"/>
      <c r="C88" s="83"/>
      <c r="D88" s="83"/>
      <c r="E88" s="83"/>
      <c r="F88" s="77" t="s">
        <v>784</v>
      </c>
      <c r="G88" s="61"/>
      <c r="H88" s="60"/>
      <c r="I88" s="58"/>
      <c r="J88" s="60"/>
    </row>
    <row r="89" spans="1:10" ht="12.75">
      <c r="A89" s="752" t="s">
        <v>693</v>
      </c>
      <c r="B89" s="82">
        <v>48047657</v>
      </c>
      <c r="C89" s="83"/>
      <c r="D89" s="83"/>
      <c r="E89" s="83"/>
      <c r="F89" s="77" t="s">
        <v>693</v>
      </c>
      <c r="G89" s="78">
        <f>ROUND(B89/1000,0)-1</f>
        <v>48047</v>
      </c>
      <c r="H89" s="78">
        <v>25413</v>
      </c>
      <c r="I89" s="79">
        <f>IF(ISERROR(H89/G89)," ",(H89/G89))*100</f>
        <v>52.89195995587653</v>
      </c>
      <c r="J89" s="78">
        <f>H89-'[20]Augusts'!H89</f>
        <v>-1024</v>
      </c>
    </row>
    <row r="90" spans="1:10" ht="12.75">
      <c r="A90" s="77" t="s">
        <v>692</v>
      </c>
      <c r="B90" s="50">
        <v>1033905</v>
      </c>
      <c r="F90" s="77" t="s">
        <v>692</v>
      </c>
      <c r="G90" s="78">
        <f>ROUND(B90/1000,0)</f>
        <v>1034</v>
      </c>
      <c r="H90" s="78">
        <v>-10939</v>
      </c>
      <c r="I90" s="79"/>
      <c r="J90" s="78">
        <f>H90-'[20]Augusts'!H90</f>
        <v>-1172</v>
      </c>
    </row>
    <row r="91" spans="1:10" ht="12.75">
      <c r="A91" s="85"/>
      <c r="F91" s="85"/>
      <c r="G91" s="50"/>
      <c r="H91" s="49"/>
      <c r="I91" s="49"/>
      <c r="J91" s="49"/>
    </row>
    <row r="94" spans="6:9" ht="12.75">
      <c r="F94" t="s">
        <v>639</v>
      </c>
      <c r="I94" t="s">
        <v>1019</v>
      </c>
    </row>
    <row r="96" spans="7:10" ht="12.75">
      <c r="G96" s="50"/>
      <c r="H96" s="49"/>
      <c r="I96" s="49"/>
      <c r="J96" s="49"/>
    </row>
    <row r="97" spans="1:10" ht="12.75">
      <c r="A97" s="1" t="s">
        <v>824</v>
      </c>
      <c r="G97" s="50"/>
      <c r="H97" s="49"/>
      <c r="I97" s="49"/>
      <c r="J97" s="49"/>
    </row>
    <row r="99" spans="6:10" ht="12.75">
      <c r="F99" s="1" t="s">
        <v>823</v>
      </c>
      <c r="G99" s="50"/>
      <c r="H99" s="49"/>
      <c r="I99" s="49"/>
      <c r="J99" s="49"/>
    </row>
    <row r="100" spans="1:10" ht="12.75">
      <c r="A100" s="1" t="s">
        <v>823</v>
      </c>
      <c r="F100" s="1" t="s">
        <v>134</v>
      </c>
      <c r="G100" s="52"/>
      <c r="H100" s="87"/>
      <c r="I100" s="49"/>
      <c r="J100" s="49"/>
    </row>
    <row r="102" spans="1:8" ht="15" customHeight="1">
      <c r="A102"/>
      <c r="B102"/>
      <c r="C102"/>
      <c r="D102"/>
      <c r="E102"/>
      <c r="F102" s="86"/>
      <c r="G102" s="52"/>
      <c r="H102" s="87"/>
    </row>
    <row r="103" spans="1:5" ht="16.5" customHeight="1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</sheetData>
  <mergeCells count="2">
    <mergeCell ref="F4:J4"/>
    <mergeCell ref="F5:J5"/>
  </mergeCells>
  <printOptions horizontalCentered="1"/>
  <pageMargins left="0.7480314960629921" right="0.2755905511811024" top="0.984251968503937" bottom="0.984251968503937" header="0.5118110236220472" footer="0.5118110236220472"/>
  <pageSetup firstPageNumber="5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50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1" ySplit="11" topLeftCell="B4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" sqref="A5:S5"/>
    </sheetView>
  </sheetViews>
  <sheetFormatPr defaultColWidth="9.140625" defaultRowHeight="17.25" customHeight="1"/>
  <cols>
    <col min="1" max="1" width="16.28125" style="704" customWidth="1"/>
    <col min="2" max="2" width="7.8515625" style="706" customWidth="1"/>
    <col min="3" max="3" width="7.7109375" style="706" customWidth="1"/>
    <col min="4" max="4" width="6.7109375" style="706" customWidth="1"/>
    <col min="5" max="5" width="8.28125" style="706" customWidth="1"/>
    <col min="6" max="6" width="7.8515625" style="706" customWidth="1"/>
    <col min="7" max="7" width="6.421875" style="706" customWidth="1"/>
    <col min="8" max="9" width="7.7109375" style="706" customWidth="1"/>
    <col min="10" max="10" width="8.28125" style="706" customWidth="1"/>
    <col min="11" max="11" width="7.421875" style="706" customWidth="1"/>
    <col min="12" max="12" width="0.13671875" style="706" hidden="1" customWidth="1"/>
    <col min="13" max="13" width="8.28125" style="706" customWidth="1"/>
    <col min="14" max="14" width="7.00390625" style="706" customWidth="1"/>
    <col min="15" max="15" width="9.28125" style="706" customWidth="1"/>
    <col min="16" max="16" width="9.00390625" style="706" customWidth="1"/>
    <col min="17" max="17" width="6.57421875" style="706" customWidth="1"/>
    <col min="18" max="18" width="8.7109375" style="706" customWidth="1"/>
    <col min="19" max="19" width="8.421875" style="706" customWidth="1"/>
    <col min="20" max="16384" width="9.140625" style="706" customWidth="1"/>
  </cols>
  <sheetData>
    <row r="1" spans="2:19" ht="17.25" customHeight="1">
      <c r="B1" s="705"/>
      <c r="C1" s="705"/>
      <c r="D1" s="705"/>
      <c r="E1" s="705"/>
      <c r="F1" s="705"/>
      <c r="I1" s="705"/>
      <c r="J1" s="705"/>
      <c r="K1" s="705"/>
      <c r="L1" s="705"/>
      <c r="M1" s="705"/>
      <c r="N1" s="705"/>
      <c r="O1" s="705"/>
      <c r="P1" s="705"/>
      <c r="Q1" s="707"/>
      <c r="R1" s="707"/>
      <c r="S1" s="707" t="s">
        <v>382</v>
      </c>
    </row>
    <row r="2" spans="7:18" ht="17.25" customHeight="1">
      <c r="G2" s="705" t="s">
        <v>383</v>
      </c>
      <c r="H2" s="705"/>
      <c r="Q2" s="708"/>
      <c r="R2" s="709"/>
    </row>
    <row r="3" spans="1:19" s="705" customFormat="1" ht="17.25" customHeight="1">
      <c r="A3" s="704"/>
      <c r="Q3" s="707"/>
      <c r="R3" s="707"/>
      <c r="S3" s="707"/>
    </row>
    <row r="4" spans="1:19" s="710" customFormat="1" ht="17.25" customHeight="1">
      <c r="A4" s="873" t="s">
        <v>384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</row>
    <row r="5" spans="1:19" s="711" customFormat="1" ht="17.25" customHeight="1">
      <c r="A5" s="874" t="s">
        <v>135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</row>
    <row r="6" spans="1:19" s="711" customFormat="1" ht="17.25" customHeight="1">
      <c r="A6" s="712"/>
      <c r="B6" s="713"/>
      <c r="C6" s="713"/>
      <c r="D6" s="713"/>
      <c r="E6" s="713"/>
      <c r="F6" s="714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</row>
    <row r="7" spans="1:19" s="717" customFormat="1" ht="17.25" customHeight="1">
      <c r="A7" s="715"/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Q7" s="716"/>
      <c r="S7" s="718" t="s">
        <v>998</v>
      </c>
    </row>
    <row r="8" spans="1:19" s="705" customFormat="1" ht="17.25" customHeight="1">
      <c r="A8" s="835" t="s">
        <v>385</v>
      </c>
      <c r="B8" s="719" t="s">
        <v>0</v>
      </c>
      <c r="C8" s="719"/>
      <c r="D8" s="719"/>
      <c r="E8" s="719"/>
      <c r="F8" s="719" t="s">
        <v>386</v>
      </c>
      <c r="G8" s="719"/>
      <c r="H8" s="719"/>
      <c r="I8" s="719"/>
      <c r="J8" s="835" t="s">
        <v>387</v>
      </c>
      <c r="K8" s="835" t="s">
        <v>138</v>
      </c>
      <c r="L8" s="720"/>
      <c r="M8" s="721" t="s">
        <v>388</v>
      </c>
      <c r="N8" s="719"/>
      <c r="O8" s="719"/>
      <c r="P8" s="722"/>
      <c r="Q8" s="719"/>
      <c r="R8" s="723"/>
      <c r="S8" s="835" t="s">
        <v>389</v>
      </c>
    </row>
    <row r="9" spans="1:19" ht="17.25" customHeight="1">
      <c r="A9" s="826"/>
      <c r="B9" s="835" t="s">
        <v>390</v>
      </c>
      <c r="C9" s="835" t="s">
        <v>391</v>
      </c>
      <c r="D9" s="824" t="s">
        <v>392</v>
      </c>
      <c r="E9" s="835" t="s">
        <v>393</v>
      </c>
      <c r="F9" s="835" t="s">
        <v>394</v>
      </c>
      <c r="G9" s="835" t="s">
        <v>395</v>
      </c>
      <c r="H9" s="824" t="s">
        <v>396</v>
      </c>
      <c r="I9" s="835" t="s">
        <v>397</v>
      </c>
      <c r="J9" s="875"/>
      <c r="K9" s="875"/>
      <c r="L9" s="724"/>
      <c r="M9" s="725"/>
      <c r="N9" s="725"/>
      <c r="O9" s="719" t="s">
        <v>398</v>
      </c>
      <c r="P9" s="719"/>
      <c r="Q9" s="725"/>
      <c r="R9" s="725"/>
      <c r="S9" s="875"/>
    </row>
    <row r="10" spans="1:19" s="728" customFormat="1" ht="45.75" customHeight="1">
      <c r="A10" s="827"/>
      <c r="B10" s="827"/>
      <c r="C10" s="823"/>
      <c r="D10" s="825"/>
      <c r="E10" s="823"/>
      <c r="F10" s="823"/>
      <c r="G10" s="823"/>
      <c r="H10" s="825"/>
      <c r="I10" s="823"/>
      <c r="J10" s="876"/>
      <c r="K10" s="876"/>
      <c r="L10" s="770" t="s">
        <v>612</v>
      </c>
      <c r="M10" s="726" t="s">
        <v>668</v>
      </c>
      <c r="N10" s="726" t="s">
        <v>399</v>
      </c>
      <c r="O10" s="726" t="s">
        <v>400</v>
      </c>
      <c r="P10" s="726" t="s">
        <v>401</v>
      </c>
      <c r="Q10" s="726" t="s">
        <v>402</v>
      </c>
      <c r="R10" s="727" t="s">
        <v>680</v>
      </c>
      <c r="S10" s="876"/>
    </row>
    <row r="11" spans="1:19" s="717" customFormat="1" ht="11.25">
      <c r="A11" s="729">
        <v>1</v>
      </c>
      <c r="B11" s="730">
        <v>2</v>
      </c>
      <c r="C11" s="730">
        <v>3</v>
      </c>
      <c r="D11" s="730">
        <v>4</v>
      </c>
      <c r="E11" s="730">
        <v>5</v>
      </c>
      <c r="F11" s="730">
        <v>6</v>
      </c>
      <c r="G11" s="730">
        <v>7</v>
      </c>
      <c r="H11" s="730">
        <v>8</v>
      </c>
      <c r="I11" s="730">
        <v>9</v>
      </c>
      <c r="J11" s="730">
        <v>10</v>
      </c>
      <c r="K11" s="730">
        <v>11</v>
      </c>
      <c r="L11" s="771"/>
      <c r="M11" s="730">
        <v>12</v>
      </c>
      <c r="N11" s="730">
        <v>13</v>
      </c>
      <c r="O11" s="730">
        <v>14</v>
      </c>
      <c r="P11" s="730">
        <v>15</v>
      </c>
      <c r="Q11" s="730">
        <v>16</v>
      </c>
      <c r="R11" s="730">
        <v>17</v>
      </c>
      <c r="S11" s="730">
        <v>18</v>
      </c>
    </row>
    <row r="12" spans="1:19" ht="12" customHeight="1">
      <c r="A12" s="731" t="s">
        <v>403</v>
      </c>
      <c r="B12" s="732"/>
      <c r="C12" s="732"/>
      <c r="D12" s="732"/>
      <c r="E12" s="546"/>
      <c r="F12" s="732"/>
      <c r="G12" s="732"/>
      <c r="H12" s="732"/>
      <c r="I12" s="546"/>
      <c r="J12" s="546"/>
      <c r="K12" s="546"/>
      <c r="L12" s="772"/>
      <c r="M12" s="732"/>
      <c r="N12" s="546"/>
      <c r="O12" s="732"/>
      <c r="P12" s="732"/>
      <c r="Q12" s="732"/>
      <c r="R12" s="732"/>
      <c r="S12" s="732"/>
    </row>
    <row r="13" spans="1:19" ht="12" customHeight="1">
      <c r="A13" s="733" t="s">
        <v>404</v>
      </c>
      <c r="B13" s="732">
        <v>95728</v>
      </c>
      <c r="C13" s="732">
        <v>19111</v>
      </c>
      <c r="D13" s="546"/>
      <c r="E13" s="546">
        <f aca="true" t="shared" si="0" ref="E13:E19">SUM(B13:C13)</f>
        <v>114839</v>
      </c>
      <c r="F13" s="732">
        <v>118067</v>
      </c>
      <c r="G13" s="732">
        <v>14438</v>
      </c>
      <c r="H13" s="732">
        <v>14438</v>
      </c>
      <c r="I13" s="546">
        <f>SUM(F13:G13)</f>
        <v>132505</v>
      </c>
      <c r="J13" s="546">
        <f aca="true" t="shared" si="1" ref="J13:J19">E13-I13</f>
        <v>-17666</v>
      </c>
      <c r="K13" s="546">
        <f aca="true" t="shared" si="2" ref="K13:K20">-J13</f>
        <v>17666</v>
      </c>
      <c r="L13" s="547">
        <f>SUM(M13,N13,Q13,R13,S13)</f>
        <v>17666</v>
      </c>
      <c r="M13" s="546"/>
      <c r="N13" s="546">
        <f aca="true" t="shared" si="3" ref="N13:N19">O13-P13</f>
        <v>-2666</v>
      </c>
      <c r="O13" s="546">
        <v>4422</v>
      </c>
      <c r="P13" s="546">
        <v>7088</v>
      </c>
      <c r="Q13" s="546"/>
      <c r="R13" s="546">
        <v>20853</v>
      </c>
      <c r="S13" s="546">
        <v>-521</v>
      </c>
    </row>
    <row r="14" spans="1:19" ht="12" customHeight="1">
      <c r="A14" s="733" t="s">
        <v>405</v>
      </c>
      <c r="B14" s="546">
        <v>6870</v>
      </c>
      <c r="C14" s="546">
        <v>4553</v>
      </c>
      <c r="D14" s="546">
        <v>1049</v>
      </c>
      <c r="E14" s="546">
        <f t="shared" si="0"/>
        <v>11423</v>
      </c>
      <c r="F14" s="546">
        <v>11557</v>
      </c>
      <c r="G14" s="546">
        <v>17</v>
      </c>
      <c r="H14" s="546"/>
      <c r="I14" s="546">
        <f>SUM(F14:G14)</f>
        <v>11574</v>
      </c>
      <c r="J14" s="546">
        <f t="shared" si="1"/>
        <v>-151</v>
      </c>
      <c r="K14" s="546">
        <f t="shared" si="2"/>
        <v>151</v>
      </c>
      <c r="L14" s="547">
        <f>SUM(M14,N14,Q14,R14,S14)</f>
        <v>151</v>
      </c>
      <c r="M14" s="546">
        <v>450</v>
      </c>
      <c r="N14" s="546">
        <f t="shared" si="3"/>
        <v>-200</v>
      </c>
      <c r="O14" s="546">
        <v>50</v>
      </c>
      <c r="P14" s="546">
        <v>250</v>
      </c>
      <c r="Q14" s="546">
        <v>-50</v>
      </c>
      <c r="R14" s="546">
        <v>-49</v>
      </c>
      <c r="S14" s="546"/>
    </row>
    <row r="15" spans="1:19" ht="12" customHeight="1">
      <c r="A15" s="733" t="s">
        <v>406</v>
      </c>
      <c r="B15" s="546">
        <f>5141+1</f>
        <v>5142</v>
      </c>
      <c r="C15" s="546">
        <v>2816</v>
      </c>
      <c r="D15" s="546"/>
      <c r="E15" s="546">
        <f t="shared" si="0"/>
        <v>7958</v>
      </c>
      <c r="F15" s="546">
        <v>7013</v>
      </c>
      <c r="G15" s="546">
        <v>135</v>
      </c>
      <c r="H15" s="546">
        <v>70</v>
      </c>
      <c r="I15" s="546">
        <f>SUM(F15:G15)</f>
        <v>7148</v>
      </c>
      <c r="J15" s="546">
        <f t="shared" si="1"/>
        <v>810</v>
      </c>
      <c r="K15" s="546">
        <f t="shared" si="2"/>
        <v>-810</v>
      </c>
      <c r="L15" s="547">
        <f>SUM(M15,N15,Q15,R15,S15)</f>
        <v>-810</v>
      </c>
      <c r="M15" s="546"/>
      <c r="N15" s="546">
        <f t="shared" si="3"/>
        <v>-700</v>
      </c>
      <c r="O15" s="546">
        <v>51</v>
      </c>
      <c r="P15" s="546">
        <v>751</v>
      </c>
      <c r="Q15" s="546"/>
      <c r="R15" s="546">
        <v>28</v>
      </c>
      <c r="S15" s="546">
        <v>-138</v>
      </c>
    </row>
    <row r="16" spans="1:19" ht="12" customHeight="1">
      <c r="A16" s="733" t="s">
        <v>407</v>
      </c>
      <c r="B16" s="546">
        <v>6071</v>
      </c>
      <c r="C16" s="546">
        <v>1382</v>
      </c>
      <c r="D16" s="546"/>
      <c r="E16" s="546">
        <f t="shared" si="0"/>
        <v>7453</v>
      </c>
      <c r="F16" s="546">
        <v>5986</v>
      </c>
      <c r="G16" s="546">
        <v>712</v>
      </c>
      <c r="H16" s="546">
        <v>654</v>
      </c>
      <c r="I16" s="546">
        <f>SUM(F16:G16)</f>
        <v>6698</v>
      </c>
      <c r="J16" s="546">
        <f t="shared" si="1"/>
        <v>755</v>
      </c>
      <c r="K16" s="546">
        <f t="shared" si="2"/>
        <v>-755</v>
      </c>
      <c r="L16" s="547">
        <f>SUM(M16,N16,Q16,R16,S16)</f>
        <v>-755</v>
      </c>
      <c r="M16" s="546">
        <v>-810</v>
      </c>
      <c r="N16" s="546">
        <f t="shared" si="3"/>
        <v>55</v>
      </c>
      <c r="O16" s="546">
        <v>201</v>
      </c>
      <c r="P16" s="546">
        <v>146</v>
      </c>
      <c r="Q16" s="546"/>
      <c r="R16" s="546"/>
      <c r="S16" s="546"/>
    </row>
    <row r="17" spans="1:19" ht="12" customHeight="1">
      <c r="A17" s="733" t="s">
        <v>408</v>
      </c>
      <c r="B17" s="546">
        <v>6997</v>
      </c>
      <c r="C17" s="546">
        <v>2834</v>
      </c>
      <c r="D17" s="546"/>
      <c r="E17" s="546">
        <f t="shared" si="0"/>
        <v>9831</v>
      </c>
      <c r="F17" s="546">
        <v>9320</v>
      </c>
      <c r="G17" s="546">
        <v>33</v>
      </c>
      <c r="H17" s="546"/>
      <c r="I17" s="546">
        <f>SUM(F17+G17)</f>
        <v>9353</v>
      </c>
      <c r="J17" s="546">
        <f t="shared" si="1"/>
        <v>478</v>
      </c>
      <c r="K17" s="546">
        <f t="shared" si="2"/>
        <v>-478</v>
      </c>
      <c r="L17" s="547">
        <f>SUM(M17,N17,Q17,R17,S17)</f>
        <v>-478</v>
      </c>
      <c r="M17" s="546"/>
      <c r="N17" s="546">
        <f t="shared" si="3"/>
        <v>-646</v>
      </c>
      <c r="O17" s="546">
        <v>381</v>
      </c>
      <c r="P17" s="546">
        <v>1027</v>
      </c>
      <c r="Q17" s="546">
        <v>168</v>
      </c>
      <c r="R17" s="546"/>
      <c r="S17" s="546"/>
    </row>
    <row r="18" spans="1:19" ht="12" customHeight="1">
      <c r="A18" s="733" t="s">
        <v>409</v>
      </c>
      <c r="B18" s="546">
        <v>2785</v>
      </c>
      <c r="C18" s="546">
        <v>1375</v>
      </c>
      <c r="D18" s="546">
        <v>15</v>
      </c>
      <c r="E18" s="546">
        <f t="shared" si="0"/>
        <v>4160</v>
      </c>
      <c r="F18" s="546">
        <v>4181</v>
      </c>
      <c r="G18" s="546">
        <v>12</v>
      </c>
      <c r="H18" s="546"/>
      <c r="I18" s="546">
        <f>SUM(F18+G18)</f>
        <v>4193</v>
      </c>
      <c r="J18" s="546">
        <f t="shared" si="1"/>
        <v>-33</v>
      </c>
      <c r="K18" s="546">
        <f t="shared" si="2"/>
        <v>33</v>
      </c>
      <c r="L18" s="547">
        <f>SUM(Q18:S18,N18,M18)</f>
        <v>33</v>
      </c>
      <c r="M18" s="546">
        <v>-175</v>
      </c>
      <c r="N18" s="546">
        <f t="shared" si="3"/>
        <v>-37</v>
      </c>
      <c r="O18" s="546">
        <v>68</v>
      </c>
      <c r="P18" s="546">
        <v>105</v>
      </c>
      <c r="Q18" s="546"/>
      <c r="R18" s="546"/>
      <c r="S18" s="546">
        <v>245</v>
      </c>
    </row>
    <row r="19" spans="1:19" ht="12" customHeight="1">
      <c r="A19" s="733" t="s">
        <v>410</v>
      </c>
      <c r="B19" s="546">
        <v>8297</v>
      </c>
      <c r="C19" s="546">
        <v>984</v>
      </c>
      <c r="D19" s="546"/>
      <c r="E19" s="546">
        <f t="shared" si="0"/>
        <v>9281</v>
      </c>
      <c r="F19" s="546">
        <v>7021</v>
      </c>
      <c r="G19" s="546">
        <v>1895</v>
      </c>
      <c r="H19" s="546">
        <v>1895</v>
      </c>
      <c r="I19" s="546">
        <f>SUM(F19+G19)</f>
        <v>8916</v>
      </c>
      <c r="J19" s="546">
        <f t="shared" si="1"/>
        <v>365</v>
      </c>
      <c r="K19" s="546">
        <f t="shared" si="2"/>
        <v>-365</v>
      </c>
      <c r="L19" s="547">
        <f>SUM(Q19:S19,N19,M19)</f>
        <v>-365</v>
      </c>
      <c r="M19" s="546">
        <v>-1</v>
      </c>
      <c r="N19" s="546">
        <f t="shared" si="3"/>
        <v>-364</v>
      </c>
      <c r="O19" s="546">
        <v>1118</v>
      </c>
      <c r="P19" s="546">
        <v>1482</v>
      </c>
      <c r="Q19" s="546"/>
      <c r="R19" s="546"/>
      <c r="S19" s="546"/>
    </row>
    <row r="20" spans="1:19" ht="12" customHeight="1">
      <c r="A20" s="731" t="s">
        <v>411</v>
      </c>
      <c r="B20" s="546">
        <f>SUM(B12:B19)</f>
        <v>131890</v>
      </c>
      <c r="C20" s="546">
        <f>SUM(C12:C19)</f>
        <v>33055</v>
      </c>
      <c r="D20" s="546">
        <f aca="true" t="shared" si="4" ref="D20:J20">SUM(D13:D19)</f>
        <v>1064</v>
      </c>
      <c r="E20" s="546">
        <f t="shared" si="4"/>
        <v>164945</v>
      </c>
      <c r="F20" s="546">
        <f t="shared" si="4"/>
        <v>163145</v>
      </c>
      <c r="G20" s="546">
        <f t="shared" si="4"/>
        <v>17242</v>
      </c>
      <c r="H20" s="546">
        <f t="shared" si="4"/>
        <v>17057</v>
      </c>
      <c r="I20" s="546">
        <f t="shared" si="4"/>
        <v>180387</v>
      </c>
      <c r="J20" s="546">
        <f t="shared" si="4"/>
        <v>-15442</v>
      </c>
      <c r="K20" s="546">
        <f t="shared" si="2"/>
        <v>15442</v>
      </c>
      <c r="L20" s="547">
        <f>SUM(Q20:S20,N20,M20)</f>
        <v>15442</v>
      </c>
      <c r="M20" s="546">
        <f aca="true" t="shared" si="5" ref="M20:S20">SUM(M13:M19)</f>
        <v>-536</v>
      </c>
      <c r="N20" s="546">
        <f t="shared" si="5"/>
        <v>-4558</v>
      </c>
      <c r="O20" s="546">
        <f t="shared" si="5"/>
        <v>6291</v>
      </c>
      <c r="P20" s="546">
        <f t="shared" si="5"/>
        <v>10849</v>
      </c>
      <c r="Q20" s="546">
        <f t="shared" si="5"/>
        <v>118</v>
      </c>
      <c r="R20" s="546">
        <f t="shared" si="5"/>
        <v>20832</v>
      </c>
      <c r="S20" s="546">
        <f t="shared" si="5"/>
        <v>-414</v>
      </c>
    </row>
    <row r="21" spans="1:19" s="734" customFormat="1" ht="12" customHeight="1">
      <c r="A21" s="731" t="s">
        <v>412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</row>
    <row r="22" spans="1:19" ht="12" customHeight="1">
      <c r="A22" s="733" t="s">
        <v>413</v>
      </c>
      <c r="B22" s="546">
        <v>3091</v>
      </c>
      <c r="C22" s="546">
        <v>2827</v>
      </c>
      <c r="D22" s="546">
        <v>680</v>
      </c>
      <c r="E22" s="546">
        <f aca="true" t="shared" si="6" ref="E22:E47">SUM(B22:C22)</f>
        <v>5918</v>
      </c>
      <c r="F22" s="546">
        <v>5375</v>
      </c>
      <c r="G22" s="546">
        <v>382</v>
      </c>
      <c r="H22" s="546">
        <v>210</v>
      </c>
      <c r="I22" s="546">
        <f aca="true" t="shared" si="7" ref="I22:I27">SUM(F22:G22)</f>
        <v>5757</v>
      </c>
      <c r="J22" s="546">
        <f aca="true" t="shared" si="8" ref="J22:J47">E22-I22</f>
        <v>161</v>
      </c>
      <c r="K22" s="546">
        <f aca="true" t="shared" si="9" ref="K22:K47">-J22</f>
        <v>-161</v>
      </c>
      <c r="L22" s="547">
        <f aca="true" t="shared" si="10" ref="L22:L49">SUM(Q22:S22,N22,M22)</f>
        <v>-161</v>
      </c>
      <c r="M22" s="546">
        <v>-1</v>
      </c>
      <c r="N22" s="546">
        <f aca="true" t="shared" si="11" ref="N22:N47">O22-P22</f>
        <v>-177</v>
      </c>
      <c r="O22" s="546">
        <v>363</v>
      </c>
      <c r="P22" s="546">
        <v>540</v>
      </c>
      <c r="Q22" s="546">
        <v>-13</v>
      </c>
      <c r="R22" s="546">
        <v>-10</v>
      </c>
      <c r="S22" s="546">
        <v>40</v>
      </c>
    </row>
    <row r="23" spans="1:19" ht="12" customHeight="1">
      <c r="A23" s="733" t="s">
        <v>414</v>
      </c>
      <c r="B23" s="546">
        <v>1553</v>
      </c>
      <c r="C23" s="546">
        <v>1985</v>
      </c>
      <c r="D23" s="546">
        <v>672</v>
      </c>
      <c r="E23" s="546">
        <f t="shared" si="6"/>
        <v>3538</v>
      </c>
      <c r="F23" s="546">
        <v>3484</v>
      </c>
      <c r="G23" s="546">
        <v>101</v>
      </c>
      <c r="H23" s="546"/>
      <c r="I23" s="546">
        <f t="shared" si="7"/>
        <v>3585</v>
      </c>
      <c r="J23" s="546">
        <f t="shared" si="8"/>
        <v>-47</v>
      </c>
      <c r="K23" s="546">
        <f t="shared" si="9"/>
        <v>47</v>
      </c>
      <c r="L23" s="773">
        <f t="shared" si="10"/>
        <v>47</v>
      </c>
      <c r="M23" s="546">
        <v>11</v>
      </c>
      <c r="N23" s="546">
        <f t="shared" si="11"/>
        <v>-97</v>
      </c>
      <c r="O23" s="546">
        <v>85</v>
      </c>
      <c r="P23" s="546">
        <v>182</v>
      </c>
      <c r="Q23" s="546"/>
      <c r="R23" s="546">
        <v>-8</v>
      </c>
      <c r="S23" s="546">
        <v>141</v>
      </c>
    </row>
    <row r="24" spans="1:19" ht="12" customHeight="1">
      <c r="A24" s="733" t="s">
        <v>415</v>
      </c>
      <c r="B24" s="546">
        <v>1404</v>
      </c>
      <c r="C24" s="546">
        <v>2792</v>
      </c>
      <c r="D24" s="546">
        <v>1052</v>
      </c>
      <c r="E24" s="546">
        <f t="shared" si="6"/>
        <v>4196</v>
      </c>
      <c r="F24" s="546">
        <v>4100</v>
      </c>
      <c r="G24" s="546">
        <v>156</v>
      </c>
      <c r="H24" s="546"/>
      <c r="I24" s="546">
        <f t="shared" si="7"/>
        <v>4256</v>
      </c>
      <c r="J24" s="546">
        <f t="shared" si="8"/>
        <v>-60</v>
      </c>
      <c r="K24" s="546">
        <f t="shared" si="9"/>
        <v>60</v>
      </c>
      <c r="L24" s="547">
        <f t="shared" si="10"/>
        <v>60</v>
      </c>
      <c r="M24" s="546">
        <v>154</v>
      </c>
      <c r="N24" s="546">
        <f t="shared" si="11"/>
        <v>-228</v>
      </c>
      <c r="O24" s="546">
        <v>61</v>
      </c>
      <c r="P24" s="546">
        <v>289</v>
      </c>
      <c r="Q24" s="546">
        <v>-2</v>
      </c>
      <c r="R24" s="546">
        <v>-3</v>
      </c>
      <c r="S24" s="546">
        <v>139</v>
      </c>
    </row>
    <row r="25" spans="1:19" ht="12" customHeight="1">
      <c r="A25" s="733" t="s">
        <v>416</v>
      </c>
      <c r="B25" s="546">
        <v>3117</v>
      </c>
      <c r="C25" s="546">
        <v>3915</v>
      </c>
      <c r="D25" s="546">
        <v>1014</v>
      </c>
      <c r="E25" s="546">
        <f t="shared" si="6"/>
        <v>7032</v>
      </c>
      <c r="F25" s="546">
        <v>6396</v>
      </c>
      <c r="G25" s="546">
        <v>374</v>
      </c>
      <c r="H25" s="546"/>
      <c r="I25" s="546">
        <f t="shared" si="7"/>
        <v>6770</v>
      </c>
      <c r="J25" s="546">
        <f t="shared" si="8"/>
        <v>262</v>
      </c>
      <c r="K25" s="546">
        <f t="shared" si="9"/>
        <v>-262</v>
      </c>
      <c r="L25" s="547">
        <f t="shared" si="10"/>
        <v>-262</v>
      </c>
      <c r="M25" s="546">
        <v>51</v>
      </c>
      <c r="N25" s="546">
        <f t="shared" si="11"/>
        <v>-462</v>
      </c>
      <c r="O25" s="546">
        <v>159</v>
      </c>
      <c r="P25" s="546">
        <v>621</v>
      </c>
      <c r="Q25" s="546">
        <v>-3</v>
      </c>
      <c r="R25" s="546">
        <v>2</v>
      </c>
      <c r="S25" s="546">
        <v>150</v>
      </c>
    </row>
    <row r="26" spans="1:19" ht="12" customHeight="1">
      <c r="A26" s="733" t="s">
        <v>417</v>
      </c>
      <c r="B26" s="546">
        <v>4902</v>
      </c>
      <c r="C26" s="546">
        <v>4378</v>
      </c>
      <c r="D26" s="546">
        <v>1254</v>
      </c>
      <c r="E26" s="546">
        <f t="shared" si="6"/>
        <v>9280</v>
      </c>
      <c r="F26" s="546">
        <v>8608</v>
      </c>
      <c r="G26" s="546">
        <v>465</v>
      </c>
      <c r="H26" s="546">
        <v>106</v>
      </c>
      <c r="I26" s="546">
        <f t="shared" si="7"/>
        <v>9073</v>
      </c>
      <c r="J26" s="546">
        <f t="shared" si="8"/>
        <v>207</v>
      </c>
      <c r="K26" s="546">
        <f t="shared" si="9"/>
        <v>-207</v>
      </c>
      <c r="L26" s="547">
        <f t="shared" si="10"/>
        <v>-207</v>
      </c>
      <c r="M26" s="546">
        <v>19</v>
      </c>
      <c r="N26" s="546">
        <f t="shared" si="11"/>
        <v>-282</v>
      </c>
      <c r="O26" s="546">
        <v>159</v>
      </c>
      <c r="P26" s="546">
        <v>441</v>
      </c>
      <c r="Q26" s="546">
        <v>-10</v>
      </c>
      <c r="R26" s="546"/>
      <c r="S26" s="546">
        <v>66</v>
      </c>
    </row>
    <row r="27" spans="1:19" ht="12" customHeight="1">
      <c r="A27" s="733" t="s">
        <v>418</v>
      </c>
      <c r="B27" s="546">
        <v>2300</v>
      </c>
      <c r="C27" s="546">
        <v>3458</v>
      </c>
      <c r="D27" s="546">
        <v>1359</v>
      </c>
      <c r="E27" s="546">
        <f t="shared" si="6"/>
        <v>5758</v>
      </c>
      <c r="F27" s="546">
        <v>5348</v>
      </c>
      <c r="G27" s="546">
        <v>242</v>
      </c>
      <c r="H27" s="546">
        <v>50</v>
      </c>
      <c r="I27" s="546">
        <f t="shared" si="7"/>
        <v>5590</v>
      </c>
      <c r="J27" s="546">
        <f t="shared" si="8"/>
        <v>168</v>
      </c>
      <c r="K27" s="546">
        <f t="shared" si="9"/>
        <v>-168</v>
      </c>
      <c r="L27" s="547">
        <f t="shared" si="10"/>
        <v>-168</v>
      </c>
      <c r="M27" s="546">
        <v>193</v>
      </c>
      <c r="N27" s="546">
        <f t="shared" si="11"/>
        <v>-366</v>
      </c>
      <c r="O27" s="546">
        <v>114</v>
      </c>
      <c r="P27" s="546">
        <v>480</v>
      </c>
      <c r="Q27" s="546"/>
      <c r="R27" s="546">
        <v>-120</v>
      </c>
      <c r="S27" s="546">
        <v>125</v>
      </c>
    </row>
    <row r="28" spans="1:19" ht="12" customHeight="1">
      <c r="A28" s="733" t="s">
        <v>419</v>
      </c>
      <c r="B28" s="546">
        <v>2667</v>
      </c>
      <c r="C28" s="546">
        <v>2680</v>
      </c>
      <c r="D28" s="546">
        <v>898</v>
      </c>
      <c r="E28" s="546">
        <f t="shared" si="6"/>
        <v>5347</v>
      </c>
      <c r="F28" s="546">
        <v>5294</v>
      </c>
      <c r="G28" s="546">
        <v>297</v>
      </c>
      <c r="H28" s="546">
        <v>96</v>
      </c>
      <c r="I28" s="546">
        <f aca="true" t="shared" si="12" ref="I28:I47">SUM(F28:H28)-H28</f>
        <v>5591</v>
      </c>
      <c r="J28" s="546">
        <f t="shared" si="8"/>
        <v>-244</v>
      </c>
      <c r="K28" s="546">
        <f t="shared" si="9"/>
        <v>244</v>
      </c>
      <c r="L28" s="547">
        <f t="shared" si="10"/>
        <v>244</v>
      </c>
      <c r="M28" s="546">
        <v>94</v>
      </c>
      <c r="N28" s="546">
        <f t="shared" si="11"/>
        <v>-134</v>
      </c>
      <c r="O28" s="546">
        <v>198</v>
      </c>
      <c r="P28" s="546">
        <v>332</v>
      </c>
      <c r="Q28" s="546"/>
      <c r="R28" s="546"/>
      <c r="S28" s="546">
        <v>284</v>
      </c>
    </row>
    <row r="29" spans="1:19" ht="12" customHeight="1">
      <c r="A29" s="733" t="s">
        <v>420</v>
      </c>
      <c r="B29" s="546">
        <v>1744</v>
      </c>
      <c r="C29" s="546">
        <v>1811</v>
      </c>
      <c r="D29" s="546">
        <v>540</v>
      </c>
      <c r="E29" s="546">
        <f t="shared" si="6"/>
        <v>3555</v>
      </c>
      <c r="F29" s="546">
        <v>3291</v>
      </c>
      <c r="G29" s="546">
        <v>114</v>
      </c>
      <c r="H29" s="546"/>
      <c r="I29" s="546">
        <f t="shared" si="12"/>
        <v>3405</v>
      </c>
      <c r="J29" s="546">
        <f t="shared" si="8"/>
        <v>150</v>
      </c>
      <c r="K29" s="546">
        <f t="shared" si="9"/>
        <v>-150</v>
      </c>
      <c r="L29" s="547">
        <f t="shared" si="10"/>
        <v>-150</v>
      </c>
      <c r="M29" s="546">
        <v>-21</v>
      </c>
      <c r="N29" s="546">
        <f t="shared" si="11"/>
        <v>-46</v>
      </c>
      <c r="O29" s="546">
        <v>270</v>
      </c>
      <c r="P29" s="546">
        <v>316</v>
      </c>
      <c r="Q29" s="546"/>
      <c r="R29" s="546"/>
      <c r="S29" s="546">
        <v>-83</v>
      </c>
    </row>
    <row r="30" spans="1:19" ht="12" customHeight="1">
      <c r="A30" s="733" t="s">
        <v>421</v>
      </c>
      <c r="B30" s="546">
        <v>2093</v>
      </c>
      <c r="C30" s="546">
        <v>2567</v>
      </c>
      <c r="D30" s="546">
        <v>903</v>
      </c>
      <c r="E30" s="546">
        <f t="shared" si="6"/>
        <v>4660</v>
      </c>
      <c r="F30" s="546">
        <v>4617</v>
      </c>
      <c r="G30" s="546">
        <v>246</v>
      </c>
      <c r="H30" s="546">
        <v>4</v>
      </c>
      <c r="I30" s="546">
        <f t="shared" si="12"/>
        <v>4863</v>
      </c>
      <c r="J30" s="546">
        <f t="shared" si="8"/>
        <v>-203</v>
      </c>
      <c r="K30" s="546">
        <f t="shared" si="9"/>
        <v>203</v>
      </c>
      <c r="L30" s="547">
        <f t="shared" si="10"/>
        <v>203</v>
      </c>
      <c r="M30" s="546">
        <v>64</v>
      </c>
      <c r="N30" s="546">
        <f t="shared" si="11"/>
        <v>-131</v>
      </c>
      <c r="O30" s="546">
        <v>126</v>
      </c>
      <c r="P30" s="546">
        <v>257</v>
      </c>
      <c r="Q30" s="546"/>
      <c r="R30" s="546">
        <v>6</v>
      </c>
      <c r="S30" s="546">
        <v>264</v>
      </c>
    </row>
    <row r="31" spans="1:19" ht="12" customHeight="1">
      <c r="A31" s="733" t="s">
        <v>422</v>
      </c>
      <c r="B31" s="546">
        <v>3049</v>
      </c>
      <c r="C31" s="546">
        <v>3830</v>
      </c>
      <c r="D31" s="546">
        <v>1377</v>
      </c>
      <c r="E31" s="546">
        <f t="shared" si="6"/>
        <v>6879</v>
      </c>
      <c r="F31" s="546">
        <v>6776</v>
      </c>
      <c r="G31" s="546">
        <v>202</v>
      </c>
      <c r="H31" s="546"/>
      <c r="I31" s="546">
        <f t="shared" si="12"/>
        <v>6978</v>
      </c>
      <c r="J31" s="546">
        <f t="shared" si="8"/>
        <v>-99</v>
      </c>
      <c r="K31" s="546">
        <f t="shared" si="9"/>
        <v>99</v>
      </c>
      <c r="L31" s="547">
        <f t="shared" si="10"/>
        <v>99</v>
      </c>
      <c r="M31" s="546">
        <v>-91</v>
      </c>
      <c r="N31" s="546">
        <f t="shared" si="11"/>
        <v>-164</v>
      </c>
      <c r="O31" s="546">
        <v>272</v>
      </c>
      <c r="P31" s="546">
        <v>436</v>
      </c>
      <c r="Q31" s="546"/>
      <c r="R31" s="546"/>
      <c r="S31" s="546">
        <v>354</v>
      </c>
    </row>
    <row r="32" spans="1:19" ht="12" customHeight="1">
      <c r="A32" s="733" t="s">
        <v>423</v>
      </c>
      <c r="B32" s="546">
        <v>1516</v>
      </c>
      <c r="C32" s="546">
        <v>2682</v>
      </c>
      <c r="D32" s="546">
        <v>1100</v>
      </c>
      <c r="E32" s="546">
        <f t="shared" si="6"/>
        <v>4198</v>
      </c>
      <c r="F32" s="546">
        <v>3898</v>
      </c>
      <c r="G32" s="546">
        <v>130</v>
      </c>
      <c r="H32" s="546"/>
      <c r="I32" s="546">
        <f t="shared" si="12"/>
        <v>4028</v>
      </c>
      <c r="J32" s="546">
        <f t="shared" si="8"/>
        <v>170</v>
      </c>
      <c r="K32" s="546">
        <f t="shared" si="9"/>
        <v>-170</v>
      </c>
      <c r="L32" s="547">
        <f t="shared" si="10"/>
        <v>-170</v>
      </c>
      <c r="M32" s="546">
        <v>-41</v>
      </c>
      <c r="N32" s="546">
        <f t="shared" si="11"/>
        <v>-356</v>
      </c>
      <c r="O32" s="546">
        <v>67</v>
      </c>
      <c r="P32" s="546">
        <v>423</v>
      </c>
      <c r="Q32" s="546">
        <v>-1</v>
      </c>
      <c r="R32" s="546"/>
      <c r="S32" s="546">
        <v>228</v>
      </c>
    </row>
    <row r="33" spans="1:19" ht="12" customHeight="1">
      <c r="A33" s="733" t="s">
        <v>424</v>
      </c>
      <c r="B33" s="546">
        <v>2706</v>
      </c>
      <c r="C33" s="546">
        <v>3512</v>
      </c>
      <c r="D33" s="546">
        <v>742</v>
      </c>
      <c r="E33" s="546">
        <f t="shared" si="6"/>
        <v>6218</v>
      </c>
      <c r="F33" s="546">
        <v>5822</v>
      </c>
      <c r="G33" s="546">
        <v>188</v>
      </c>
      <c r="H33" s="546"/>
      <c r="I33" s="546">
        <f t="shared" si="12"/>
        <v>6010</v>
      </c>
      <c r="J33" s="546">
        <f t="shared" si="8"/>
        <v>208</v>
      </c>
      <c r="K33" s="546">
        <f t="shared" si="9"/>
        <v>-208</v>
      </c>
      <c r="L33" s="547">
        <f t="shared" si="10"/>
        <v>-208</v>
      </c>
      <c r="M33" s="546">
        <v>168</v>
      </c>
      <c r="N33" s="546">
        <f t="shared" si="11"/>
        <v>-456</v>
      </c>
      <c r="O33" s="546">
        <v>462</v>
      </c>
      <c r="P33" s="546">
        <v>918</v>
      </c>
      <c r="Q33" s="546"/>
      <c r="R33" s="546"/>
      <c r="S33" s="546">
        <v>80</v>
      </c>
    </row>
    <row r="34" spans="1:19" ht="12" customHeight="1">
      <c r="A34" s="733" t="s">
        <v>425</v>
      </c>
      <c r="B34" s="546">
        <v>2839</v>
      </c>
      <c r="C34" s="546">
        <v>3103</v>
      </c>
      <c r="D34" s="546">
        <v>904</v>
      </c>
      <c r="E34" s="546">
        <f t="shared" si="6"/>
        <v>5942</v>
      </c>
      <c r="F34" s="546">
        <v>5868</v>
      </c>
      <c r="G34" s="546">
        <v>171</v>
      </c>
      <c r="H34" s="546">
        <v>14</v>
      </c>
      <c r="I34" s="546">
        <f t="shared" si="12"/>
        <v>6039</v>
      </c>
      <c r="J34" s="546">
        <f t="shared" si="8"/>
        <v>-97</v>
      </c>
      <c r="K34" s="546">
        <f t="shared" si="9"/>
        <v>97</v>
      </c>
      <c r="L34" s="547">
        <f t="shared" si="10"/>
        <v>97</v>
      </c>
      <c r="M34" s="546">
        <v>12</v>
      </c>
      <c r="N34" s="546">
        <f t="shared" si="11"/>
        <v>-135</v>
      </c>
      <c r="O34" s="546">
        <v>136</v>
      </c>
      <c r="P34" s="546">
        <v>271</v>
      </c>
      <c r="Q34" s="546"/>
      <c r="R34" s="546">
        <v>-13</v>
      </c>
      <c r="S34" s="546">
        <v>233</v>
      </c>
    </row>
    <row r="35" spans="1:19" ht="12" customHeight="1">
      <c r="A35" s="733" t="s">
        <v>426</v>
      </c>
      <c r="B35" s="546">
        <v>2962</v>
      </c>
      <c r="C35" s="546">
        <v>2475</v>
      </c>
      <c r="D35" s="546">
        <v>858</v>
      </c>
      <c r="E35" s="546">
        <f t="shared" si="6"/>
        <v>5437</v>
      </c>
      <c r="F35" s="546">
        <v>5184</v>
      </c>
      <c r="G35" s="546">
        <v>437</v>
      </c>
      <c r="H35" s="546">
        <v>138</v>
      </c>
      <c r="I35" s="546">
        <f t="shared" si="12"/>
        <v>5621</v>
      </c>
      <c r="J35" s="546">
        <f t="shared" si="8"/>
        <v>-184</v>
      </c>
      <c r="K35" s="546">
        <f t="shared" si="9"/>
        <v>184</v>
      </c>
      <c r="L35" s="547">
        <f t="shared" si="10"/>
        <v>184</v>
      </c>
      <c r="M35" s="546">
        <v>144</v>
      </c>
      <c r="N35" s="546">
        <f t="shared" si="11"/>
        <v>-161</v>
      </c>
      <c r="O35" s="546">
        <v>209</v>
      </c>
      <c r="P35" s="546">
        <v>370</v>
      </c>
      <c r="Q35" s="546">
        <v>-11</v>
      </c>
      <c r="R35" s="546">
        <v>161</v>
      </c>
      <c r="S35" s="546">
        <v>51</v>
      </c>
    </row>
    <row r="36" spans="1:19" ht="12" customHeight="1">
      <c r="A36" s="733" t="s">
        <v>427</v>
      </c>
      <c r="B36" s="546">
        <v>1534</v>
      </c>
      <c r="C36" s="546">
        <v>2673</v>
      </c>
      <c r="D36" s="546">
        <v>961</v>
      </c>
      <c r="E36" s="546">
        <f t="shared" si="6"/>
        <v>4207</v>
      </c>
      <c r="F36" s="546">
        <v>3781</v>
      </c>
      <c r="G36" s="546">
        <v>146</v>
      </c>
      <c r="H36" s="546"/>
      <c r="I36" s="546">
        <f t="shared" si="12"/>
        <v>3927</v>
      </c>
      <c r="J36" s="546">
        <f t="shared" si="8"/>
        <v>280</v>
      </c>
      <c r="K36" s="546">
        <f t="shared" si="9"/>
        <v>-280</v>
      </c>
      <c r="L36" s="547">
        <f t="shared" si="10"/>
        <v>-280</v>
      </c>
      <c r="M36" s="546">
        <v>-39</v>
      </c>
      <c r="N36" s="546">
        <f t="shared" si="11"/>
        <v>-324</v>
      </c>
      <c r="O36" s="546">
        <v>59</v>
      </c>
      <c r="P36" s="546">
        <v>383</v>
      </c>
      <c r="Q36" s="546">
        <v>-14</v>
      </c>
      <c r="R36" s="546"/>
      <c r="S36" s="546">
        <v>97</v>
      </c>
    </row>
    <row r="37" spans="1:19" ht="12" customHeight="1">
      <c r="A37" s="733" t="s">
        <v>428</v>
      </c>
      <c r="B37" s="546">
        <v>2765</v>
      </c>
      <c r="C37" s="546">
        <v>3692</v>
      </c>
      <c r="D37" s="546">
        <v>1112</v>
      </c>
      <c r="E37" s="546">
        <f t="shared" si="6"/>
        <v>6457</v>
      </c>
      <c r="F37" s="546">
        <v>6121</v>
      </c>
      <c r="G37" s="546">
        <v>315</v>
      </c>
      <c r="H37" s="546">
        <v>41</v>
      </c>
      <c r="I37" s="546">
        <f t="shared" si="12"/>
        <v>6436</v>
      </c>
      <c r="J37" s="546">
        <f t="shared" si="8"/>
        <v>21</v>
      </c>
      <c r="K37" s="546">
        <f t="shared" si="9"/>
        <v>-21</v>
      </c>
      <c r="L37" s="547">
        <f t="shared" si="10"/>
        <v>-21</v>
      </c>
      <c r="M37" s="546">
        <v>51</v>
      </c>
      <c r="N37" s="546">
        <f t="shared" si="11"/>
        <v>-222</v>
      </c>
      <c r="O37" s="546">
        <v>190</v>
      </c>
      <c r="P37" s="546">
        <v>412</v>
      </c>
      <c r="Q37" s="546"/>
      <c r="R37" s="546">
        <v>59</v>
      </c>
      <c r="S37" s="546">
        <v>91</v>
      </c>
    </row>
    <row r="38" spans="1:19" ht="12" customHeight="1">
      <c r="A38" s="733" t="s">
        <v>429</v>
      </c>
      <c r="B38" s="546">
        <v>5162</v>
      </c>
      <c r="C38" s="546">
        <v>3135</v>
      </c>
      <c r="D38" s="546">
        <v>775</v>
      </c>
      <c r="E38" s="546">
        <f t="shared" si="6"/>
        <v>8297</v>
      </c>
      <c r="F38" s="546">
        <v>7342</v>
      </c>
      <c r="G38" s="546">
        <v>563</v>
      </c>
      <c r="H38" s="546">
        <v>386</v>
      </c>
      <c r="I38" s="546">
        <f t="shared" si="12"/>
        <v>7905</v>
      </c>
      <c r="J38" s="546">
        <f t="shared" si="8"/>
        <v>392</v>
      </c>
      <c r="K38" s="546">
        <f t="shared" si="9"/>
        <v>-392</v>
      </c>
      <c r="L38" s="547">
        <f t="shared" si="10"/>
        <v>-392</v>
      </c>
      <c r="M38" s="546">
        <v>-84</v>
      </c>
      <c r="N38" s="546">
        <f t="shared" si="11"/>
        <v>-499</v>
      </c>
      <c r="O38" s="546">
        <v>312</v>
      </c>
      <c r="P38" s="546">
        <v>811</v>
      </c>
      <c r="Q38" s="546">
        <v>-7</v>
      </c>
      <c r="R38" s="546">
        <v>-5</v>
      </c>
      <c r="S38" s="546">
        <v>203</v>
      </c>
    </row>
    <row r="39" spans="1:19" ht="12" customHeight="1">
      <c r="A39" s="733" t="s">
        <v>430</v>
      </c>
      <c r="B39" s="546">
        <v>2012</v>
      </c>
      <c r="C39" s="546">
        <v>3347</v>
      </c>
      <c r="D39" s="546">
        <v>1236</v>
      </c>
      <c r="E39" s="546">
        <f t="shared" si="6"/>
        <v>5359</v>
      </c>
      <c r="F39" s="546">
        <v>5016</v>
      </c>
      <c r="G39" s="546">
        <v>112</v>
      </c>
      <c r="H39" s="546"/>
      <c r="I39" s="546">
        <f t="shared" si="12"/>
        <v>5128</v>
      </c>
      <c r="J39" s="546">
        <f t="shared" si="8"/>
        <v>231</v>
      </c>
      <c r="K39" s="546">
        <f t="shared" si="9"/>
        <v>-231</v>
      </c>
      <c r="L39" s="547">
        <f t="shared" si="10"/>
        <v>-231</v>
      </c>
      <c r="M39" s="546">
        <v>-50</v>
      </c>
      <c r="N39" s="546">
        <f t="shared" si="11"/>
        <v>-271</v>
      </c>
      <c r="O39" s="546">
        <v>148</v>
      </c>
      <c r="P39" s="546">
        <v>419</v>
      </c>
      <c r="Q39" s="546">
        <v>-18</v>
      </c>
      <c r="R39" s="546">
        <v>12</v>
      </c>
      <c r="S39" s="546">
        <v>96</v>
      </c>
    </row>
    <row r="40" spans="1:19" ht="12" customHeight="1">
      <c r="A40" s="733" t="s">
        <v>431</v>
      </c>
      <c r="B40" s="546">
        <v>1531</v>
      </c>
      <c r="C40" s="546">
        <v>3839</v>
      </c>
      <c r="D40" s="546">
        <v>1577</v>
      </c>
      <c r="E40" s="546">
        <f t="shared" si="6"/>
        <v>5370</v>
      </c>
      <c r="F40" s="546">
        <v>5107</v>
      </c>
      <c r="G40" s="546">
        <v>231</v>
      </c>
      <c r="H40" s="546"/>
      <c r="I40" s="546">
        <f t="shared" si="12"/>
        <v>5338</v>
      </c>
      <c r="J40" s="546">
        <f t="shared" si="8"/>
        <v>32</v>
      </c>
      <c r="K40" s="546">
        <f t="shared" si="9"/>
        <v>-32</v>
      </c>
      <c r="L40" s="547">
        <f t="shared" si="10"/>
        <v>-32</v>
      </c>
      <c r="M40" s="546">
        <v>2</v>
      </c>
      <c r="N40" s="546">
        <f t="shared" si="11"/>
        <v>-228</v>
      </c>
      <c r="O40" s="546">
        <v>105</v>
      </c>
      <c r="P40" s="546">
        <v>333</v>
      </c>
      <c r="Q40" s="546"/>
      <c r="R40" s="546">
        <v>16</v>
      </c>
      <c r="S40" s="546">
        <v>178</v>
      </c>
    </row>
    <row r="41" spans="1:19" ht="12" customHeight="1">
      <c r="A41" s="733" t="s">
        <v>432</v>
      </c>
      <c r="B41" s="546">
        <v>15420</v>
      </c>
      <c r="C41" s="546">
        <v>6902</v>
      </c>
      <c r="D41" s="546">
        <v>1104</v>
      </c>
      <c r="E41" s="546">
        <f t="shared" si="6"/>
        <v>22322</v>
      </c>
      <c r="F41" s="546">
        <v>19789</v>
      </c>
      <c r="G41" s="546">
        <v>2570</v>
      </c>
      <c r="H41" s="546">
        <v>1802</v>
      </c>
      <c r="I41" s="546">
        <f t="shared" si="12"/>
        <v>22359</v>
      </c>
      <c r="J41" s="546">
        <f t="shared" si="8"/>
        <v>-37</v>
      </c>
      <c r="K41" s="546">
        <f t="shared" si="9"/>
        <v>37</v>
      </c>
      <c r="L41" s="547">
        <f t="shared" si="10"/>
        <v>37</v>
      </c>
      <c r="M41" s="546">
        <v>824</v>
      </c>
      <c r="N41" s="546">
        <f t="shared" si="11"/>
        <v>-906</v>
      </c>
      <c r="O41" s="546">
        <v>1098</v>
      </c>
      <c r="P41" s="546">
        <v>2004</v>
      </c>
      <c r="Q41" s="546"/>
      <c r="R41" s="546">
        <v>-1</v>
      </c>
      <c r="S41" s="546">
        <v>120</v>
      </c>
    </row>
    <row r="42" spans="1:19" ht="12" customHeight="1">
      <c r="A42" s="733" t="s">
        <v>433</v>
      </c>
      <c r="B42" s="546">
        <v>2639</v>
      </c>
      <c r="C42" s="546">
        <v>3586</v>
      </c>
      <c r="D42" s="546">
        <v>805</v>
      </c>
      <c r="E42" s="546">
        <f t="shared" si="6"/>
        <v>6225</v>
      </c>
      <c r="F42" s="546">
        <v>5449</v>
      </c>
      <c r="G42" s="546">
        <v>159</v>
      </c>
      <c r="H42" s="546">
        <v>19</v>
      </c>
      <c r="I42" s="546">
        <f t="shared" si="12"/>
        <v>5608</v>
      </c>
      <c r="J42" s="546">
        <f t="shared" si="8"/>
        <v>617</v>
      </c>
      <c r="K42" s="546">
        <f t="shared" si="9"/>
        <v>-617</v>
      </c>
      <c r="L42" s="547">
        <f t="shared" si="10"/>
        <v>-617</v>
      </c>
      <c r="M42" s="546">
        <v>37</v>
      </c>
      <c r="N42" s="546">
        <f t="shared" si="11"/>
        <v>-566</v>
      </c>
      <c r="O42" s="546">
        <v>246</v>
      </c>
      <c r="P42" s="546">
        <v>812</v>
      </c>
      <c r="Q42" s="546"/>
      <c r="R42" s="546"/>
      <c r="S42" s="546">
        <v>-88</v>
      </c>
    </row>
    <row r="43" spans="1:19" ht="12" customHeight="1">
      <c r="A43" s="733" t="s">
        <v>434</v>
      </c>
      <c r="B43" s="546">
        <v>3351</v>
      </c>
      <c r="C43" s="546">
        <v>3068</v>
      </c>
      <c r="D43" s="546">
        <v>969</v>
      </c>
      <c r="E43" s="546">
        <f t="shared" si="6"/>
        <v>6419</v>
      </c>
      <c r="F43" s="546">
        <v>6489</v>
      </c>
      <c r="G43" s="546">
        <v>131</v>
      </c>
      <c r="H43" s="546">
        <v>18</v>
      </c>
      <c r="I43" s="546">
        <f t="shared" si="12"/>
        <v>6620</v>
      </c>
      <c r="J43" s="546">
        <f t="shared" si="8"/>
        <v>-201</v>
      </c>
      <c r="K43" s="546">
        <f t="shared" si="9"/>
        <v>201</v>
      </c>
      <c r="L43" s="547">
        <f t="shared" si="10"/>
        <v>201</v>
      </c>
      <c r="M43" s="546">
        <v>161</v>
      </c>
      <c r="N43" s="546">
        <f t="shared" si="11"/>
        <v>-79</v>
      </c>
      <c r="O43" s="546">
        <v>207</v>
      </c>
      <c r="P43" s="546">
        <v>286</v>
      </c>
      <c r="Q43" s="546"/>
      <c r="R43" s="546">
        <v>-23</v>
      </c>
      <c r="S43" s="546">
        <v>142</v>
      </c>
    </row>
    <row r="44" spans="1:19" ht="12" customHeight="1">
      <c r="A44" s="733" t="s">
        <v>435</v>
      </c>
      <c r="B44" s="546">
        <v>4108</v>
      </c>
      <c r="C44" s="546">
        <v>4953</v>
      </c>
      <c r="D44" s="546">
        <v>1138</v>
      </c>
      <c r="E44" s="546">
        <f t="shared" si="6"/>
        <v>9061</v>
      </c>
      <c r="F44" s="546">
        <v>8067</v>
      </c>
      <c r="G44" s="546">
        <v>816</v>
      </c>
      <c r="H44" s="546">
        <v>18</v>
      </c>
      <c r="I44" s="546">
        <f t="shared" si="12"/>
        <v>8883</v>
      </c>
      <c r="J44" s="546">
        <f t="shared" si="8"/>
        <v>178</v>
      </c>
      <c r="K44" s="546">
        <f t="shared" si="9"/>
        <v>-178</v>
      </c>
      <c r="L44" s="547">
        <f t="shared" si="10"/>
        <v>-178</v>
      </c>
      <c r="M44" s="546">
        <v>122</v>
      </c>
      <c r="N44" s="546">
        <f t="shared" si="11"/>
        <v>-366</v>
      </c>
      <c r="O44" s="546">
        <v>365</v>
      </c>
      <c r="P44" s="546">
        <v>731</v>
      </c>
      <c r="Q44" s="546">
        <v>-5</v>
      </c>
      <c r="R44" s="546">
        <v>-8</v>
      </c>
      <c r="S44" s="546">
        <v>79</v>
      </c>
    </row>
    <row r="45" spans="1:19" ht="12" customHeight="1">
      <c r="A45" s="733" t="s">
        <v>436</v>
      </c>
      <c r="B45" s="546">
        <v>2518</v>
      </c>
      <c r="C45" s="546">
        <v>2045</v>
      </c>
      <c r="D45" s="546">
        <v>580</v>
      </c>
      <c r="E45" s="546">
        <f t="shared" si="6"/>
        <v>4563</v>
      </c>
      <c r="F45" s="546">
        <v>4045</v>
      </c>
      <c r="G45" s="546">
        <v>258</v>
      </c>
      <c r="H45" s="546">
        <v>54</v>
      </c>
      <c r="I45" s="546">
        <f t="shared" si="12"/>
        <v>4303</v>
      </c>
      <c r="J45" s="546">
        <f t="shared" si="8"/>
        <v>260</v>
      </c>
      <c r="K45" s="546">
        <f t="shared" si="9"/>
        <v>-260</v>
      </c>
      <c r="L45" s="547">
        <f t="shared" si="10"/>
        <v>-260</v>
      </c>
      <c r="M45" s="546">
        <v>-47</v>
      </c>
      <c r="N45" s="546">
        <f t="shared" si="11"/>
        <v>-266</v>
      </c>
      <c r="O45" s="546">
        <v>75</v>
      </c>
      <c r="P45" s="546">
        <v>341</v>
      </c>
      <c r="Q45" s="546">
        <v>-2</v>
      </c>
      <c r="R45" s="546"/>
      <c r="S45" s="546">
        <v>55</v>
      </c>
    </row>
    <row r="46" spans="1:19" ht="12" customHeight="1">
      <c r="A46" s="733" t="s">
        <v>437</v>
      </c>
      <c r="B46" s="546">
        <v>6799</v>
      </c>
      <c r="C46" s="546">
        <v>4089</v>
      </c>
      <c r="D46" s="546">
        <v>957</v>
      </c>
      <c r="E46" s="546">
        <f t="shared" si="6"/>
        <v>10888</v>
      </c>
      <c r="F46" s="546">
        <v>10216</v>
      </c>
      <c r="G46" s="546">
        <v>686</v>
      </c>
      <c r="H46" s="546">
        <v>263</v>
      </c>
      <c r="I46" s="546">
        <f t="shared" si="12"/>
        <v>10902</v>
      </c>
      <c r="J46" s="546">
        <f t="shared" si="8"/>
        <v>-14</v>
      </c>
      <c r="K46" s="546">
        <f t="shared" si="9"/>
        <v>14</v>
      </c>
      <c r="L46" s="547">
        <f t="shared" si="10"/>
        <v>14</v>
      </c>
      <c r="M46" s="546">
        <v>-76</v>
      </c>
      <c r="N46" s="546">
        <f t="shared" si="11"/>
        <v>-200</v>
      </c>
      <c r="O46" s="546">
        <v>292</v>
      </c>
      <c r="P46" s="546">
        <v>492</v>
      </c>
      <c r="Q46" s="546">
        <v>-50</v>
      </c>
      <c r="R46" s="546">
        <v>-4</v>
      </c>
      <c r="S46" s="546">
        <v>344</v>
      </c>
    </row>
    <row r="47" spans="1:19" ht="12" customHeight="1">
      <c r="A47" s="733" t="s">
        <v>438</v>
      </c>
      <c r="B47" s="546">
        <v>1140</v>
      </c>
      <c r="C47" s="546">
        <v>831</v>
      </c>
      <c r="D47" s="546">
        <v>141</v>
      </c>
      <c r="E47" s="735">
        <f t="shared" si="6"/>
        <v>1971</v>
      </c>
      <c r="F47" s="546">
        <v>2178</v>
      </c>
      <c r="G47" s="546">
        <v>90</v>
      </c>
      <c r="H47" s="546">
        <v>22</v>
      </c>
      <c r="I47" s="546">
        <f t="shared" si="12"/>
        <v>2268</v>
      </c>
      <c r="J47" s="546">
        <f t="shared" si="8"/>
        <v>-297</v>
      </c>
      <c r="K47" s="546">
        <f t="shared" si="9"/>
        <v>297</v>
      </c>
      <c r="L47" s="547">
        <f t="shared" si="10"/>
        <v>297</v>
      </c>
      <c r="M47" s="546">
        <v>322</v>
      </c>
      <c r="N47" s="546">
        <f t="shared" si="11"/>
        <v>-78</v>
      </c>
      <c r="O47" s="546">
        <v>60</v>
      </c>
      <c r="P47" s="546">
        <v>138</v>
      </c>
      <c r="Q47" s="546"/>
      <c r="R47" s="546"/>
      <c r="S47" s="546">
        <v>53</v>
      </c>
    </row>
    <row r="48" spans="1:19" ht="12" customHeight="1">
      <c r="A48" s="731" t="s">
        <v>439</v>
      </c>
      <c r="B48" s="546">
        <f aca="true" t="shared" si="13" ref="B48:K48">SUM(B22:B47)</f>
        <v>84922</v>
      </c>
      <c r="C48" s="546">
        <f t="shared" si="13"/>
        <v>84175</v>
      </c>
      <c r="D48" s="546">
        <f t="shared" si="13"/>
        <v>24708</v>
      </c>
      <c r="E48" s="735">
        <f t="shared" si="13"/>
        <v>169097</v>
      </c>
      <c r="F48" s="546">
        <f t="shared" si="13"/>
        <v>157661</v>
      </c>
      <c r="G48" s="546">
        <f t="shared" si="13"/>
        <v>9582</v>
      </c>
      <c r="H48" s="546">
        <f t="shared" si="13"/>
        <v>3241</v>
      </c>
      <c r="I48" s="546">
        <f t="shared" si="13"/>
        <v>167243</v>
      </c>
      <c r="J48" s="546">
        <f t="shared" si="13"/>
        <v>1854</v>
      </c>
      <c r="K48" s="546">
        <f t="shared" si="13"/>
        <v>-1854</v>
      </c>
      <c r="L48" s="547">
        <f t="shared" si="10"/>
        <v>-1854</v>
      </c>
      <c r="M48" s="546">
        <f aca="true" t="shared" si="14" ref="M48:S48">SUM(M22:M47)</f>
        <v>1979</v>
      </c>
      <c r="N48" s="546">
        <f t="shared" si="14"/>
        <v>-7200</v>
      </c>
      <c r="O48" s="546">
        <f t="shared" si="14"/>
        <v>5838</v>
      </c>
      <c r="P48" s="546">
        <f t="shared" si="14"/>
        <v>13038</v>
      </c>
      <c r="Q48" s="546">
        <f t="shared" si="14"/>
        <v>-136</v>
      </c>
      <c r="R48" s="546">
        <f t="shared" si="14"/>
        <v>61</v>
      </c>
      <c r="S48" s="546">
        <f t="shared" si="14"/>
        <v>3442</v>
      </c>
    </row>
    <row r="49" spans="1:19" ht="12" customHeight="1">
      <c r="A49" s="736" t="s">
        <v>440</v>
      </c>
      <c r="B49" s="546">
        <f aca="true" t="shared" si="15" ref="B49:K49">B48+B20</f>
        <v>216812</v>
      </c>
      <c r="C49" s="546">
        <f t="shared" si="15"/>
        <v>117230</v>
      </c>
      <c r="D49" s="546">
        <f t="shared" si="15"/>
        <v>25772</v>
      </c>
      <c r="E49" s="546">
        <f t="shared" si="15"/>
        <v>334042</v>
      </c>
      <c r="F49" s="546">
        <f t="shared" si="15"/>
        <v>320806</v>
      </c>
      <c r="G49" s="546">
        <f t="shared" si="15"/>
        <v>26824</v>
      </c>
      <c r="H49" s="546">
        <f t="shared" si="15"/>
        <v>20298</v>
      </c>
      <c r="I49" s="546">
        <f t="shared" si="15"/>
        <v>347630</v>
      </c>
      <c r="J49" s="546">
        <f t="shared" si="15"/>
        <v>-13588</v>
      </c>
      <c r="K49" s="546">
        <f t="shared" si="15"/>
        <v>13588</v>
      </c>
      <c r="L49" s="547">
        <f t="shared" si="10"/>
        <v>13588</v>
      </c>
      <c r="M49" s="546">
        <f>M48+M20</f>
        <v>1443</v>
      </c>
      <c r="N49" s="546">
        <f>O49-P49</f>
        <v>-11758</v>
      </c>
      <c r="O49" s="546">
        <f>O48+O20</f>
        <v>12129</v>
      </c>
      <c r="P49" s="546">
        <f>P48+P20</f>
        <v>23887</v>
      </c>
      <c r="Q49" s="546">
        <f>Q48+Q20</f>
        <v>-18</v>
      </c>
      <c r="R49" s="546">
        <f>R48+R20</f>
        <v>20893</v>
      </c>
      <c r="S49" s="546">
        <f>S48+S20</f>
        <v>3028</v>
      </c>
    </row>
    <row r="50" s="737" customFormat="1" ht="12" customHeight="1"/>
    <row r="51" spans="1:9" s="739" customFormat="1" ht="17.25" customHeight="1">
      <c r="A51" s="738" t="s">
        <v>441</v>
      </c>
      <c r="I51" s="739" t="s">
        <v>442</v>
      </c>
    </row>
    <row r="52" s="739" customFormat="1" ht="17.25" customHeight="1">
      <c r="A52" s="738"/>
    </row>
    <row r="54" spans="1:10" ht="17.25" customHeight="1">
      <c r="A54" s="740" t="s">
        <v>639</v>
      </c>
      <c r="B54" s="741"/>
      <c r="C54" s="741"/>
      <c r="D54" s="742"/>
      <c r="E54" s="743"/>
      <c r="F54" s="742"/>
      <c r="G54" s="741"/>
      <c r="H54" s="742"/>
      <c r="J54" s="742" t="s">
        <v>859</v>
      </c>
    </row>
    <row r="55" ht="17.25" customHeight="1">
      <c r="A55" s="744"/>
    </row>
    <row r="58" spans="1:5" ht="17.25" customHeight="1">
      <c r="A58" s="834" t="s">
        <v>443</v>
      </c>
      <c r="B58" s="834"/>
      <c r="C58" s="834"/>
      <c r="D58" s="834"/>
      <c r="E58" s="834"/>
    </row>
    <row r="59" spans="1:3" ht="17.25" customHeight="1">
      <c r="A59" s="834" t="s">
        <v>116</v>
      </c>
      <c r="B59" s="834"/>
      <c r="C59" s="834"/>
    </row>
    <row r="68" s="717" customFormat="1" ht="17.25" customHeight="1">
      <c r="A68" s="744"/>
    </row>
  </sheetData>
  <mergeCells count="16">
    <mergeCell ref="H9:H10"/>
    <mergeCell ref="I9:I10"/>
    <mergeCell ref="A4:S4"/>
    <mergeCell ref="A5:S5"/>
    <mergeCell ref="J8:J10"/>
    <mergeCell ref="K8:K10"/>
    <mergeCell ref="S8:S10"/>
    <mergeCell ref="A58:E58"/>
    <mergeCell ref="A59:C59"/>
    <mergeCell ref="F9:F10"/>
    <mergeCell ref="G9:G10"/>
    <mergeCell ref="D9:D10"/>
    <mergeCell ref="E9:E10"/>
    <mergeCell ref="A8:A10"/>
    <mergeCell ref="B9:B10"/>
    <mergeCell ref="C9:C10"/>
  </mergeCells>
  <printOptions/>
  <pageMargins left="0.47" right="0.17" top="0.64" bottom="0.58" header="0.17" footer="0.28"/>
  <pageSetup firstPageNumber="38" useFirstPageNumber="1" horizontalDpi="300" verticalDpi="300" orientation="landscape" paperSize="9" scale="93" r:id="rId1"/>
  <headerFooter alignWithMargins="0">
    <oddFooter>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B3" sqref="B3"/>
    </sheetView>
  </sheetViews>
  <sheetFormatPr defaultColWidth="9.140625" defaultRowHeight="17.25" customHeight="1"/>
  <cols>
    <col min="1" max="1" width="18.57421875" style="472" customWidth="1"/>
    <col min="2" max="2" width="7.00390625" style="38" customWidth="1"/>
    <col min="3" max="3" width="6.28125" style="38" customWidth="1"/>
    <col min="4" max="4" width="5.8515625" style="38" customWidth="1"/>
    <col min="5" max="5" width="5.8515625" style="38" hidden="1" customWidth="1"/>
    <col min="6" max="6" width="5.57421875" style="38" customWidth="1"/>
    <col min="7" max="7" width="9.140625" style="38" customWidth="1"/>
    <col min="8" max="8" width="8.00390625" style="38" customWidth="1"/>
    <col min="9" max="9" width="9.00390625" style="38" customWidth="1"/>
    <col min="10" max="10" width="6.57421875" style="38" customWidth="1"/>
    <col min="11" max="11" width="5.8515625" style="781" hidden="1" customWidth="1"/>
    <col min="12" max="12" width="8.421875" style="38" customWidth="1"/>
    <col min="13" max="13" width="7.57421875" style="38" customWidth="1"/>
    <col min="14" max="14" width="10.421875" style="38" customWidth="1"/>
    <col min="15" max="15" width="7.57421875" style="38" customWidth="1"/>
    <col min="16" max="16" width="7.421875" style="38" customWidth="1"/>
    <col min="17" max="17" width="9.421875" style="38" customWidth="1"/>
    <col min="18" max="18" width="6.140625" style="38" customWidth="1"/>
  </cols>
  <sheetData>
    <row r="1" spans="1:17" ht="17.25" customHeight="1">
      <c r="A1" s="38"/>
      <c r="B1" s="87"/>
      <c r="C1" s="87"/>
      <c r="D1" s="87"/>
      <c r="E1" s="87"/>
      <c r="F1" s="87"/>
      <c r="G1" s="87"/>
      <c r="H1" s="87"/>
      <c r="I1" s="87"/>
      <c r="J1" s="87"/>
      <c r="K1" s="539"/>
      <c r="L1" s="87"/>
      <c r="M1" s="87"/>
      <c r="N1" s="87"/>
      <c r="O1" s="87"/>
      <c r="P1" s="87"/>
      <c r="Q1" s="237" t="s">
        <v>444</v>
      </c>
    </row>
    <row r="2" spans="1:18" ht="17.25" customHeight="1">
      <c r="A2" s="51" t="s">
        <v>475</v>
      </c>
      <c r="B2" s="87"/>
      <c r="C2" s="87"/>
      <c r="D2" s="87"/>
      <c r="E2" s="87"/>
      <c r="F2" s="87"/>
      <c r="G2" s="87"/>
      <c r="H2" s="87"/>
      <c r="I2" s="87"/>
      <c r="J2" s="87"/>
      <c r="K2" s="539"/>
      <c r="L2" s="87"/>
      <c r="M2" s="87"/>
      <c r="N2" s="87"/>
      <c r="O2" s="87"/>
      <c r="P2" s="87"/>
      <c r="Q2" s="87"/>
      <c r="R2" s="237"/>
    </row>
    <row r="3" spans="1:18" ht="17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539"/>
      <c r="L3" s="87"/>
      <c r="M3" s="87"/>
      <c r="N3" s="87"/>
      <c r="O3" s="87"/>
      <c r="P3" s="87"/>
      <c r="Q3" s="87"/>
      <c r="R3" s="237"/>
    </row>
    <row r="4" spans="1:18" ht="16.5" customHeight="1">
      <c r="A4" s="549" t="s">
        <v>476</v>
      </c>
      <c r="B4" s="539"/>
      <c r="C4" s="539"/>
      <c r="D4" s="539"/>
      <c r="E4" s="539"/>
      <c r="F4" s="539"/>
      <c r="G4" s="539"/>
      <c r="H4" s="87"/>
      <c r="I4" s="87"/>
      <c r="J4" s="539"/>
      <c r="K4" s="539"/>
      <c r="L4" s="539"/>
      <c r="M4" s="539"/>
      <c r="N4" s="539"/>
      <c r="O4" s="539"/>
      <c r="P4" s="539"/>
      <c r="Q4" s="539"/>
      <c r="R4" s="539"/>
    </row>
    <row r="5" spans="1:18" ht="15" customHeight="1">
      <c r="A5" s="477" t="s">
        <v>98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</row>
    <row r="6" spans="1:18" ht="12.75" customHeight="1">
      <c r="A6" s="540"/>
      <c r="B6" s="87"/>
      <c r="C6" s="87"/>
      <c r="D6" s="87"/>
      <c r="E6" s="87"/>
      <c r="F6" s="87"/>
      <c r="G6" s="87"/>
      <c r="H6" s="87"/>
      <c r="I6" s="87"/>
      <c r="J6" s="87"/>
      <c r="K6" s="539"/>
      <c r="L6" s="87"/>
      <c r="M6" s="87"/>
      <c r="N6" s="87"/>
      <c r="O6" s="87"/>
      <c r="P6" s="87"/>
      <c r="R6" s="2" t="s">
        <v>998</v>
      </c>
    </row>
    <row r="7" spans="1:18" ht="17.25" customHeight="1">
      <c r="A7" s="878" t="s">
        <v>477</v>
      </c>
      <c r="B7" s="878" t="s">
        <v>868</v>
      </c>
      <c r="C7" s="877" t="s">
        <v>394</v>
      </c>
      <c r="D7" s="877"/>
      <c r="E7" s="877"/>
      <c r="F7" s="877"/>
      <c r="G7" s="877" t="s">
        <v>478</v>
      </c>
      <c r="H7" s="877" t="s">
        <v>479</v>
      </c>
      <c r="I7" s="878" t="s">
        <v>480</v>
      </c>
      <c r="J7" s="878" t="s">
        <v>481</v>
      </c>
      <c r="K7" s="774"/>
      <c r="L7" s="542" t="s">
        <v>482</v>
      </c>
      <c r="M7" s="541"/>
      <c r="N7" s="541"/>
      <c r="O7" s="543"/>
      <c r="P7" s="541"/>
      <c r="Q7" s="541"/>
      <c r="R7" s="878" t="s">
        <v>483</v>
      </c>
    </row>
    <row r="8" spans="1:18" ht="17.25" customHeight="1">
      <c r="A8" s="879"/>
      <c r="B8" s="879"/>
      <c r="C8" s="886"/>
      <c r="D8" s="886"/>
      <c r="E8" s="886"/>
      <c r="F8" s="886"/>
      <c r="G8" s="877"/>
      <c r="H8" s="877"/>
      <c r="I8" s="879"/>
      <c r="J8" s="879"/>
      <c r="K8" s="775"/>
      <c r="L8" s="883" t="s">
        <v>398</v>
      </c>
      <c r="M8" s="884"/>
      <c r="N8" s="884"/>
      <c r="O8" s="884"/>
      <c r="P8" s="884"/>
      <c r="Q8" s="885"/>
      <c r="R8" s="881"/>
    </row>
    <row r="9" spans="1:18" ht="45">
      <c r="A9" s="880"/>
      <c r="B9" s="880"/>
      <c r="C9" s="9" t="s">
        <v>484</v>
      </c>
      <c r="D9" s="8" t="s">
        <v>485</v>
      </c>
      <c r="E9" s="9" t="s">
        <v>486</v>
      </c>
      <c r="F9" s="8" t="s">
        <v>487</v>
      </c>
      <c r="G9" s="877"/>
      <c r="H9" s="877"/>
      <c r="I9" s="880"/>
      <c r="J9" s="880"/>
      <c r="K9" s="776" t="s">
        <v>612</v>
      </c>
      <c r="L9" s="551" t="s">
        <v>668</v>
      </c>
      <c r="M9" s="551" t="s">
        <v>488</v>
      </c>
      <c r="N9" s="551" t="s">
        <v>400</v>
      </c>
      <c r="O9" s="551" t="s">
        <v>401</v>
      </c>
      <c r="P9" s="9" t="s">
        <v>489</v>
      </c>
      <c r="Q9" s="9" t="s">
        <v>680</v>
      </c>
      <c r="R9" s="882"/>
    </row>
    <row r="10" spans="1:18" ht="12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777">
        <v>10</v>
      </c>
      <c r="L10" s="8">
        <v>10</v>
      </c>
      <c r="M10" s="8">
        <v>11</v>
      </c>
      <c r="N10" s="8">
        <v>12</v>
      </c>
      <c r="O10" s="8">
        <v>13</v>
      </c>
      <c r="P10" s="8">
        <v>14</v>
      </c>
      <c r="Q10" s="8">
        <v>15</v>
      </c>
      <c r="R10" s="8">
        <v>16</v>
      </c>
    </row>
    <row r="11" spans="1:18" ht="12" customHeight="1">
      <c r="A11" s="552" t="s">
        <v>404</v>
      </c>
      <c r="B11" s="545">
        <v>11483</v>
      </c>
      <c r="C11" s="702">
        <v>6096</v>
      </c>
      <c r="D11" s="702">
        <v>1982</v>
      </c>
      <c r="E11" s="702"/>
      <c r="F11" s="703">
        <f aca="true" t="shared" si="0" ref="F11:F17">SUM(C11:E11)</f>
        <v>8078</v>
      </c>
      <c r="G11" s="703">
        <f aca="true" t="shared" si="1" ref="G11:G45">B11-F11</f>
        <v>3405</v>
      </c>
      <c r="H11" s="703"/>
      <c r="I11" s="703">
        <f>G11-H11</f>
        <v>3405</v>
      </c>
      <c r="J11" s="703">
        <f aca="true" t="shared" si="2" ref="J11:J46">-I11</f>
        <v>-3405</v>
      </c>
      <c r="K11" s="778">
        <f aca="true" t="shared" si="3" ref="K11:K44">L11+M11+P11+Q11+R11</f>
        <v>-3405</v>
      </c>
      <c r="L11" s="703"/>
      <c r="M11" s="703">
        <f aca="true" t="shared" si="4" ref="M11:M44">N11-O11</f>
        <v>-3405</v>
      </c>
      <c r="N11" s="703">
        <v>10514</v>
      </c>
      <c r="O11" s="703">
        <v>13919</v>
      </c>
      <c r="P11" s="545"/>
      <c r="Q11" s="545"/>
      <c r="R11" s="545"/>
    </row>
    <row r="12" spans="1:18" ht="12" customHeight="1">
      <c r="A12" s="552" t="s">
        <v>405</v>
      </c>
      <c r="B12" s="545">
        <v>805</v>
      </c>
      <c r="C12" s="702">
        <v>395</v>
      </c>
      <c r="D12" s="702">
        <v>330</v>
      </c>
      <c r="E12" s="702"/>
      <c r="F12" s="703">
        <f t="shared" si="0"/>
        <v>725</v>
      </c>
      <c r="G12" s="703">
        <f t="shared" si="1"/>
        <v>80</v>
      </c>
      <c r="H12" s="703">
        <v>53</v>
      </c>
      <c r="I12" s="703">
        <f>G12-H12</f>
        <v>27</v>
      </c>
      <c r="J12" s="703">
        <f t="shared" si="2"/>
        <v>-27</v>
      </c>
      <c r="K12" s="778">
        <f t="shared" si="3"/>
        <v>-27</v>
      </c>
      <c r="L12" s="703"/>
      <c r="M12" s="703">
        <f t="shared" si="4"/>
        <v>-27</v>
      </c>
      <c r="N12" s="703">
        <v>98</v>
      </c>
      <c r="O12" s="703">
        <v>125</v>
      </c>
      <c r="P12" s="545"/>
      <c r="Q12" s="545"/>
      <c r="R12" s="545"/>
    </row>
    <row r="13" spans="1:18" ht="12" customHeight="1">
      <c r="A13" s="552" t="s">
        <v>406</v>
      </c>
      <c r="B13" s="545">
        <v>633</v>
      </c>
      <c r="C13" s="702">
        <v>449</v>
      </c>
      <c r="D13" s="702">
        <v>149</v>
      </c>
      <c r="E13" s="702"/>
      <c r="F13" s="703">
        <f t="shared" si="0"/>
        <v>598</v>
      </c>
      <c r="G13" s="703">
        <f t="shared" si="1"/>
        <v>35</v>
      </c>
      <c r="H13" s="703">
        <v>57</v>
      </c>
      <c r="I13" s="703">
        <f>G13-H13</f>
        <v>-22</v>
      </c>
      <c r="J13" s="703">
        <f t="shared" si="2"/>
        <v>22</v>
      </c>
      <c r="K13" s="778">
        <f t="shared" si="3"/>
        <v>22</v>
      </c>
      <c r="L13" s="703"/>
      <c r="M13" s="703">
        <f t="shared" si="4"/>
        <v>22</v>
      </c>
      <c r="N13" s="703">
        <v>165</v>
      </c>
      <c r="O13" s="703">
        <v>143</v>
      </c>
      <c r="P13" s="545"/>
      <c r="Q13" s="545"/>
      <c r="R13" s="545"/>
    </row>
    <row r="14" spans="1:18" ht="12" customHeight="1">
      <c r="A14" s="552" t="s">
        <v>407</v>
      </c>
      <c r="B14" s="545">
        <v>1566</v>
      </c>
      <c r="C14" s="702">
        <v>868</v>
      </c>
      <c r="D14" s="702">
        <v>538</v>
      </c>
      <c r="E14" s="702"/>
      <c r="F14" s="703">
        <f t="shared" si="0"/>
        <v>1406</v>
      </c>
      <c r="G14" s="703">
        <f t="shared" si="1"/>
        <v>160</v>
      </c>
      <c r="H14" s="703"/>
      <c r="I14" s="703">
        <f>G14-H14</f>
        <v>160</v>
      </c>
      <c r="J14" s="703">
        <f t="shared" si="2"/>
        <v>-160</v>
      </c>
      <c r="K14" s="778">
        <f t="shared" si="3"/>
        <v>-160</v>
      </c>
      <c r="L14" s="703"/>
      <c r="M14" s="703">
        <f t="shared" si="4"/>
        <v>-160</v>
      </c>
      <c r="N14" s="703">
        <v>74</v>
      </c>
      <c r="O14" s="703">
        <v>234</v>
      </c>
      <c r="P14" s="545"/>
      <c r="Q14" s="545"/>
      <c r="R14" s="545"/>
    </row>
    <row r="15" spans="1:18" ht="12" customHeight="1">
      <c r="A15" s="552" t="s">
        <v>408</v>
      </c>
      <c r="B15" s="545">
        <v>818</v>
      </c>
      <c r="C15" s="65">
        <v>299</v>
      </c>
      <c r="D15" s="65">
        <v>516</v>
      </c>
      <c r="E15" s="65"/>
      <c r="F15" s="545">
        <f t="shared" si="0"/>
        <v>815</v>
      </c>
      <c r="G15" s="545">
        <f t="shared" si="1"/>
        <v>3</v>
      </c>
      <c r="H15" s="545">
        <v>50</v>
      </c>
      <c r="I15" s="545">
        <f>G15-H15</f>
        <v>-47</v>
      </c>
      <c r="J15" s="545">
        <f t="shared" si="2"/>
        <v>47</v>
      </c>
      <c r="K15" s="415">
        <f t="shared" si="3"/>
        <v>47</v>
      </c>
      <c r="L15" s="545"/>
      <c r="M15" s="545">
        <f t="shared" si="4"/>
        <v>47</v>
      </c>
      <c r="N15" s="545">
        <v>646</v>
      </c>
      <c r="O15" s="545">
        <v>599</v>
      </c>
      <c r="P15" s="545"/>
      <c r="Q15" s="545"/>
      <c r="R15" s="545"/>
    </row>
    <row r="16" spans="1:18" ht="12" customHeight="1">
      <c r="A16" s="552" t="s">
        <v>409</v>
      </c>
      <c r="B16" s="545">
        <v>231</v>
      </c>
      <c r="C16" s="65">
        <v>208</v>
      </c>
      <c r="D16" s="65">
        <v>47</v>
      </c>
      <c r="E16" s="65"/>
      <c r="F16" s="545">
        <f t="shared" si="0"/>
        <v>255</v>
      </c>
      <c r="G16" s="545">
        <f t="shared" si="1"/>
        <v>-24</v>
      </c>
      <c r="H16" s="545"/>
      <c r="I16" s="545">
        <f>G16+H16</f>
        <v>-24</v>
      </c>
      <c r="J16" s="545">
        <f t="shared" si="2"/>
        <v>24</v>
      </c>
      <c r="K16" s="415">
        <f t="shared" si="3"/>
        <v>24</v>
      </c>
      <c r="L16" s="545"/>
      <c r="M16" s="545">
        <f t="shared" si="4"/>
        <v>24</v>
      </c>
      <c r="N16" s="545">
        <v>73</v>
      </c>
      <c r="O16" s="545">
        <v>49</v>
      </c>
      <c r="P16" s="545"/>
      <c r="Q16" s="545"/>
      <c r="R16" s="545"/>
    </row>
    <row r="17" spans="1:18" ht="12" customHeight="1">
      <c r="A17" s="553" t="s">
        <v>410</v>
      </c>
      <c r="B17" s="545">
        <v>1713</v>
      </c>
      <c r="C17" s="65">
        <v>730</v>
      </c>
      <c r="D17" s="65">
        <v>1514</v>
      </c>
      <c r="E17" s="65"/>
      <c r="F17" s="545">
        <f t="shared" si="0"/>
        <v>2244</v>
      </c>
      <c r="G17" s="545">
        <f t="shared" si="1"/>
        <v>-531</v>
      </c>
      <c r="H17" s="545">
        <v>-1864</v>
      </c>
      <c r="I17" s="545">
        <f>G17-H17</f>
        <v>1333</v>
      </c>
      <c r="J17" s="545">
        <f t="shared" si="2"/>
        <v>-1333</v>
      </c>
      <c r="K17" s="415">
        <f t="shared" si="3"/>
        <v>-1333</v>
      </c>
      <c r="L17" s="545"/>
      <c r="M17" s="545">
        <f t="shared" si="4"/>
        <v>-1333</v>
      </c>
      <c r="N17" s="545">
        <v>1125</v>
      </c>
      <c r="O17" s="545">
        <v>2458</v>
      </c>
      <c r="P17" s="545"/>
      <c r="Q17" s="545"/>
      <c r="R17" s="545"/>
    </row>
    <row r="18" spans="1:18" ht="12" customHeight="1">
      <c r="A18" s="554" t="s">
        <v>411</v>
      </c>
      <c r="B18" s="703">
        <f>SUM(B11:B17)</f>
        <v>17249</v>
      </c>
      <c r="C18" s="703">
        <f>SUM(C11:C17)</f>
        <v>9045</v>
      </c>
      <c r="D18" s="703">
        <f>SUM(D11:D17)</f>
        <v>5076</v>
      </c>
      <c r="E18" s="703">
        <f>SUM(E11:E17)</f>
        <v>0</v>
      </c>
      <c r="F18" s="703">
        <f>SUM(F11:F17)</f>
        <v>14121</v>
      </c>
      <c r="G18" s="703">
        <f t="shared" si="1"/>
        <v>3128</v>
      </c>
      <c r="H18" s="703">
        <f>SUM(H11:H17)</f>
        <v>-1704</v>
      </c>
      <c r="I18" s="703">
        <f>SUM(I11:I17)</f>
        <v>4832</v>
      </c>
      <c r="J18" s="703">
        <f t="shared" si="2"/>
        <v>-4832</v>
      </c>
      <c r="K18" s="778">
        <f t="shared" si="3"/>
        <v>-4832</v>
      </c>
      <c r="L18" s="703">
        <f>SUM(L11:L17)</f>
        <v>0</v>
      </c>
      <c r="M18" s="703">
        <f t="shared" si="4"/>
        <v>-4832</v>
      </c>
      <c r="N18" s="703">
        <f>SUM(N11:N17)</f>
        <v>12695</v>
      </c>
      <c r="O18" s="703">
        <f>SUM(O11:O17)</f>
        <v>17527</v>
      </c>
      <c r="P18" s="545">
        <f>SUM(P11:P17)</f>
        <v>0</v>
      </c>
      <c r="Q18" s="545">
        <f>SUM(Q11:Q17)</f>
        <v>0</v>
      </c>
      <c r="R18" s="545">
        <f>SUM(R11:R17)</f>
        <v>0</v>
      </c>
    </row>
    <row r="19" spans="1:18" ht="12.75">
      <c r="A19" s="555" t="s">
        <v>413</v>
      </c>
      <c r="B19" s="703">
        <v>385</v>
      </c>
      <c r="C19" s="702">
        <v>342</v>
      </c>
      <c r="D19" s="702">
        <v>16</v>
      </c>
      <c r="E19" s="702"/>
      <c r="F19" s="703">
        <f aca="true" t="shared" si="5" ref="F19:F44">SUM(C19:E19)</f>
        <v>358</v>
      </c>
      <c r="G19" s="703">
        <f t="shared" si="1"/>
        <v>27</v>
      </c>
      <c r="H19" s="703">
        <v>1</v>
      </c>
      <c r="I19" s="703">
        <f aca="true" t="shared" si="6" ref="I19:I44">G19-H19</f>
        <v>26</v>
      </c>
      <c r="J19" s="703">
        <f t="shared" si="2"/>
        <v>-26</v>
      </c>
      <c r="K19" s="778">
        <f t="shared" si="3"/>
        <v>-26</v>
      </c>
      <c r="L19" s="703"/>
      <c r="M19" s="703">
        <f t="shared" si="4"/>
        <v>-26</v>
      </c>
      <c r="N19" s="703">
        <v>134</v>
      </c>
      <c r="O19" s="703">
        <v>160</v>
      </c>
      <c r="P19" s="545"/>
      <c r="Q19" s="545"/>
      <c r="R19" s="545"/>
    </row>
    <row r="20" spans="1:18" ht="12" customHeight="1">
      <c r="A20" s="552" t="s">
        <v>414</v>
      </c>
      <c r="B20" s="703">
        <v>303</v>
      </c>
      <c r="C20" s="702">
        <v>268</v>
      </c>
      <c r="D20" s="702">
        <v>3</v>
      </c>
      <c r="E20" s="702"/>
      <c r="F20" s="703">
        <f t="shared" si="5"/>
        <v>271</v>
      </c>
      <c r="G20" s="703">
        <f t="shared" si="1"/>
        <v>32</v>
      </c>
      <c r="H20" s="703">
        <v>-12</v>
      </c>
      <c r="I20" s="703">
        <f t="shared" si="6"/>
        <v>44</v>
      </c>
      <c r="J20" s="703">
        <f t="shared" si="2"/>
        <v>-44</v>
      </c>
      <c r="K20" s="778">
        <f t="shared" si="3"/>
        <v>-44</v>
      </c>
      <c r="L20" s="703">
        <v>-7</v>
      </c>
      <c r="M20" s="703">
        <f t="shared" si="4"/>
        <v>-36</v>
      </c>
      <c r="N20" s="703">
        <v>121</v>
      </c>
      <c r="O20" s="703">
        <v>157</v>
      </c>
      <c r="P20" s="545"/>
      <c r="Q20" s="545">
        <v>-1</v>
      </c>
      <c r="R20" s="545"/>
    </row>
    <row r="21" spans="1:18" ht="12" customHeight="1">
      <c r="A21" s="552" t="s">
        <v>415</v>
      </c>
      <c r="B21" s="703">
        <v>344</v>
      </c>
      <c r="C21" s="702">
        <v>315</v>
      </c>
      <c r="D21" s="702">
        <v>1</v>
      </c>
      <c r="E21" s="702"/>
      <c r="F21" s="703">
        <f t="shared" si="5"/>
        <v>316</v>
      </c>
      <c r="G21" s="703">
        <f t="shared" si="1"/>
        <v>28</v>
      </c>
      <c r="H21" s="703">
        <v>8</v>
      </c>
      <c r="I21" s="703">
        <f t="shared" si="6"/>
        <v>20</v>
      </c>
      <c r="J21" s="703">
        <f t="shared" si="2"/>
        <v>-20</v>
      </c>
      <c r="K21" s="778">
        <f t="shared" si="3"/>
        <v>-20</v>
      </c>
      <c r="L21" s="703"/>
      <c r="M21" s="703">
        <f t="shared" si="4"/>
        <v>-20</v>
      </c>
      <c r="N21" s="703">
        <v>85</v>
      </c>
      <c r="O21" s="703">
        <v>105</v>
      </c>
      <c r="P21" s="545"/>
      <c r="Q21" s="545"/>
      <c r="R21" s="545"/>
    </row>
    <row r="22" spans="1:18" ht="12" customHeight="1">
      <c r="A22" s="552" t="s">
        <v>416</v>
      </c>
      <c r="B22" s="703">
        <v>506</v>
      </c>
      <c r="C22" s="702">
        <v>439</v>
      </c>
      <c r="D22" s="702">
        <v>15</v>
      </c>
      <c r="E22" s="702"/>
      <c r="F22" s="703">
        <f t="shared" si="5"/>
        <v>454</v>
      </c>
      <c r="G22" s="703">
        <f t="shared" si="1"/>
        <v>52</v>
      </c>
      <c r="H22" s="703">
        <v>-8</v>
      </c>
      <c r="I22" s="703">
        <f t="shared" si="6"/>
        <v>60</v>
      </c>
      <c r="J22" s="703">
        <f t="shared" si="2"/>
        <v>-60</v>
      </c>
      <c r="K22" s="778">
        <f t="shared" si="3"/>
        <v>-60</v>
      </c>
      <c r="L22" s="703"/>
      <c r="M22" s="703">
        <f t="shared" si="4"/>
        <v>-60</v>
      </c>
      <c r="N22" s="703">
        <v>174</v>
      </c>
      <c r="O22" s="703">
        <v>234</v>
      </c>
      <c r="P22" s="545"/>
      <c r="Q22" s="545"/>
      <c r="R22" s="545"/>
    </row>
    <row r="23" spans="1:18" ht="12" customHeight="1">
      <c r="A23" s="552" t="s">
        <v>417</v>
      </c>
      <c r="B23" s="703">
        <v>823</v>
      </c>
      <c r="C23" s="702">
        <v>636</v>
      </c>
      <c r="D23" s="702">
        <v>172</v>
      </c>
      <c r="E23" s="702"/>
      <c r="F23" s="703">
        <f t="shared" si="5"/>
        <v>808</v>
      </c>
      <c r="G23" s="703">
        <f t="shared" si="1"/>
        <v>15</v>
      </c>
      <c r="H23" s="703">
        <v>-20</v>
      </c>
      <c r="I23" s="703">
        <f t="shared" si="6"/>
        <v>35</v>
      </c>
      <c r="J23" s="703">
        <f t="shared" si="2"/>
        <v>-35</v>
      </c>
      <c r="K23" s="778">
        <f t="shared" si="3"/>
        <v>-35</v>
      </c>
      <c r="L23" s="703">
        <v>1</v>
      </c>
      <c r="M23" s="703">
        <f t="shared" si="4"/>
        <v>-36</v>
      </c>
      <c r="N23" s="703">
        <v>144</v>
      </c>
      <c r="O23" s="703">
        <v>180</v>
      </c>
      <c r="P23" s="545"/>
      <c r="Q23" s="545"/>
      <c r="R23" s="545"/>
    </row>
    <row r="24" spans="1:18" ht="12.75">
      <c r="A24" s="552" t="s">
        <v>418</v>
      </c>
      <c r="B24" s="703">
        <v>589</v>
      </c>
      <c r="C24" s="702">
        <v>483</v>
      </c>
      <c r="D24" s="702">
        <v>134</v>
      </c>
      <c r="E24" s="702"/>
      <c r="F24" s="703">
        <f t="shared" si="5"/>
        <v>617</v>
      </c>
      <c r="G24" s="703">
        <f t="shared" si="1"/>
        <v>-28</v>
      </c>
      <c r="H24" s="703"/>
      <c r="I24" s="703">
        <f t="shared" si="6"/>
        <v>-28</v>
      </c>
      <c r="J24" s="703">
        <f t="shared" si="2"/>
        <v>28</v>
      </c>
      <c r="K24" s="778">
        <f t="shared" si="3"/>
        <v>28</v>
      </c>
      <c r="L24" s="703"/>
      <c r="M24" s="703">
        <f t="shared" si="4"/>
        <v>28</v>
      </c>
      <c r="N24" s="703">
        <v>99</v>
      </c>
      <c r="O24" s="703">
        <v>71</v>
      </c>
      <c r="P24" s="545"/>
      <c r="Q24" s="545"/>
      <c r="R24" s="545"/>
    </row>
    <row r="25" spans="1:18" ht="12" customHeight="1">
      <c r="A25" s="552" t="s">
        <v>419</v>
      </c>
      <c r="B25" s="703">
        <v>341</v>
      </c>
      <c r="C25" s="702">
        <v>315</v>
      </c>
      <c r="D25" s="702">
        <v>141</v>
      </c>
      <c r="E25" s="702"/>
      <c r="F25" s="703">
        <f t="shared" si="5"/>
        <v>456</v>
      </c>
      <c r="G25" s="703">
        <f t="shared" si="1"/>
        <v>-115</v>
      </c>
      <c r="H25" s="703">
        <v>2</v>
      </c>
      <c r="I25" s="703">
        <f t="shared" si="6"/>
        <v>-117</v>
      </c>
      <c r="J25" s="703">
        <f t="shared" si="2"/>
        <v>117</v>
      </c>
      <c r="K25" s="778">
        <f t="shared" si="3"/>
        <v>117</v>
      </c>
      <c r="L25" s="703"/>
      <c r="M25" s="703">
        <f t="shared" si="4"/>
        <v>117</v>
      </c>
      <c r="N25" s="703">
        <v>227</v>
      </c>
      <c r="O25" s="703">
        <v>110</v>
      </c>
      <c r="P25" s="545"/>
      <c r="Q25" s="545"/>
      <c r="R25" s="545"/>
    </row>
    <row r="26" spans="1:18" ht="12" customHeight="1">
      <c r="A26" s="552" t="s">
        <v>420</v>
      </c>
      <c r="B26" s="703">
        <v>298</v>
      </c>
      <c r="C26" s="702">
        <v>339</v>
      </c>
      <c r="D26" s="702">
        <v>10</v>
      </c>
      <c r="E26" s="702"/>
      <c r="F26" s="703">
        <f t="shared" si="5"/>
        <v>349</v>
      </c>
      <c r="G26" s="703">
        <f t="shared" si="1"/>
        <v>-51</v>
      </c>
      <c r="H26" s="703">
        <v>-5</v>
      </c>
      <c r="I26" s="703">
        <f t="shared" si="6"/>
        <v>-46</v>
      </c>
      <c r="J26" s="703">
        <f t="shared" si="2"/>
        <v>46</v>
      </c>
      <c r="K26" s="778">
        <f t="shared" si="3"/>
        <v>46</v>
      </c>
      <c r="L26" s="703"/>
      <c r="M26" s="703">
        <f t="shared" si="4"/>
        <v>46</v>
      </c>
      <c r="N26" s="703">
        <v>135</v>
      </c>
      <c r="O26" s="703">
        <v>89</v>
      </c>
      <c r="P26" s="545"/>
      <c r="Q26" s="545"/>
      <c r="R26" s="545"/>
    </row>
    <row r="27" spans="1:18" ht="12" customHeight="1">
      <c r="A27" s="552" t="s">
        <v>421</v>
      </c>
      <c r="B27" s="703">
        <v>355</v>
      </c>
      <c r="C27" s="702">
        <v>334</v>
      </c>
      <c r="D27" s="702">
        <v>11</v>
      </c>
      <c r="E27" s="702"/>
      <c r="F27" s="703">
        <f t="shared" si="5"/>
        <v>345</v>
      </c>
      <c r="G27" s="703">
        <f t="shared" si="1"/>
        <v>10</v>
      </c>
      <c r="H27" s="703">
        <v>-17</v>
      </c>
      <c r="I27" s="703">
        <f t="shared" si="6"/>
        <v>27</v>
      </c>
      <c r="J27" s="703">
        <f t="shared" si="2"/>
        <v>-27</v>
      </c>
      <c r="K27" s="778">
        <f t="shared" si="3"/>
        <v>-27</v>
      </c>
      <c r="L27" s="703"/>
      <c r="M27" s="703">
        <f t="shared" si="4"/>
        <v>-7</v>
      </c>
      <c r="N27" s="703">
        <v>112</v>
      </c>
      <c r="O27" s="703">
        <v>119</v>
      </c>
      <c r="P27" s="545">
        <v>-20</v>
      </c>
      <c r="Q27" s="545"/>
      <c r="R27" s="545"/>
    </row>
    <row r="28" spans="1:18" ht="12" customHeight="1">
      <c r="A28" s="552" t="s">
        <v>422</v>
      </c>
      <c r="B28" s="703">
        <v>578</v>
      </c>
      <c r="C28" s="702">
        <v>427</v>
      </c>
      <c r="D28" s="702">
        <v>154</v>
      </c>
      <c r="E28" s="702"/>
      <c r="F28" s="703">
        <f t="shared" si="5"/>
        <v>581</v>
      </c>
      <c r="G28" s="703">
        <f t="shared" si="1"/>
        <v>-3</v>
      </c>
      <c r="H28" s="703">
        <v>-31</v>
      </c>
      <c r="I28" s="703">
        <f t="shared" si="6"/>
        <v>28</v>
      </c>
      <c r="J28" s="703">
        <f t="shared" si="2"/>
        <v>-28</v>
      </c>
      <c r="K28" s="778">
        <f t="shared" si="3"/>
        <v>-28</v>
      </c>
      <c r="L28" s="703">
        <v>1</v>
      </c>
      <c r="M28" s="703">
        <f t="shared" si="4"/>
        <v>-28</v>
      </c>
      <c r="N28" s="703">
        <v>112</v>
      </c>
      <c r="O28" s="703">
        <v>140</v>
      </c>
      <c r="P28" s="545"/>
      <c r="Q28" s="545">
        <v>-1</v>
      </c>
      <c r="R28" s="545"/>
    </row>
    <row r="29" spans="1:18" ht="12.75">
      <c r="A29" s="552" t="s">
        <v>423</v>
      </c>
      <c r="B29" s="703">
        <v>480</v>
      </c>
      <c r="C29" s="702">
        <v>472</v>
      </c>
      <c r="D29" s="702">
        <v>12</v>
      </c>
      <c r="E29" s="702"/>
      <c r="F29" s="703">
        <f t="shared" si="5"/>
        <v>484</v>
      </c>
      <c r="G29" s="703">
        <f t="shared" si="1"/>
        <v>-4</v>
      </c>
      <c r="H29" s="703">
        <v>2</v>
      </c>
      <c r="I29" s="703">
        <f t="shared" si="6"/>
        <v>-6</v>
      </c>
      <c r="J29" s="703">
        <f t="shared" si="2"/>
        <v>6</v>
      </c>
      <c r="K29" s="778">
        <f t="shared" si="3"/>
        <v>6</v>
      </c>
      <c r="L29" s="703">
        <v>-1</v>
      </c>
      <c r="M29" s="703">
        <f t="shared" si="4"/>
        <v>7</v>
      </c>
      <c r="N29" s="703">
        <v>134</v>
      </c>
      <c r="O29" s="703">
        <v>127</v>
      </c>
      <c r="P29" s="545"/>
      <c r="Q29" s="545"/>
      <c r="R29" s="545"/>
    </row>
    <row r="30" spans="1:18" ht="12" customHeight="1">
      <c r="A30" s="552" t="s">
        <v>424</v>
      </c>
      <c r="B30" s="703">
        <v>454</v>
      </c>
      <c r="C30" s="702">
        <v>426</v>
      </c>
      <c r="D30" s="702">
        <v>142</v>
      </c>
      <c r="E30" s="702"/>
      <c r="F30" s="703">
        <f t="shared" si="5"/>
        <v>568</v>
      </c>
      <c r="G30" s="703">
        <f t="shared" si="1"/>
        <v>-114</v>
      </c>
      <c r="H30" s="703">
        <v>13</v>
      </c>
      <c r="I30" s="703">
        <f t="shared" si="6"/>
        <v>-127</v>
      </c>
      <c r="J30" s="703">
        <f t="shared" si="2"/>
        <v>127</v>
      </c>
      <c r="K30" s="778">
        <f t="shared" si="3"/>
        <v>127</v>
      </c>
      <c r="L30" s="703">
        <v>-17</v>
      </c>
      <c r="M30" s="703">
        <f t="shared" si="4"/>
        <v>144</v>
      </c>
      <c r="N30" s="703">
        <v>287</v>
      </c>
      <c r="O30" s="703">
        <v>143</v>
      </c>
      <c r="P30" s="545"/>
      <c r="Q30" s="545"/>
      <c r="R30" s="545"/>
    </row>
    <row r="31" spans="1:18" ht="12" customHeight="1">
      <c r="A31" s="552" t="s">
        <v>425</v>
      </c>
      <c r="B31" s="703">
        <v>600</v>
      </c>
      <c r="C31" s="702">
        <v>517</v>
      </c>
      <c r="D31" s="702">
        <v>69</v>
      </c>
      <c r="E31" s="702"/>
      <c r="F31" s="703">
        <f t="shared" si="5"/>
        <v>586</v>
      </c>
      <c r="G31" s="703">
        <f t="shared" si="1"/>
        <v>14</v>
      </c>
      <c r="H31" s="703">
        <v>48</v>
      </c>
      <c r="I31" s="703">
        <f t="shared" si="6"/>
        <v>-34</v>
      </c>
      <c r="J31" s="703">
        <f t="shared" si="2"/>
        <v>34</v>
      </c>
      <c r="K31" s="778">
        <f t="shared" si="3"/>
        <v>34</v>
      </c>
      <c r="L31" s="703">
        <v>6</v>
      </c>
      <c r="M31" s="703">
        <f t="shared" si="4"/>
        <v>58</v>
      </c>
      <c r="N31" s="703">
        <v>228</v>
      </c>
      <c r="O31" s="703">
        <v>170</v>
      </c>
      <c r="P31" s="545">
        <v>-30</v>
      </c>
      <c r="Q31" s="545"/>
      <c r="R31" s="545"/>
    </row>
    <row r="32" spans="1:18" ht="12" customHeight="1">
      <c r="A32" s="552" t="s">
        <v>426</v>
      </c>
      <c r="B32" s="703">
        <v>653</v>
      </c>
      <c r="C32" s="702">
        <v>573</v>
      </c>
      <c r="D32" s="702">
        <v>33</v>
      </c>
      <c r="E32" s="702"/>
      <c r="F32" s="703">
        <f t="shared" si="5"/>
        <v>606</v>
      </c>
      <c r="G32" s="703">
        <f t="shared" si="1"/>
        <v>47</v>
      </c>
      <c r="H32" s="703">
        <v>14</v>
      </c>
      <c r="I32" s="703">
        <f t="shared" si="6"/>
        <v>33</v>
      </c>
      <c r="J32" s="703">
        <f t="shared" si="2"/>
        <v>-33</v>
      </c>
      <c r="K32" s="778">
        <f t="shared" si="3"/>
        <v>-33</v>
      </c>
      <c r="L32" s="703"/>
      <c r="M32" s="703">
        <f t="shared" si="4"/>
        <v>-33</v>
      </c>
      <c r="N32" s="703">
        <v>145</v>
      </c>
      <c r="O32" s="703">
        <v>178</v>
      </c>
      <c r="P32" s="545"/>
      <c r="Q32" s="545"/>
      <c r="R32" s="545"/>
    </row>
    <row r="33" spans="1:18" ht="12" customHeight="1">
      <c r="A33" s="552" t="s">
        <v>427</v>
      </c>
      <c r="B33" s="703">
        <v>421</v>
      </c>
      <c r="C33" s="702">
        <v>403</v>
      </c>
      <c r="D33" s="702">
        <v>6</v>
      </c>
      <c r="E33" s="702"/>
      <c r="F33" s="703">
        <f t="shared" si="5"/>
        <v>409</v>
      </c>
      <c r="G33" s="703">
        <f t="shared" si="1"/>
        <v>12</v>
      </c>
      <c r="H33" s="703">
        <v>3</v>
      </c>
      <c r="I33" s="703">
        <f t="shared" si="6"/>
        <v>9</v>
      </c>
      <c r="J33" s="703">
        <f t="shared" si="2"/>
        <v>-9</v>
      </c>
      <c r="K33" s="778">
        <f t="shared" si="3"/>
        <v>-9</v>
      </c>
      <c r="L33" s="703">
        <v>1</v>
      </c>
      <c r="M33" s="703">
        <f t="shared" si="4"/>
        <v>-10</v>
      </c>
      <c r="N33" s="703">
        <v>134</v>
      </c>
      <c r="O33" s="703">
        <v>144</v>
      </c>
      <c r="P33" s="545"/>
      <c r="Q33" s="545"/>
      <c r="R33" s="545"/>
    </row>
    <row r="34" spans="1:18" ht="12" customHeight="1">
      <c r="A34" s="552" t="s">
        <v>428</v>
      </c>
      <c r="B34" s="545">
        <v>589</v>
      </c>
      <c r="C34" s="702">
        <v>517</v>
      </c>
      <c r="D34" s="702">
        <v>36</v>
      </c>
      <c r="E34" s="702"/>
      <c r="F34" s="703">
        <f t="shared" si="5"/>
        <v>553</v>
      </c>
      <c r="G34" s="703">
        <f t="shared" si="1"/>
        <v>36</v>
      </c>
      <c r="H34" s="703">
        <v>2</v>
      </c>
      <c r="I34" s="703">
        <f t="shared" si="6"/>
        <v>34</v>
      </c>
      <c r="J34" s="703">
        <f t="shared" si="2"/>
        <v>-34</v>
      </c>
      <c r="K34" s="778">
        <f t="shared" si="3"/>
        <v>-34</v>
      </c>
      <c r="L34" s="703"/>
      <c r="M34" s="703">
        <f t="shared" si="4"/>
        <v>-34</v>
      </c>
      <c r="N34" s="703">
        <v>130</v>
      </c>
      <c r="O34" s="703">
        <v>164</v>
      </c>
      <c r="P34" s="545"/>
      <c r="Q34" s="545"/>
      <c r="R34" s="545"/>
    </row>
    <row r="35" spans="1:18" ht="12" customHeight="1">
      <c r="A35" s="552" t="s">
        <v>429</v>
      </c>
      <c r="B35" s="545">
        <v>506</v>
      </c>
      <c r="C35" s="702">
        <v>462</v>
      </c>
      <c r="D35" s="702">
        <v>38</v>
      </c>
      <c r="E35" s="702"/>
      <c r="F35" s="703">
        <f t="shared" si="5"/>
        <v>500</v>
      </c>
      <c r="G35" s="703">
        <f t="shared" si="1"/>
        <v>6</v>
      </c>
      <c r="H35" s="703">
        <v>1</v>
      </c>
      <c r="I35" s="703">
        <f t="shared" si="6"/>
        <v>5</v>
      </c>
      <c r="J35" s="703">
        <f t="shared" si="2"/>
        <v>-5</v>
      </c>
      <c r="K35" s="778">
        <f t="shared" si="3"/>
        <v>-5</v>
      </c>
      <c r="L35" s="703"/>
      <c r="M35" s="703">
        <f t="shared" si="4"/>
        <v>-9</v>
      </c>
      <c r="N35" s="703">
        <v>219</v>
      </c>
      <c r="O35" s="703">
        <v>228</v>
      </c>
      <c r="P35" s="545"/>
      <c r="Q35" s="545">
        <v>4</v>
      </c>
      <c r="R35" s="545"/>
    </row>
    <row r="36" spans="1:18" ht="12" customHeight="1">
      <c r="A36" s="552" t="s">
        <v>430</v>
      </c>
      <c r="B36" s="545">
        <v>797</v>
      </c>
      <c r="C36" s="702">
        <v>754</v>
      </c>
      <c r="D36" s="702">
        <v>123</v>
      </c>
      <c r="E36" s="702"/>
      <c r="F36" s="703">
        <f t="shared" si="5"/>
        <v>877</v>
      </c>
      <c r="G36" s="703">
        <f t="shared" si="1"/>
        <v>-80</v>
      </c>
      <c r="H36" s="703">
        <v>-3</v>
      </c>
      <c r="I36" s="703">
        <f t="shared" si="6"/>
        <v>-77</v>
      </c>
      <c r="J36" s="703">
        <f t="shared" si="2"/>
        <v>77</v>
      </c>
      <c r="K36" s="778">
        <f t="shared" si="3"/>
        <v>77</v>
      </c>
      <c r="L36" s="703">
        <v>-14</v>
      </c>
      <c r="M36" s="703">
        <f t="shared" si="4"/>
        <v>91</v>
      </c>
      <c r="N36" s="703">
        <v>191</v>
      </c>
      <c r="O36" s="703">
        <v>100</v>
      </c>
      <c r="P36" s="545"/>
      <c r="Q36" s="545"/>
      <c r="R36" s="545"/>
    </row>
    <row r="37" spans="1:18" ht="12" customHeight="1">
      <c r="A37" s="552" t="s">
        <v>431</v>
      </c>
      <c r="B37" s="545">
        <v>464</v>
      </c>
      <c r="C37" s="702">
        <v>429</v>
      </c>
      <c r="D37" s="702">
        <v>32</v>
      </c>
      <c r="E37" s="702"/>
      <c r="F37" s="703">
        <f t="shared" si="5"/>
        <v>461</v>
      </c>
      <c r="G37" s="703">
        <f t="shared" si="1"/>
        <v>3</v>
      </c>
      <c r="H37" s="703"/>
      <c r="I37" s="703">
        <f t="shared" si="6"/>
        <v>3</v>
      </c>
      <c r="J37" s="703">
        <f t="shared" si="2"/>
        <v>-3</v>
      </c>
      <c r="K37" s="778">
        <f t="shared" si="3"/>
        <v>-3</v>
      </c>
      <c r="L37" s="703"/>
      <c r="M37" s="703">
        <f t="shared" si="4"/>
        <v>-3</v>
      </c>
      <c r="N37" s="703">
        <v>128</v>
      </c>
      <c r="O37" s="703">
        <v>131</v>
      </c>
      <c r="P37" s="545"/>
      <c r="Q37" s="545"/>
      <c r="R37" s="545"/>
    </row>
    <row r="38" spans="1:18" ht="12" customHeight="1">
      <c r="A38" s="552" t="s">
        <v>432</v>
      </c>
      <c r="B38" s="545">
        <v>1482</v>
      </c>
      <c r="C38" s="702">
        <v>1276</v>
      </c>
      <c r="D38" s="702">
        <v>126</v>
      </c>
      <c r="E38" s="702"/>
      <c r="F38" s="703">
        <f t="shared" si="5"/>
        <v>1402</v>
      </c>
      <c r="G38" s="703">
        <f t="shared" si="1"/>
        <v>80</v>
      </c>
      <c r="H38" s="703">
        <v>-17</v>
      </c>
      <c r="I38" s="703">
        <f t="shared" si="6"/>
        <v>97</v>
      </c>
      <c r="J38" s="703">
        <f t="shared" si="2"/>
        <v>-97</v>
      </c>
      <c r="K38" s="778">
        <f t="shared" si="3"/>
        <v>-97</v>
      </c>
      <c r="L38" s="703"/>
      <c r="M38" s="703">
        <f t="shared" si="4"/>
        <v>-97</v>
      </c>
      <c r="N38" s="703">
        <v>371</v>
      </c>
      <c r="O38" s="703">
        <v>468</v>
      </c>
      <c r="P38" s="545"/>
      <c r="Q38" s="545"/>
      <c r="R38" s="545"/>
    </row>
    <row r="39" spans="1:18" ht="12" customHeight="1">
      <c r="A39" s="552" t="s">
        <v>433</v>
      </c>
      <c r="B39" s="545">
        <v>293</v>
      </c>
      <c r="C39" s="702">
        <v>216</v>
      </c>
      <c r="D39" s="702">
        <v>61</v>
      </c>
      <c r="E39" s="702"/>
      <c r="F39" s="703">
        <f t="shared" si="5"/>
        <v>277</v>
      </c>
      <c r="G39" s="703">
        <f t="shared" si="1"/>
        <v>16</v>
      </c>
      <c r="H39" s="703">
        <v>4</v>
      </c>
      <c r="I39" s="703">
        <f t="shared" si="6"/>
        <v>12</v>
      </c>
      <c r="J39" s="703">
        <f t="shared" si="2"/>
        <v>-12</v>
      </c>
      <c r="K39" s="778">
        <f t="shared" si="3"/>
        <v>-12</v>
      </c>
      <c r="L39" s="703">
        <v>3</v>
      </c>
      <c r="M39" s="703">
        <f t="shared" si="4"/>
        <v>-15</v>
      </c>
      <c r="N39" s="703">
        <v>155</v>
      </c>
      <c r="O39" s="703">
        <v>170</v>
      </c>
      <c r="P39" s="545"/>
      <c r="Q39" s="545"/>
      <c r="R39" s="545"/>
    </row>
    <row r="40" spans="1:18" ht="12" customHeight="1">
      <c r="A40" s="552" t="s">
        <v>434</v>
      </c>
      <c r="B40" s="545">
        <v>441</v>
      </c>
      <c r="C40" s="702">
        <v>334</v>
      </c>
      <c r="D40" s="702">
        <v>144</v>
      </c>
      <c r="E40" s="702"/>
      <c r="F40" s="703">
        <f t="shared" si="5"/>
        <v>478</v>
      </c>
      <c r="G40" s="703">
        <f t="shared" si="1"/>
        <v>-37</v>
      </c>
      <c r="H40" s="703">
        <v>26</v>
      </c>
      <c r="I40" s="703">
        <f t="shared" si="6"/>
        <v>-63</v>
      </c>
      <c r="J40" s="703">
        <f t="shared" si="2"/>
        <v>63</v>
      </c>
      <c r="K40" s="778">
        <f t="shared" si="3"/>
        <v>63</v>
      </c>
      <c r="L40" s="703"/>
      <c r="M40" s="703">
        <f t="shared" si="4"/>
        <v>63</v>
      </c>
      <c r="N40" s="703">
        <v>350</v>
      </c>
      <c r="O40" s="703">
        <v>287</v>
      </c>
      <c r="P40" s="545"/>
      <c r="Q40" s="545"/>
      <c r="R40" s="545"/>
    </row>
    <row r="41" spans="1:18" ht="12" customHeight="1">
      <c r="A41" s="552" t="s">
        <v>435</v>
      </c>
      <c r="B41" s="545">
        <v>550</v>
      </c>
      <c r="C41" s="65">
        <v>589</v>
      </c>
      <c r="D41" s="65">
        <v>85</v>
      </c>
      <c r="E41" s="65"/>
      <c r="F41" s="545">
        <f t="shared" si="5"/>
        <v>674</v>
      </c>
      <c r="G41" s="545">
        <f t="shared" si="1"/>
        <v>-124</v>
      </c>
      <c r="H41" s="545">
        <v>3</v>
      </c>
      <c r="I41" s="545">
        <f t="shared" si="6"/>
        <v>-127</v>
      </c>
      <c r="J41" s="545">
        <f t="shared" si="2"/>
        <v>127</v>
      </c>
      <c r="K41" s="415">
        <f t="shared" si="3"/>
        <v>127</v>
      </c>
      <c r="L41" s="545">
        <v>1</v>
      </c>
      <c r="M41" s="703">
        <f t="shared" si="4"/>
        <v>120</v>
      </c>
      <c r="N41" s="545">
        <v>448</v>
      </c>
      <c r="O41" s="545">
        <v>328</v>
      </c>
      <c r="P41" s="545"/>
      <c r="Q41" s="545">
        <v>6</v>
      </c>
      <c r="R41" s="545"/>
    </row>
    <row r="42" spans="1:18" ht="12" customHeight="1">
      <c r="A42" s="552" t="s">
        <v>436</v>
      </c>
      <c r="B42" s="545">
        <v>309</v>
      </c>
      <c r="C42" s="65">
        <v>261</v>
      </c>
      <c r="D42" s="65">
        <v>7</v>
      </c>
      <c r="E42" s="65"/>
      <c r="F42" s="545">
        <f t="shared" si="5"/>
        <v>268</v>
      </c>
      <c r="G42" s="545">
        <f t="shared" si="1"/>
        <v>41</v>
      </c>
      <c r="H42" s="545"/>
      <c r="I42" s="545">
        <f t="shared" si="6"/>
        <v>41</v>
      </c>
      <c r="J42" s="545">
        <f t="shared" si="2"/>
        <v>-41</v>
      </c>
      <c r="K42" s="415">
        <f t="shared" si="3"/>
        <v>-41</v>
      </c>
      <c r="L42" s="545">
        <v>4</v>
      </c>
      <c r="M42" s="703">
        <f t="shared" si="4"/>
        <v>-45</v>
      </c>
      <c r="N42" s="545">
        <v>82</v>
      </c>
      <c r="O42" s="545">
        <v>127</v>
      </c>
      <c r="P42" s="545"/>
      <c r="Q42" s="545"/>
      <c r="R42" s="545"/>
    </row>
    <row r="43" spans="1:18" ht="12" customHeight="1">
      <c r="A43" s="552" t="s">
        <v>437</v>
      </c>
      <c r="B43" s="545">
        <v>468</v>
      </c>
      <c r="C43" s="65">
        <v>311</v>
      </c>
      <c r="D43" s="65">
        <v>87</v>
      </c>
      <c r="E43" s="65"/>
      <c r="F43" s="545">
        <f t="shared" si="5"/>
        <v>398</v>
      </c>
      <c r="G43" s="545">
        <f t="shared" si="1"/>
        <v>70</v>
      </c>
      <c r="H43" s="545">
        <v>-6</v>
      </c>
      <c r="I43" s="545">
        <f t="shared" si="6"/>
        <v>76</v>
      </c>
      <c r="J43" s="545">
        <f t="shared" si="2"/>
        <v>-76</v>
      </c>
      <c r="K43" s="415">
        <f t="shared" si="3"/>
        <v>-76</v>
      </c>
      <c r="L43" s="545"/>
      <c r="M43" s="703">
        <f t="shared" si="4"/>
        <v>-76</v>
      </c>
      <c r="N43" s="545">
        <v>239</v>
      </c>
      <c r="O43" s="545">
        <v>315</v>
      </c>
      <c r="P43" s="545"/>
      <c r="Q43" s="545"/>
      <c r="R43" s="545"/>
    </row>
    <row r="44" spans="1:18" ht="12" customHeight="1">
      <c r="A44" s="552" t="s">
        <v>438</v>
      </c>
      <c r="B44" s="545">
        <v>302</v>
      </c>
      <c r="C44" s="65">
        <v>293</v>
      </c>
      <c r="D44" s="65">
        <v>22</v>
      </c>
      <c r="E44" s="65"/>
      <c r="F44" s="545">
        <f t="shared" si="5"/>
        <v>315</v>
      </c>
      <c r="G44" s="545">
        <f t="shared" si="1"/>
        <v>-13</v>
      </c>
      <c r="H44" s="545">
        <v>10</v>
      </c>
      <c r="I44" s="545">
        <f t="shared" si="6"/>
        <v>-23</v>
      </c>
      <c r="J44" s="545">
        <f t="shared" si="2"/>
        <v>23</v>
      </c>
      <c r="K44" s="415">
        <f t="shared" si="3"/>
        <v>23</v>
      </c>
      <c r="L44" s="545"/>
      <c r="M44" s="545">
        <f t="shared" si="4"/>
        <v>23</v>
      </c>
      <c r="N44" s="703">
        <v>149</v>
      </c>
      <c r="O44" s="545">
        <v>126</v>
      </c>
      <c r="P44" s="545"/>
      <c r="Q44" s="545"/>
      <c r="R44" s="545"/>
    </row>
    <row r="45" spans="1:18" ht="12" customHeight="1">
      <c r="A45" s="554" t="s">
        <v>439</v>
      </c>
      <c r="B45" s="545">
        <f>SUM(B19:B44)</f>
        <v>13331</v>
      </c>
      <c r="C45" s="545">
        <f>SUM(C19:C44)</f>
        <v>11731</v>
      </c>
      <c r="D45" s="545">
        <f>SUM(D19:D44)</f>
        <v>1680</v>
      </c>
      <c r="E45" s="545">
        <f>SUM(E19:E44)</f>
        <v>0</v>
      </c>
      <c r="F45" s="545">
        <f>SUM(C45:D45)</f>
        <v>13411</v>
      </c>
      <c r="G45" s="545">
        <f t="shared" si="1"/>
        <v>-80</v>
      </c>
      <c r="H45" s="545">
        <f>SUM(H19:H44)</f>
        <v>18</v>
      </c>
      <c r="I45" s="545">
        <f>SUM(I19:I44)</f>
        <v>-98</v>
      </c>
      <c r="J45" s="545">
        <f t="shared" si="2"/>
        <v>98</v>
      </c>
      <c r="K45" s="415">
        <f aca="true" t="shared" si="7" ref="K45:R45">SUM(K19:K44)</f>
        <v>98</v>
      </c>
      <c r="L45" s="545">
        <f t="shared" si="7"/>
        <v>-22</v>
      </c>
      <c r="M45" s="545">
        <f t="shared" si="7"/>
        <v>162</v>
      </c>
      <c r="N45" s="545">
        <f t="shared" si="7"/>
        <v>4733</v>
      </c>
      <c r="O45" s="545">
        <f t="shared" si="7"/>
        <v>4571</v>
      </c>
      <c r="P45" s="545">
        <f t="shared" si="7"/>
        <v>-50</v>
      </c>
      <c r="Q45" s="545">
        <f t="shared" si="7"/>
        <v>8</v>
      </c>
      <c r="R45" s="545">
        <f t="shared" si="7"/>
        <v>0</v>
      </c>
    </row>
    <row r="46" spans="1:18" ht="12" customHeight="1">
      <c r="A46" s="554" t="s">
        <v>440</v>
      </c>
      <c r="B46" s="545">
        <f aca="true" t="shared" si="8" ref="B46:H46">SUM(B18,B45)</f>
        <v>30580</v>
      </c>
      <c r="C46" s="545">
        <f t="shared" si="8"/>
        <v>20776</v>
      </c>
      <c r="D46" s="545">
        <f t="shared" si="8"/>
        <v>6756</v>
      </c>
      <c r="E46" s="545">
        <f t="shared" si="8"/>
        <v>0</v>
      </c>
      <c r="F46" s="545">
        <f t="shared" si="8"/>
        <v>27532</v>
      </c>
      <c r="G46" s="545">
        <f t="shared" si="8"/>
        <v>3048</v>
      </c>
      <c r="H46" s="545">
        <f t="shared" si="8"/>
        <v>-1686</v>
      </c>
      <c r="I46" s="545">
        <f>G46-H46</f>
        <v>4734</v>
      </c>
      <c r="J46" s="545">
        <f t="shared" si="2"/>
        <v>-4734</v>
      </c>
      <c r="K46" s="415">
        <f>SUM(K18,K45)</f>
        <v>-4734</v>
      </c>
      <c r="L46" s="545">
        <f>SUM(L18,L45)</f>
        <v>-22</v>
      </c>
      <c r="M46" s="545">
        <f>N46-O46</f>
        <v>-4670</v>
      </c>
      <c r="N46" s="545">
        <f>SUM(N18,N45)</f>
        <v>17428</v>
      </c>
      <c r="O46" s="545">
        <f>SUM(O18,O45)</f>
        <v>22098</v>
      </c>
      <c r="P46" s="545">
        <f>SUM(P18,P45)</f>
        <v>-50</v>
      </c>
      <c r="Q46" s="545">
        <f>SUM(Q18,Q45)</f>
        <v>8</v>
      </c>
      <c r="R46" s="545">
        <f>SUM(R18,R45)</f>
        <v>0</v>
      </c>
    </row>
    <row r="47" spans="1:18" ht="17.25" customHeight="1">
      <c r="A47" s="556"/>
      <c r="B47" s="557"/>
      <c r="C47" s="557"/>
      <c r="D47" s="557"/>
      <c r="E47" s="557"/>
      <c r="F47" s="557"/>
      <c r="G47" s="557"/>
      <c r="H47" s="557"/>
      <c r="I47" s="557"/>
      <c r="J47" s="557"/>
      <c r="K47" s="779"/>
      <c r="L47" s="557"/>
      <c r="M47" s="557"/>
      <c r="N47" s="557"/>
      <c r="O47" s="557"/>
      <c r="P47" s="557"/>
      <c r="Q47" s="557"/>
      <c r="R47" s="557"/>
    </row>
    <row r="48" spans="1:18" ht="17.25" customHeight="1">
      <c r="A48" s="548"/>
      <c r="B48" s="457"/>
      <c r="C48" s="457"/>
      <c r="D48" s="457"/>
      <c r="E48" s="457"/>
      <c r="F48" s="457"/>
      <c r="G48" s="457"/>
      <c r="H48" s="457"/>
      <c r="I48" s="457"/>
      <c r="J48" s="457"/>
      <c r="K48" s="780"/>
      <c r="L48" s="457"/>
      <c r="M48" s="457"/>
      <c r="N48" s="457"/>
      <c r="O48" s="457"/>
      <c r="P48" s="457"/>
      <c r="Q48" s="457"/>
      <c r="R48" s="457"/>
    </row>
    <row r="50" spans="1:12" ht="17.25" customHeight="1">
      <c r="A50" s="41" t="s">
        <v>639</v>
      </c>
      <c r="B50" s="3"/>
      <c r="C50" s="3"/>
      <c r="F50" s="558"/>
      <c r="H50" s="457"/>
      <c r="J50" s="457"/>
      <c r="K50" s="780"/>
      <c r="L50" s="39" t="s">
        <v>859</v>
      </c>
    </row>
    <row r="53" spans="1:18" ht="17.25" customHeight="1">
      <c r="A53" s="559"/>
      <c r="B53" s="457"/>
      <c r="C53" s="457"/>
      <c r="D53" s="457"/>
      <c r="E53" s="457"/>
      <c r="F53" s="457"/>
      <c r="G53" s="457"/>
      <c r="H53" s="457"/>
      <c r="I53" s="457"/>
      <c r="J53" s="457"/>
      <c r="K53" s="780"/>
      <c r="L53" s="457"/>
      <c r="M53" s="457"/>
      <c r="N53" s="457"/>
      <c r="O53" s="457"/>
      <c r="P53" s="457"/>
      <c r="Q53" s="457"/>
      <c r="R53" s="457"/>
    </row>
    <row r="54" spans="2:18" ht="17.25" customHeight="1">
      <c r="B54" s="560"/>
      <c r="H54" s="560"/>
      <c r="I54" s="560"/>
      <c r="J54" s="560"/>
      <c r="K54" s="782"/>
      <c r="L54" s="560"/>
      <c r="N54" s="561"/>
      <c r="O54" s="560"/>
      <c r="P54" s="560"/>
      <c r="Q54" s="560"/>
      <c r="R54" s="560"/>
    </row>
    <row r="55" spans="1:18" ht="17.25" customHeight="1">
      <c r="A55" s="482"/>
      <c r="B55" s="562"/>
      <c r="H55" s="561"/>
      <c r="I55" s="561"/>
      <c r="L55" s="561"/>
      <c r="M55" s="561"/>
      <c r="O55" s="457"/>
      <c r="P55" s="457"/>
      <c r="Q55" s="457"/>
      <c r="R55" s="457"/>
    </row>
    <row r="56" spans="1:18" ht="17.25" customHeight="1">
      <c r="A56" s="548"/>
      <c r="B56" s="562"/>
      <c r="H56" s="457"/>
      <c r="I56" s="457"/>
      <c r="J56" s="457"/>
      <c r="K56" s="780"/>
      <c r="L56" s="457"/>
      <c r="M56" s="560"/>
      <c r="N56" s="457"/>
      <c r="O56" s="457"/>
      <c r="P56" s="457"/>
      <c r="Q56" s="457"/>
      <c r="R56" s="457"/>
    </row>
    <row r="57" spans="1:18" ht="12.75">
      <c r="A57" s="237" t="s">
        <v>61</v>
      </c>
      <c r="B57" s="563"/>
      <c r="C57" s="563"/>
      <c r="D57" s="563"/>
      <c r="E57" s="457"/>
      <c r="F57" s="457"/>
      <c r="G57" s="457"/>
      <c r="H57" s="457"/>
      <c r="I57" s="457"/>
      <c r="J57" s="457"/>
      <c r="K57" s="780"/>
      <c r="L57" s="457"/>
      <c r="M57" s="457"/>
      <c r="N57" s="457"/>
      <c r="O57" s="457"/>
      <c r="P57" s="457"/>
      <c r="Q57" s="457"/>
      <c r="R57" s="457"/>
    </row>
    <row r="58" spans="1:18" ht="12.75">
      <c r="A58" s="237" t="s">
        <v>116</v>
      </c>
      <c r="M58" s="457"/>
      <c r="N58" s="457"/>
      <c r="O58" s="457"/>
      <c r="P58" s="457"/>
      <c r="Q58" s="457"/>
      <c r="R58" s="457"/>
    </row>
    <row r="60" ht="17.25" customHeight="1">
      <c r="E60" s="563"/>
    </row>
    <row r="67" spans="2:18" ht="17.25" customHeight="1">
      <c r="B67" s="237"/>
      <c r="C67" s="237"/>
      <c r="D67" s="237"/>
      <c r="E67" s="237"/>
      <c r="F67" s="237"/>
      <c r="G67" s="237"/>
      <c r="H67" s="237"/>
      <c r="I67" s="237"/>
      <c r="J67" s="237"/>
      <c r="K67" s="783"/>
      <c r="L67" s="237"/>
      <c r="M67" s="237"/>
      <c r="N67" s="237"/>
      <c r="O67" s="237"/>
      <c r="P67" s="237"/>
      <c r="Q67" s="237"/>
      <c r="R67" s="237"/>
    </row>
  </sheetData>
  <mergeCells count="9">
    <mergeCell ref="A7:A9"/>
    <mergeCell ref="B7:B9"/>
    <mergeCell ref="C7:F8"/>
    <mergeCell ref="G7:G9"/>
    <mergeCell ref="H7:H9"/>
    <mergeCell ref="I7:I9"/>
    <mergeCell ref="J7:J9"/>
    <mergeCell ref="R7:R9"/>
    <mergeCell ref="L8:Q8"/>
  </mergeCells>
  <printOptions/>
  <pageMargins left="0.75" right="0.25" top="1" bottom="1" header="0.5" footer="0.5"/>
  <pageSetup firstPageNumber="40" useFirstPageNumber="1" horizontalDpi="600" verticalDpi="600" orientation="landscape" paperSize="9" scale="93" r:id="rId1"/>
  <headerFooter alignWithMargins="0">
    <oddFooter>&amp;R&amp;9&amp;P</oddFooter>
  </headerFooter>
  <rowBreaks count="1" manualBreakCount="1">
    <brk id="30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1">
      <selection activeCell="A4" sqref="A4:P4"/>
    </sheetView>
  </sheetViews>
  <sheetFormatPr defaultColWidth="9.140625" defaultRowHeight="17.25" customHeight="1"/>
  <cols>
    <col min="1" max="1" width="18.421875" style="474" customWidth="1"/>
    <col min="2" max="2" width="7.28125" style="453" customWidth="1"/>
    <col min="3" max="3" width="10.00390625" style="453" customWidth="1"/>
    <col min="4" max="4" width="6.7109375" style="453" customWidth="1"/>
    <col min="5" max="5" width="6.140625" style="453" customWidth="1"/>
    <col min="6" max="6" width="13.57421875" style="453" customWidth="1"/>
    <col min="7" max="7" width="7.8515625" style="453" customWidth="1"/>
    <col min="8" max="8" width="9.00390625" style="453" customWidth="1"/>
    <col min="9" max="9" width="7.28125" style="453" customWidth="1"/>
    <col min="10" max="10" width="10.57421875" style="453" customWidth="1"/>
    <col min="11" max="11" width="7.57421875" style="453" customWidth="1"/>
    <col min="12" max="13" width="7.28125" style="453" customWidth="1"/>
    <col min="14" max="14" width="8.00390625" style="453" customWidth="1"/>
    <col min="15" max="15" width="7.28125" style="453" customWidth="1"/>
    <col min="16" max="16" width="9.28125" style="453" customWidth="1"/>
    <col min="17" max="16384" width="9.140625" style="453" customWidth="1"/>
  </cols>
  <sheetData>
    <row r="1" spans="2:15" s="38" customFormat="1" ht="17.25" customHeight="1">
      <c r="B1" s="51"/>
      <c r="C1" s="51"/>
      <c r="D1" s="51"/>
      <c r="E1" s="51"/>
      <c r="F1" s="51"/>
      <c r="G1" s="51"/>
      <c r="H1" s="51"/>
      <c r="I1" s="51"/>
      <c r="J1" s="51"/>
      <c r="K1" s="87"/>
      <c r="O1" s="232" t="s">
        <v>490</v>
      </c>
    </row>
    <row r="2" spans="1:16" s="38" customFormat="1" ht="17.25" customHeight="1">
      <c r="A2" s="846" t="s">
        <v>475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</row>
    <row r="3" spans="1:12" s="49" customFormat="1" ht="17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32"/>
    </row>
    <row r="4" spans="1:16" s="538" customFormat="1" ht="17.25" customHeight="1">
      <c r="A4" s="847" t="s">
        <v>491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</row>
    <row r="5" spans="1:16" s="538" customFormat="1" ht="14.25" customHeight="1">
      <c r="A5" s="832" t="s">
        <v>98</v>
      </c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</row>
    <row r="6" spans="1:16" ht="17.25" customHeight="1">
      <c r="A6" s="564"/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 t="s">
        <v>60</v>
      </c>
    </row>
    <row r="7" spans="1:16" s="38" customFormat="1" ht="17.25" customHeight="1">
      <c r="A7" s="878" t="s">
        <v>477</v>
      </c>
      <c r="B7" s="878" t="s">
        <v>868</v>
      </c>
      <c r="C7" s="877" t="s">
        <v>394</v>
      </c>
      <c r="D7" s="886"/>
      <c r="E7" s="886"/>
      <c r="F7" s="878" t="s">
        <v>137</v>
      </c>
      <c r="G7" s="878" t="s">
        <v>492</v>
      </c>
      <c r="H7" s="878" t="s">
        <v>493</v>
      </c>
      <c r="I7" s="878" t="s">
        <v>494</v>
      </c>
      <c r="J7" s="565" t="s">
        <v>482</v>
      </c>
      <c r="K7" s="544"/>
      <c r="L7" s="544"/>
      <c r="M7" s="566"/>
      <c r="N7" s="544"/>
      <c r="O7" s="544"/>
      <c r="P7" s="878" t="s">
        <v>483</v>
      </c>
    </row>
    <row r="8" spans="1:16" s="49" customFormat="1" ht="17.25" customHeight="1">
      <c r="A8" s="887"/>
      <c r="B8" s="887"/>
      <c r="C8" s="886"/>
      <c r="D8" s="886"/>
      <c r="E8" s="886"/>
      <c r="F8" s="887"/>
      <c r="G8" s="887"/>
      <c r="H8" s="887"/>
      <c r="I8" s="887"/>
      <c r="J8" s="883" t="s">
        <v>398</v>
      </c>
      <c r="K8" s="884"/>
      <c r="L8" s="884"/>
      <c r="M8" s="884"/>
      <c r="N8" s="884"/>
      <c r="O8" s="885"/>
      <c r="P8" s="889"/>
    </row>
    <row r="9" spans="1:16" s="504" customFormat="1" ht="45">
      <c r="A9" s="888"/>
      <c r="B9" s="888"/>
      <c r="C9" s="9" t="s">
        <v>495</v>
      </c>
      <c r="D9" s="9" t="s">
        <v>485</v>
      </c>
      <c r="E9" s="9" t="s">
        <v>487</v>
      </c>
      <c r="F9" s="888"/>
      <c r="G9" s="888"/>
      <c r="H9" s="888"/>
      <c r="I9" s="888"/>
      <c r="J9" s="551" t="s">
        <v>668</v>
      </c>
      <c r="K9" s="551" t="s">
        <v>488</v>
      </c>
      <c r="L9" s="551" t="s">
        <v>400</v>
      </c>
      <c r="M9" s="551" t="s">
        <v>401</v>
      </c>
      <c r="N9" s="9" t="s">
        <v>496</v>
      </c>
      <c r="O9" s="9" t="s">
        <v>680</v>
      </c>
      <c r="P9" s="890"/>
    </row>
    <row r="10" spans="1:16" ht="12" customHeigh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38" customFormat="1" ht="12" customHeight="1">
      <c r="A11" s="552" t="s">
        <v>404</v>
      </c>
      <c r="B11" s="182">
        <v>718</v>
      </c>
      <c r="C11" s="182">
        <v>707</v>
      </c>
      <c r="D11" s="182">
        <v>28</v>
      </c>
      <c r="E11" s="182">
        <f aca="true" t="shared" si="0" ref="E11:E17">C11+D11</f>
        <v>735</v>
      </c>
      <c r="F11" s="182">
        <f aca="true" t="shared" si="1" ref="F11:F44">B11-E11</f>
        <v>-17</v>
      </c>
      <c r="G11" s="182"/>
      <c r="H11" s="182">
        <f aca="true" t="shared" si="2" ref="H11:H45">F11-G11</f>
        <v>-17</v>
      </c>
      <c r="I11" s="182">
        <f aca="true" t="shared" si="3" ref="I11:I45">J11+K11+N11+O11</f>
        <v>17</v>
      </c>
      <c r="J11" s="182"/>
      <c r="K11" s="182">
        <f aca="true" t="shared" si="4" ref="K11:K17">L11-M11</f>
        <v>17</v>
      </c>
      <c r="L11" s="182">
        <v>277</v>
      </c>
      <c r="M11" s="182">
        <v>260</v>
      </c>
      <c r="N11" s="182"/>
      <c r="O11" s="182"/>
      <c r="P11" s="182"/>
    </row>
    <row r="12" spans="1:16" ht="12" customHeight="1">
      <c r="A12" s="552" t="s">
        <v>405</v>
      </c>
      <c r="B12" s="182">
        <v>23</v>
      </c>
      <c r="C12" s="182">
        <v>28</v>
      </c>
      <c r="D12" s="182">
        <v>6</v>
      </c>
      <c r="E12" s="182">
        <f t="shared" si="0"/>
        <v>34</v>
      </c>
      <c r="F12" s="182">
        <f t="shared" si="1"/>
        <v>-11</v>
      </c>
      <c r="G12" s="182"/>
      <c r="H12" s="182">
        <f t="shared" si="2"/>
        <v>-11</v>
      </c>
      <c r="I12" s="182">
        <f t="shared" si="3"/>
        <v>11</v>
      </c>
      <c r="J12" s="182"/>
      <c r="K12" s="182">
        <f t="shared" si="4"/>
        <v>11</v>
      </c>
      <c r="L12" s="182">
        <v>16</v>
      </c>
      <c r="M12" s="182">
        <v>5</v>
      </c>
      <c r="N12" s="182"/>
      <c r="O12" s="182"/>
      <c r="P12" s="182"/>
    </row>
    <row r="13" spans="1:16" ht="12" customHeight="1">
      <c r="A13" s="552" t="s">
        <v>406</v>
      </c>
      <c r="B13" s="182">
        <v>56</v>
      </c>
      <c r="C13" s="182">
        <v>17</v>
      </c>
      <c r="D13" s="182">
        <v>44</v>
      </c>
      <c r="E13" s="182">
        <f t="shared" si="0"/>
        <v>61</v>
      </c>
      <c r="F13" s="182">
        <f t="shared" si="1"/>
        <v>-5</v>
      </c>
      <c r="G13" s="182"/>
      <c r="H13" s="182">
        <f t="shared" si="2"/>
        <v>-5</v>
      </c>
      <c r="I13" s="182">
        <f t="shared" si="3"/>
        <v>5</v>
      </c>
      <c r="J13" s="182"/>
      <c r="K13" s="182">
        <f t="shared" si="4"/>
        <v>5</v>
      </c>
      <c r="L13" s="182">
        <v>53</v>
      </c>
      <c r="M13" s="182">
        <v>48</v>
      </c>
      <c r="N13" s="182"/>
      <c r="O13" s="182"/>
      <c r="P13" s="182"/>
    </row>
    <row r="14" spans="1:16" ht="12" customHeight="1">
      <c r="A14" s="552" t="s">
        <v>407</v>
      </c>
      <c r="B14" s="182">
        <v>135</v>
      </c>
      <c r="C14" s="182">
        <v>28</v>
      </c>
      <c r="D14" s="182">
        <v>61</v>
      </c>
      <c r="E14" s="182">
        <f t="shared" si="0"/>
        <v>89</v>
      </c>
      <c r="F14" s="182">
        <f t="shared" si="1"/>
        <v>46</v>
      </c>
      <c r="G14" s="182"/>
      <c r="H14" s="182">
        <f t="shared" si="2"/>
        <v>46</v>
      </c>
      <c r="I14" s="182">
        <f t="shared" si="3"/>
        <v>-46</v>
      </c>
      <c r="J14" s="182"/>
      <c r="K14" s="182">
        <f t="shared" si="4"/>
        <v>-46</v>
      </c>
      <c r="L14" s="182">
        <v>65</v>
      </c>
      <c r="M14" s="182">
        <v>111</v>
      </c>
      <c r="N14" s="182"/>
      <c r="O14" s="182"/>
      <c r="P14" s="182"/>
    </row>
    <row r="15" spans="1:16" ht="12" customHeight="1">
      <c r="A15" s="552" t="s">
        <v>408</v>
      </c>
      <c r="B15" s="182">
        <v>28</v>
      </c>
      <c r="C15" s="182">
        <v>26</v>
      </c>
      <c r="D15" s="182">
        <v>2</v>
      </c>
      <c r="E15" s="182">
        <f t="shared" si="0"/>
        <v>28</v>
      </c>
      <c r="F15" s="182">
        <f t="shared" si="1"/>
        <v>0</v>
      </c>
      <c r="G15" s="182"/>
      <c r="H15" s="182">
        <f t="shared" si="2"/>
        <v>0</v>
      </c>
      <c r="I15" s="182">
        <f t="shared" si="3"/>
        <v>0</v>
      </c>
      <c r="J15" s="182"/>
      <c r="K15" s="182">
        <f t="shared" si="4"/>
        <v>0</v>
      </c>
      <c r="L15" s="182">
        <v>30</v>
      </c>
      <c r="M15" s="182">
        <v>30</v>
      </c>
      <c r="N15" s="182"/>
      <c r="O15" s="182"/>
      <c r="P15" s="182"/>
    </row>
    <row r="16" spans="1:16" ht="12" customHeight="1">
      <c r="A16" s="553" t="s">
        <v>409</v>
      </c>
      <c r="B16" s="182">
        <v>5</v>
      </c>
      <c r="C16" s="182">
        <v>5</v>
      </c>
      <c r="D16" s="182">
        <v>1</v>
      </c>
      <c r="E16" s="182">
        <f t="shared" si="0"/>
        <v>6</v>
      </c>
      <c r="F16" s="182">
        <f t="shared" si="1"/>
        <v>-1</v>
      </c>
      <c r="G16" s="182"/>
      <c r="H16" s="182">
        <f t="shared" si="2"/>
        <v>-1</v>
      </c>
      <c r="I16" s="182">
        <f t="shared" si="3"/>
        <v>1</v>
      </c>
      <c r="J16" s="182"/>
      <c r="K16" s="182">
        <f t="shared" si="4"/>
        <v>1</v>
      </c>
      <c r="L16" s="182">
        <v>4</v>
      </c>
      <c r="M16" s="182">
        <v>3</v>
      </c>
      <c r="N16" s="182"/>
      <c r="O16" s="182"/>
      <c r="P16" s="182"/>
    </row>
    <row r="17" spans="1:16" ht="12" customHeight="1">
      <c r="A17" s="552" t="s">
        <v>410</v>
      </c>
      <c r="B17" s="182">
        <v>2226</v>
      </c>
      <c r="C17" s="182">
        <v>967</v>
      </c>
      <c r="D17" s="182">
        <v>1820</v>
      </c>
      <c r="E17" s="182">
        <f t="shared" si="0"/>
        <v>2787</v>
      </c>
      <c r="F17" s="182">
        <f t="shared" si="1"/>
        <v>-561</v>
      </c>
      <c r="G17" s="182">
        <v>-873</v>
      </c>
      <c r="H17" s="182">
        <f t="shared" si="2"/>
        <v>312</v>
      </c>
      <c r="I17" s="182">
        <f t="shared" si="3"/>
        <v>-312</v>
      </c>
      <c r="J17" s="182"/>
      <c r="K17" s="182">
        <f t="shared" si="4"/>
        <v>-312</v>
      </c>
      <c r="L17" s="182">
        <v>1168</v>
      </c>
      <c r="M17" s="182">
        <v>1480</v>
      </c>
      <c r="N17" s="182"/>
      <c r="O17" s="182"/>
      <c r="P17" s="182"/>
    </row>
    <row r="18" spans="1:16" ht="12" customHeight="1">
      <c r="A18" s="387" t="s">
        <v>411</v>
      </c>
      <c r="B18" s="182">
        <f>SUM(B11:B17)</f>
        <v>3191</v>
      </c>
      <c r="C18" s="182">
        <f>SUM(C11:C17)</f>
        <v>1778</v>
      </c>
      <c r="D18" s="182">
        <f>SUM(D11:D17)</f>
        <v>1962</v>
      </c>
      <c r="E18" s="182">
        <f>SUM(E11:E17)</f>
        <v>3740</v>
      </c>
      <c r="F18" s="182">
        <f t="shared" si="1"/>
        <v>-549</v>
      </c>
      <c r="G18" s="182">
        <f>SUM(G11:G17)</f>
        <v>-873</v>
      </c>
      <c r="H18" s="182">
        <f t="shared" si="2"/>
        <v>324</v>
      </c>
      <c r="I18" s="182">
        <f t="shared" si="3"/>
        <v>-324</v>
      </c>
      <c r="J18" s="182">
        <f aca="true" t="shared" si="5" ref="J18:P18">SUM(J11:J17)</f>
        <v>0</v>
      </c>
      <c r="K18" s="182">
        <f t="shared" si="5"/>
        <v>-324</v>
      </c>
      <c r="L18" s="182">
        <f t="shared" si="5"/>
        <v>1613</v>
      </c>
      <c r="M18" s="182">
        <f t="shared" si="5"/>
        <v>1937</v>
      </c>
      <c r="N18" s="182">
        <f t="shared" si="5"/>
        <v>0</v>
      </c>
      <c r="O18" s="182">
        <f t="shared" si="5"/>
        <v>0</v>
      </c>
      <c r="P18" s="182">
        <f t="shared" si="5"/>
        <v>0</v>
      </c>
    </row>
    <row r="19" spans="1:16" s="567" customFormat="1" ht="12" customHeight="1">
      <c r="A19" s="552" t="s">
        <v>413</v>
      </c>
      <c r="B19" s="182">
        <v>15</v>
      </c>
      <c r="C19" s="182">
        <v>14</v>
      </c>
      <c r="D19" s="182">
        <v>9</v>
      </c>
      <c r="E19" s="182">
        <f aca="true" t="shared" si="6" ref="E19:E44">C19+D19</f>
        <v>23</v>
      </c>
      <c r="F19" s="182">
        <f t="shared" si="1"/>
        <v>-8</v>
      </c>
      <c r="G19" s="182"/>
      <c r="H19" s="182">
        <f t="shared" si="2"/>
        <v>-8</v>
      </c>
      <c r="I19" s="182">
        <f t="shared" si="3"/>
        <v>8</v>
      </c>
      <c r="J19" s="182"/>
      <c r="K19" s="182">
        <f aca="true" t="shared" si="7" ref="K19:K44">L19-M19</f>
        <v>8</v>
      </c>
      <c r="L19" s="182">
        <v>15</v>
      </c>
      <c r="M19" s="182">
        <v>7</v>
      </c>
      <c r="N19" s="182"/>
      <c r="O19" s="182"/>
      <c r="P19" s="182"/>
    </row>
    <row r="20" spans="1:16" ht="12" customHeight="1">
      <c r="A20" s="552" t="s">
        <v>414</v>
      </c>
      <c r="B20" s="182">
        <v>10</v>
      </c>
      <c r="C20" s="182">
        <v>16</v>
      </c>
      <c r="D20" s="182">
        <v>6</v>
      </c>
      <c r="E20" s="182">
        <f t="shared" si="6"/>
        <v>22</v>
      </c>
      <c r="F20" s="182">
        <f t="shared" si="1"/>
        <v>-12</v>
      </c>
      <c r="G20" s="182"/>
      <c r="H20" s="182">
        <f t="shared" si="2"/>
        <v>-12</v>
      </c>
      <c r="I20" s="182">
        <f t="shared" si="3"/>
        <v>12</v>
      </c>
      <c r="J20" s="182"/>
      <c r="K20" s="182">
        <f t="shared" si="7"/>
        <v>12</v>
      </c>
      <c r="L20" s="182">
        <v>24</v>
      </c>
      <c r="M20" s="182">
        <v>12</v>
      </c>
      <c r="N20" s="182"/>
      <c r="O20" s="182"/>
      <c r="P20" s="182"/>
    </row>
    <row r="21" spans="1:16" ht="12" customHeight="1">
      <c r="A21" s="552" t="s">
        <v>415</v>
      </c>
      <c r="B21" s="182">
        <v>5</v>
      </c>
      <c r="C21" s="182">
        <v>2</v>
      </c>
      <c r="D21" s="182">
        <v>2</v>
      </c>
      <c r="E21" s="182">
        <f t="shared" si="6"/>
        <v>4</v>
      </c>
      <c r="F21" s="182">
        <f t="shared" si="1"/>
        <v>1</v>
      </c>
      <c r="G21" s="182"/>
      <c r="H21" s="182">
        <f t="shared" si="2"/>
        <v>1</v>
      </c>
      <c r="I21" s="182">
        <f t="shared" si="3"/>
        <v>-1</v>
      </c>
      <c r="J21" s="182"/>
      <c r="K21" s="182">
        <f t="shared" si="7"/>
        <v>-1</v>
      </c>
      <c r="L21" s="182">
        <v>0</v>
      </c>
      <c r="M21" s="182">
        <v>1</v>
      </c>
      <c r="N21" s="182"/>
      <c r="O21" s="182"/>
      <c r="P21" s="182"/>
    </row>
    <row r="22" spans="1:16" ht="12" customHeight="1">
      <c r="A22" s="552" t="s">
        <v>416</v>
      </c>
      <c r="B22" s="182">
        <v>6</v>
      </c>
      <c r="C22" s="182">
        <v>6</v>
      </c>
      <c r="D22" s="182">
        <v>3</v>
      </c>
      <c r="E22" s="182">
        <f t="shared" si="6"/>
        <v>9</v>
      </c>
      <c r="F22" s="182">
        <f t="shared" si="1"/>
        <v>-3</v>
      </c>
      <c r="G22" s="182"/>
      <c r="H22" s="182">
        <f t="shared" si="2"/>
        <v>-3</v>
      </c>
      <c r="I22" s="182">
        <f t="shared" si="3"/>
        <v>3</v>
      </c>
      <c r="J22" s="182"/>
      <c r="K22" s="182">
        <f t="shared" si="7"/>
        <v>3</v>
      </c>
      <c r="L22" s="182">
        <v>21</v>
      </c>
      <c r="M22" s="182">
        <v>18</v>
      </c>
      <c r="N22" s="182"/>
      <c r="O22" s="182"/>
      <c r="P22" s="182"/>
    </row>
    <row r="23" spans="1:16" ht="12" customHeight="1">
      <c r="A23" s="552" t="s">
        <v>417</v>
      </c>
      <c r="B23" s="182">
        <v>122</v>
      </c>
      <c r="C23" s="182">
        <v>97</v>
      </c>
      <c r="D23" s="182">
        <v>30</v>
      </c>
      <c r="E23" s="182">
        <f t="shared" si="6"/>
        <v>127</v>
      </c>
      <c r="F23" s="182">
        <f t="shared" si="1"/>
        <v>-5</v>
      </c>
      <c r="G23" s="182"/>
      <c r="H23" s="182">
        <f t="shared" si="2"/>
        <v>-5</v>
      </c>
      <c r="I23" s="182">
        <f t="shared" si="3"/>
        <v>5</v>
      </c>
      <c r="J23" s="182"/>
      <c r="K23" s="182">
        <f t="shared" si="7"/>
        <v>5</v>
      </c>
      <c r="L23" s="182">
        <v>31</v>
      </c>
      <c r="M23" s="182">
        <v>26</v>
      </c>
      <c r="N23" s="182"/>
      <c r="O23" s="182"/>
      <c r="P23" s="182"/>
    </row>
    <row r="24" spans="1:16" ht="12" customHeight="1">
      <c r="A24" s="552" t="s">
        <v>418</v>
      </c>
      <c r="B24" s="182">
        <v>13</v>
      </c>
      <c r="C24" s="182">
        <v>13</v>
      </c>
      <c r="D24" s="182">
        <v>2</v>
      </c>
      <c r="E24" s="182">
        <f t="shared" si="6"/>
        <v>15</v>
      </c>
      <c r="F24" s="182">
        <f t="shared" si="1"/>
        <v>-2</v>
      </c>
      <c r="G24" s="182"/>
      <c r="H24" s="182">
        <f t="shared" si="2"/>
        <v>-2</v>
      </c>
      <c r="I24" s="182">
        <f t="shared" si="3"/>
        <v>2</v>
      </c>
      <c r="J24" s="182"/>
      <c r="K24" s="182">
        <f t="shared" si="7"/>
        <v>2</v>
      </c>
      <c r="L24" s="182">
        <v>5</v>
      </c>
      <c r="M24" s="182">
        <v>3</v>
      </c>
      <c r="N24" s="182"/>
      <c r="O24" s="182"/>
      <c r="P24" s="182"/>
    </row>
    <row r="25" spans="1:16" ht="12" customHeight="1">
      <c r="A25" s="552" t="s">
        <v>419</v>
      </c>
      <c r="B25" s="182">
        <v>45</v>
      </c>
      <c r="C25" s="182">
        <v>44</v>
      </c>
      <c r="D25" s="182">
        <v>1</v>
      </c>
      <c r="E25" s="182">
        <f t="shared" si="6"/>
        <v>45</v>
      </c>
      <c r="F25" s="182">
        <f t="shared" si="1"/>
        <v>0</v>
      </c>
      <c r="G25" s="182"/>
      <c r="H25" s="182">
        <f t="shared" si="2"/>
        <v>0</v>
      </c>
      <c r="I25" s="182">
        <f t="shared" si="3"/>
        <v>0</v>
      </c>
      <c r="J25" s="182"/>
      <c r="K25" s="182">
        <f t="shared" si="7"/>
        <v>0</v>
      </c>
      <c r="L25" s="182">
        <v>7</v>
      </c>
      <c r="M25" s="182">
        <v>7</v>
      </c>
      <c r="N25" s="182"/>
      <c r="O25" s="182"/>
      <c r="P25" s="182"/>
    </row>
    <row r="26" spans="1:16" ht="12" customHeight="1">
      <c r="A26" s="552" t="s">
        <v>420</v>
      </c>
      <c r="B26" s="182">
        <v>12</v>
      </c>
      <c r="C26" s="182">
        <v>8</v>
      </c>
      <c r="D26" s="182">
        <v>1</v>
      </c>
      <c r="E26" s="182">
        <f t="shared" si="6"/>
        <v>9</v>
      </c>
      <c r="F26" s="182">
        <f t="shared" si="1"/>
        <v>3</v>
      </c>
      <c r="G26" s="182"/>
      <c r="H26" s="182">
        <f t="shared" si="2"/>
        <v>3</v>
      </c>
      <c r="I26" s="182">
        <f t="shared" si="3"/>
        <v>-3</v>
      </c>
      <c r="J26" s="182"/>
      <c r="K26" s="182">
        <f t="shared" si="7"/>
        <v>-3</v>
      </c>
      <c r="L26" s="182">
        <v>1</v>
      </c>
      <c r="M26" s="182">
        <v>4</v>
      </c>
      <c r="N26" s="182"/>
      <c r="O26" s="182"/>
      <c r="P26" s="182"/>
    </row>
    <row r="27" spans="1:16" ht="12" customHeight="1">
      <c r="A27" s="552" t="s">
        <v>421</v>
      </c>
      <c r="B27" s="182">
        <v>25</v>
      </c>
      <c r="C27" s="182">
        <v>8</v>
      </c>
      <c r="D27" s="182">
        <v>6</v>
      </c>
      <c r="E27" s="182">
        <f t="shared" si="6"/>
        <v>14</v>
      </c>
      <c r="F27" s="182">
        <f t="shared" si="1"/>
        <v>11</v>
      </c>
      <c r="G27" s="182"/>
      <c r="H27" s="182">
        <f t="shared" si="2"/>
        <v>11</v>
      </c>
      <c r="I27" s="182">
        <f t="shared" si="3"/>
        <v>-11</v>
      </c>
      <c r="J27" s="182"/>
      <c r="K27" s="182">
        <f t="shared" si="7"/>
        <v>-11</v>
      </c>
      <c r="L27" s="182">
        <v>1</v>
      </c>
      <c r="M27" s="182">
        <v>12</v>
      </c>
      <c r="N27" s="182"/>
      <c r="O27" s="182"/>
      <c r="P27" s="182"/>
    </row>
    <row r="28" spans="1:16" ht="12" customHeight="1">
      <c r="A28" s="552" t="s">
        <v>422</v>
      </c>
      <c r="B28" s="182">
        <v>30</v>
      </c>
      <c r="C28" s="182">
        <v>15</v>
      </c>
      <c r="D28" s="182">
        <v>11</v>
      </c>
      <c r="E28" s="182">
        <f t="shared" si="6"/>
        <v>26</v>
      </c>
      <c r="F28" s="182">
        <f t="shared" si="1"/>
        <v>4</v>
      </c>
      <c r="G28" s="182"/>
      <c r="H28" s="182">
        <f t="shared" si="2"/>
        <v>4</v>
      </c>
      <c r="I28" s="182">
        <f t="shared" si="3"/>
        <v>-4</v>
      </c>
      <c r="J28" s="182"/>
      <c r="K28" s="182">
        <f t="shared" si="7"/>
        <v>-4</v>
      </c>
      <c r="L28" s="182">
        <v>17</v>
      </c>
      <c r="M28" s="182">
        <v>21</v>
      </c>
      <c r="N28" s="182"/>
      <c r="O28" s="182"/>
      <c r="P28" s="182"/>
    </row>
    <row r="29" spans="1:16" ht="12" customHeight="1">
      <c r="A29" s="552" t="s">
        <v>423</v>
      </c>
      <c r="B29" s="182">
        <v>24</v>
      </c>
      <c r="C29" s="182">
        <v>22</v>
      </c>
      <c r="D29" s="182">
        <v>2</v>
      </c>
      <c r="E29" s="182">
        <f t="shared" si="6"/>
        <v>24</v>
      </c>
      <c r="F29" s="182">
        <f t="shared" si="1"/>
        <v>0</v>
      </c>
      <c r="G29" s="182"/>
      <c r="H29" s="182">
        <f t="shared" si="2"/>
        <v>0</v>
      </c>
      <c r="I29" s="182">
        <f t="shared" si="3"/>
        <v>0</v>
      </c>
      <c r="J29" s="182"/>
      <c r="K29" s="182">
        <f t="shared" si="7"/>
        <v>0</v>
      </c>
      <c r="L29" s="182">
        <v>1</v>
      </c>
      <c r="M29" s="182">
        <v>1</v>
      </c>
      <c r="N29" s="182"/>
      <c r="O29" s="182"/>
      <c r="P29" s="182"/>
    </row>
    <row r="30" spans="1:16" ht="12" customHeight="1">
      <c r="A30" s="552" t="s">
        <v>424</v>
      </c>
      <c r="B30" s="182">
        <v>15</v>
      </c>
      <c r="C30" s="182">
        <v>12</v>
      </c>
      <c r="D30" s="182"/>
      <c r="E30" s="182">
        <f t="shared" si="6"/>
        <v>12</v>
      </c>
      <c r="F30" s="182">
        <f t="shared" si="1"/>
        <v>3</v>
      </c>
      <c r="G30" s="182"/>
      <c r="H30" s="182">
        <f t="shared" si="2"/>
        <v>3</v>
      </c>
      <c r="I30" s="182">
        <f t="shared" si="3"/>
        <v>-3</v>
      </c>
      <c r="J30" s="182"/>
      <c r="K30" s="182">
        <f t="shared" si="7"/>
        <v>-3</v>
      </c>
      <c r="L30" s="182">
        <v>8</v>
      </c>
      <c r="M30" s="182">
        <v>11</v>
      </c>
      <c r="N30" s="182"/>
      <c r="O30" s="182"/>
      <c r="P30" s="182"/>
    </row>
    <row r="31" spans="1:16" ht="12" customHeight="1">
      <c r="A31" s="552" t="s">
        <v>425</v>
      </c>
      <c r="B31" s="182">
        <v>12</v>
      </c>
      <c r="C31" s="182">
        <v>4</v>
      </c>
      <c r="D31" s="182">
        <v>1</v>
      </c>
      <c r="E31" s="182">
        <f t="shared" si="6"/>
        <v>5</v>
      </c>
      <c r="F31" s="182">
        <f t="shared" si="1"/>
        <v>7</v>
      </c>
      <c r="G31" s="182"/>
      <c r="H31" s="182">
        <f t="shared" si="2"/>
        <v>7</v>
      </c>
      <c r="I31" s="182">
        <f t="shared" si="3"/>
        <v>-7</v>
      </c>
      <c r="J31" s="182"/>
      <c r="K31" s="182">
        <f t="shared" si="7"/>
        <v>-7</v>
      </c>
      <c r="L31" s="182">
        <v>2</v>
      </c>
      <c r="M31" s="182">
        <v>9</v>
      </c>
      <c r="N31" s="182"/>
      <c r="O31" s="182"/>
      <c r="P31" s="182"/>
    </row>
    <row r="32" spans="1:16" ht="12" customHeight="1">
      <c r="A32" s="552" t="s">
        <v>426</v>
      </c>
      <c r="B32" s="182">
        <v>16</v>
      </c>
      <c r="C32" s="182">
        <v>9</v>
      </c>
      <c r="D32" s="182">
        <v>3</v>
      </c>
      <c r="E32" s="182">
        <f t="shared" si="6"/>
        <v>12</v>
      </c>
      <c r="F32" s="182">
        <f t="shared" si="1"/>
        <v>4</v>
      </c>
      <c r="G32" s="182"/>
      <c r="H32" s="182">
        <f t="shared" si="2"/>
        <v>4</v>
      </c>
      <c r="I32" s="182">
        <f t="shared" si="3"/>
        <v>-4</v>
      </c>
      <c r="J32" s="182"/>
      <c r="K32" s="182">
        <f t="shared" si="7"/>
        <v>-4</v>
      </c>
      <c r="L32" s="182">
        <v>4</v>
      </c>
      <c r="M32" s="182">
        <v>8</v>
      </c>
      <c r="N32" s="182"/>
      <c r="O32" s="182"/>
      <c r="P32" s="182"/>
    </row>
    <row r="33" spans="1:16" ht="12" customHeight="1">
      <c r="A33" s="552" t="s">
        <v>427</v>
      </c>
      <c r="B33" s="182">
        <v>2</v>
      </c>
      <c r="C33" s="182">
        <v>2</v>
      </c>
      <c r="D33" s="182"/>
      <c r="E33" s="182">
        <f t="shared" si="6"/>
        <v>2</v>
      </c>
      <c r="F33" s="182">
        <f t="shared" si="1"/>
        <v>0</v>
      </c>
      <c r="G33" s="182"/>
      <c r="H33" s="182">
        <f t="shared" si="2"/>
        <v>0</v>
      </c>
      <c r="I33" s="182">
        <f t="shared" si="3"/>
        <v>0</v>
      </c>
      <c r="J33" s="182"/>
      <c r="K33" s="182">
        <f t="shared" si="7"/>
        <v>0</v>
      </c>
      <c r="L33" s="182">
        <v>3</v>
      </c>
      <c r="M33" s="182">
        <v>3</v>
      </c>
      <c r="N33" s="182"/>
      <c r="O33" s="182"/>
      <c r="P33" s="182"/>
    </row>
    <row r="34" spans="1:16" ht="12" customHeight="1">
      <c r="A34" s="552" t="s">
        <v>428</v>
      </c>
      <c r="B34" s="182">
        <v>27</v>
      </c>
      <c r="C34" s="182">
        <v>20</v>
      </c>
      <c r="D34" s="182">
        <v>6</v>
      </c>
      <c r="E34" s="182">
        <f t="shared" si="6"/>
        <v>26</v>
      </c>
      <c r="F34" s="182">
        <f t="shared" si="1"/>
        <v>1</v>
      </c>
      <c r="G34" s="182"/>
      <c r="H34" s="182">
        <f t="shared" si="2"/>
        <v>1</v>
      </c>
      <c r="I34" s="182">
        <f t="shared" si="3"/>
        <v>-1</v>
      </c>
      <c r="J34" s="182"/>
      <c r="K34" s="182">
        <f t="shared" si="7"/>
        <v>-1</v>
      </c>
      <c r="L34" s="182">
        <v>4</v>
      </c>
      <c r="M34" s="182">
        <v>5</v>
      </c>
      <c r="N34" s="182"/>
      <c r="O34" s="182"/>
      <c r="P34" s="182"/>
    </row>
    <row r="35" spans="1:16" ht="12" customHeight="1">
      <c r="A35" s="552" t="s">
        <v>429</v>
      </c>
      <c r="B35" s="182">
        <v>9</v>
      </c>
      <c r="C35" s="182">
        <v>8</v>
      </c>
      <c r="D35" s="182">
        <v>1</v>
      </c>
      <c r="E35" s="182">
        <f t="shared" si="6"/>
        <v>9</v>
      </c>
      <c r="F35" s="182">
        <f t="shared" si="1"/>
        <v>0</v>
      </c>
      <c r="G35" s="182"/>
      <c r="H35" s="182">
        <f t="shared" si="2"/>
        <v>0</v>
      </c>
      <c r="I35" s="182">
        <f t="shared" si="3"/>
        <v>0</v>
      </c>
      <c r="J35" s="182"/>
      <c r="K35" s="182">
        <f t="shared" si="7"/>
        <v>0</v>
      </c>
      <c r="L35" s="182">
        <v>4</v>
      </c>
      <c r="M35" s="182">
        <v>4</v>
      </c>
      <c r="N35" s="182"/>
      <c r="O35" s="182"/>
      <c r="P35" s="182"/>
    </row>
    <row r="36" spans="1:16" ht="12" customHeight="1">
      <c r="A36" s="552" t="s">
        <v>430</v>
      </c>
      <c r="B36" s="182">
        <v>17</v>
      </c>
      <c r="C36" s="182">
        <v>16</v>
      </c>
      <c r="D36" s="182">
        <v>9</v>
      </c>
      <c r="E36" s="182">
        <f t="shared" si="6"/>
        <v>25</v>
      </c>
      <c r="F36" s="182">
        <f t="shared" si="1"/>
        <v>-8</v>
      </c>
      <c r="G36" s="182"/>
      <c r="H36" s="182">
        <f t="shared" si="2"/>
        <v>-8</v>
      </c>
      <c r="I36" s="182">
        <f t="shared" si="3"/>
        <v>8</v>
      </c>
      <c r="J36" s="182"/>
      <c r="K36" s="182">
        <f t="shared" si="7"/>
        <v>8</v>
      </c>
      <c r="L36" s="182">
        <v>15</v>
      </c>
      <c r="M36" s="182">
        <v>7</v>
      </c>
      <c r="N36" s="182"/>
      <c r="O36" s="182"/>
      <c r="P36" s="182"/>
    </row>
    <row r="37" spans="1:16" ht="12" customHeight="1">
      <c r="A37" s="552" t="s">
        <v>431</v>
      </c>
      <c r="B37" s="182">
        <v>9</v>
      </c>
      <c r="C37" s="182">
        <v>5</v>
      </c>
      <c r="D37" s="182">
        <v>2</v>
      </c>
      <c r="E37" s="182">
        <f t="shared" si="6"/>
        <v>7</v>
      </c>
      <c r="F37" s="182">
        <f t="shared" si="1"/>
        <v>2</v>
      </c>
      <c r="G37" s="182"/>
      <c r="H37" s="182">
        <f t="shared" si="2"/>
        <v>2</v>
      </c>
      <c r="I37" s="182">
        <f t="shared" si="3"/>
        <v>-2</v>
      </c>
      <c r="J37" s="182"/>
      <c r="K37" s="182">
        <f t="shared" si="7"/>
        <v>-2</v>
      </c>
      <c r="L37" s="182">
        <v>1</v>
      </c>
      <c r="M37" s="182">
        <v>3</v>
      </c>
      <c r="N37" s="182"/>
      <c r="O37" s="182"/>
      <c r="P37" s="182"/>
    </row>
    <row r="38" spans="1:16" ht="12" customHeight="1">
      <c r="A38" s="552" t="s">
        <v>432</v>
      </c>
      <c r="B38" s="182">
        <v>67</v>
      </c>
      <c r="C38" s="182">
        <v>49</v>
      </c>
      <c r="D38" s="182">
        <v>13</v>
      </c>
      <c r="E38" s="182">
        <f t="shared" si="6"/>
        <v>62</v>
      </c>
      <c r="F38" s="182">
        <f t="shared" si="1"/>
        <v>5</v>
      </c>
      <c r="G38" s="182"/>
      <c r="H38" s="182">
        <f t="shared" si="2"/>
        <v>5</v>
      </c>
      <c r="I38" s="182">
        <f t="shared" si="3"/>
        <v>-5</v>
      </c>
      <c r="J38" s="182"/>
      <c r="K38" s="182">
        <f t="shared" si="7"/>
        <v>-5</v>
      </c>
      <c r="L38" s="182">
        <v>17</v>
      </c>
      <c r="M38" s="182">
        <v>22</v>
      </c>
      <c r="N38" s="182"/>
      <c r="O38" s="182"/>
      <c r="P38" s="182"/>
    </row>
    <row r="39" spans="1:16" ht="12" customHeight="1">
      <c r="A39" s="552" t="s">
        <v>433</v>
      </c>
      <c r="B39" s="182">
        <v>32</v>
      </c>
      <c r="C39" s="182">
        <v>23</v>
      </c>
      <c r="D39" s="182">
        <v>6</v>
      </c>
      <c r="E39" s="182">
        <f t="shared" si="6"/>
        <v>29</v>
      </c>
      <c r="F39" s="182">
        <f t="shared" si="1"/>
        <v>3</v>
      </c>
      <c r="G39" s="182"/>
      <c r="H39" s="182">
        <f t="shared" si="2"/>
        <v>3</v>
      </c>
      <c r="I39" s="182">
        <f t="shared" si="3"/>
        <v>-3</v>
      </c>
      <c r="J39" s="182"/>
      <c r="K39" s="182">
        <f t="shared" si="7"/>
        <v>-3</v>
      </c>
      <c r="L39" s="182">
        <v>3</v>
      </c>
      <c r="M39" s="182">
        <v>6</v>
      </c>
      <c r="N39" s="182"/>
      <c r="O39" s="182"/>
      <c r="P39" s="182"/>
    </row>
    <row r="40" spans="1:16" ht="12" customHeight="1">
      <c r="A40" s="552" t="s">
        <v>434</v>
      </c>
      <c r="B40" s="182">
        <v>70</v>
      </c>
      <c r="C40" s="182">
        <v>51</v>
      </c>
      <c r="D40" s="182">
        <v>10</v>
      </c>
      <c r="E40" s="182">
        <f t="shared" si="6"/>
        <v>61</v>
      </c>
      <c r="F40" s="182">
        <f t="shared" si="1"/>
        <v>9</v>
      </c>
      <c r="G40" s="182"/>
      <c r="H40" s="182">
        <f t="shared" si="2"/>
        <v>9</v>
      </c>
      <c r="I40" s="182">
        <f t="shared" si="3"/>
        <v>-9</v>
      </c>
      <c r="J40" s="182"/>
      <c r="K40" s="182">
        <f t="shared" si="7"/>
        <v>-9</v>
      </c>
      <c r="L40" s="182">
        <v>19</v>
      </c>
      <c r="M40" s="182">
        <v>28</v>
      </c>
      <c r="N40" s="182"/>
      <c r="O40" s="182"/>
      <c r="P40" s="182"/>
    </row>
    <row r="41" spans="1:16" ht="12" customHeight="1">
      <c r="A41" s="552" t="s">
        <v>435</v>
      </c>
      <c r="B41" s="182">
        <v>18</v>
      </c>
      <c r="C41" s="182">
        <v>24</v>
      </c>
      <c r="D41" s="182">
        <v>2</v>
      </c>
      <c r="E41" s="182">
        <f t="shared" si="6"/>
        <v>26</v>
      </c>
      <c r="F41" s="182">
        <f t="shared" si="1"/>
        <v>-8</v>
      </c>
      <c r="G41" s="182"/>
      <c r="H41" s="182">
        <f t="shared" si="2"/>
        <v>-8</v>
      </c>
      <c r="I41" s="182">
        <f t="shared" si="3"/>
        <v>8</v>
      </c>
      <c r="J41" s="182"/>
      <c r="K41" s="182">
        <f t="shared" si="7"/>
        <v>8</v>
      </c>
      <c r="L41" s="182">
        <v>11</v>
      </c>
      <c r="M41" s="182">
        <f>6-3</f>
        <v>3</v>
      </c>
      <c r="N41" s="182"/>
      <c r="O41" s="182"/>
      <c r="P41" s="182"/>
    </row>
    <row r="42" spans="1:16" ht="12" customHeight="1">
      <c r="A42" s="552" t="s">
        <v>436</v>
      </c>
      <c r="B42" s="182">
        <v>6</v>
      </c>
      <c r="C42" s="182">
        <v>5</v>
      </c>
      <c r="D42" s="182">
        <v>3</v>
      </c>
      <c r="E42" s="182">
        <f t="shared" si="6"/>
        <v>8</v>
      </c>
      <c r="F42" s="182">
        <f t="shared" si="1"/>
        <v>-2</v>
      </c>
      <c r="G42" s="182"/>
      <c r="H42" s="182">
        <f t="shared" si="2"/>
        <v>-2</v>
      </c>
      <c r="I42" s="182">
        <f t="shared" si="3"/>
        <v>2</v>
      </c>
      <c r="J42" s="182"/>
      <c r="K42" s="182">
        <f t="shared" si="7"/>
        <v>2</v>
      </c>
      <c r="L42" s="182">
        <v>7</v>
      </c>
      <c r="M42" s="182">
        <v>5</v>
      </c>
      <c r="N42" s="182"/>
      <c r="O42" s="182"/>
      <c r="P42" s="182"/>
    </row>
    <row r="43" spans="1:16" ht="12" customHeight="1">
      <c r="A43" s="552" t="s">
        <v>437</v>
      </c>
      <c r="B43" s="182">
        <v>46</v>
      </c>
      <c r="C43" s="182">
        <v>31</v>
      </c>
      <c r="D43" s="182">
        <v>9</v>
      </c>
      <c r="E43" s="182">
        <f t="shared" si="6"/>
        <v>40</v>
      </c>
      <c r="F43" s="182">
        <f t="shared" si="1"/>
        <v>6</v>
      </c>
      <c r="G43" s="182"/>
      <c r="H43" s="182">
        <f t="shared" si="2"/>
        <v>6</v>
      </c>
      <c r="I43" s="182">
        <f t="shared" si="3"/>
        <v>-6</v>
      </c>
      <c r="J43" s="182"/>
      <c r="K43" s="182">
        <f t="shared" si="7"/>
        <v>-6</v>
      </c>
      <c r="L43" s="182">
        <v>6</v>
      </c>
      <c r="M43" s="182">
        <v>12</v>
      </c>
      <c r="N43" s="182"/>
      <c r="O43" s="182"/>
      <c r="P43" s="182"/>
    </row>
    <row r="44" spans="1:16" ht="12" customHeight="1">
      <c r="A44" s="552" t="s">
        <v>438</v>
      </c>
      <c r="B44" s="182">
        <v>4</v>
      </c>
      <c r="C44" s="182">
        <v>3</v>
      </c>
      <c r="D44" s="182"/>
      <c r="E44" s="182">
        <f t="shared" si="6"/>
        <v>3</v>
      </c>
      <c r="F44" s="182">
        <f t="shared" si="1"/>
        <v>1</v>
      </c>
      <c r="G44" s="182"/>
      <c r="H44" s="182">
        <f t="shared" si="2"/>
        <v>1</v>
      </c>
      <c r="I44" s="182">
        <f t="shared" si="3"/>
        <v>-1</v>
      </c>
      <c r="J44" s="182"/>
      <c r="K44" s="182">
        <f t="shared" si="7"/>
        <v>-1</v>
      </c>
      <c r="L44" s="182">
        <v>3</v>
      </c>
      <c r="M44" s="182">
        <v>4</v>
      </c>
      <c r="N44" s="182"/>
      <c r="O44" s="182"/>
      <c r="P44" s="182"/>
    </row>
    <row r="45" spans="1:16" ht="12" customHeight="1">
      <c r="A45" s="387" t="s">
        <v>439</v>
      </c>
      <c r="B45" s="182">
        <f aca="true" t="shared" si="8" ref="B45:G45">SUM(B19:B44)</f>
        <v>657</v>
      </c>
      <c r="C45" s="182">
        <f t="shared" si="8"/>
        <v>507</v>
      </c>
      <c r="D45" s="182">
        <f t="shared" si="8"/>
        <v>138</v>
      </c>
      <c r="E45" s="182">
        <f t="shared" si="8"/>
        <v>645</v>
      </c>
      <c r="F45" s="182">
        <f t="shared" si="8"/>
        <v>12</v>
      </c>
      <c r="G45" s="182">
        <f t="shared" si="8"/>
        <v>0</v>
      </c>
      <c r="H45" s="182">
        <f t="shared" si="2"/>
        <v>12</v>
      </c>
      <c r="I45" s="182">
        <f t="shared" si="3"/>
        <v>-12</v>
      </c>
      <c r="J45" s="182"/>
      <c r="K45" s="182">
        <f aca="true" t="shared" si="9" ref="K45:P45">SUM(K19:K44)</f>
        <v>-12</v>
      </c>
      <c r="L45" s="182">
        <f t="shared" si="9"/>
        <v>230</v>
      </c>
      <c r="M45" s="182">
        <f t="shared" si="9"/>
        <v>242</v>
      </c>
      <c r="N45" s="182">
        <f t="shared" si="9"/>
        <v>0</v>
      </c>
      <c r="O45" s="182">
        <f t="shared" si="9"/>
        <v>0</v>
      </c>
      <c r="P45" s="182">
        <f t="shared" si="9"/>
        <v>0</v>
      </c>
    </row>
    <row r="46" spans="1:16" ht="12" customHeight="1">
      <c r="A46" s="387" t="s">
        <v>440</v>
      </c>
      <c r="B46" s="182">
        <f aca="true" t="shared" si="10" ref="B46:P46">SUM(B18,B45)</f>
        <v>3848</v>
      </c>
      <c r="C46" s="182">
        <f t="shared" si="10"/>
        <v>2285</v>
      </c>
      <c r="D46" s="182">
        <f t="shared" si="10"/>
        <v>2100</v>
      </c>
      <c r="E46" s="182">
        <f t="shared" si="10"/>
        <v>4385</v>
      </c>
      <c r="F46" s="182">
        <f t="shared" si="10"/>
        <v>-537</v>
      </c>
      <c r="G46" s="182">
        <f t="shared" si="10"/>
        <v>-873</v>
      </c>
      <c r="H46" s="182">
        <f t="shared" si="10"/>
        <v>336</v>
      </c>
      <c r="I46" s="182">
        <f t="shared" si="10"/>
        <v>-336</v>
      </c>
      <c r="J46" s="182">
        <f t="shared" si="10"/>
        <v>0</v>
      </c>
      <c r="K46" s="182">
        <f t="shared" si="10"/>
        <v>-336</v>
      </c>
      <c r="L46" s="182">
        <f t="shared" si="10"/>
        <v>1843</v>
      </c>
      <c r="M46" s="182">
        <f t="shared" si="10"/>
        <v>2179</v>
      </c>
      <c r="N46" s="182">
        <f t="shared" si="10"/>
        <v>0</v>
      </c>
      <c r="O46" s="182">
        <f t="shared" si="10"/>
        <v>0</v>
      </c>
      <c r="P46" s="182">
        <f t="shared" si="10"/>
        <v>0</v>
      </c>
    </row>
    <row r="47" ht="17.25" customHeight="1"/>
    <row r="48" ht="17.25" customHeight="1"/>
    <row r="49" s="458" customFormat="1" ht="17.25" customHeight="1">
      <c r="A49" s="548"/>
    </row>
    <row r="54" spans="1:11" s="568" customFormat="1" ht="17.25" customHeight="1">
      <c r="A54" s="41" t="s">
        <v>639</v>
      </c>
      <c r="B54" s="39"/>
      <c r="C54" s="39"/>
      <c r="D54" s="453"/>
      <c r="E54" s="537"/>
      <c r="F54" s="453"/>
      <c r="H54" s="453"/>
      <c r="I54" s="458"/>
      <c r="K54" s="39" t="s">
        <v>859</v>
      </c>
    </row>
    <row r="56" spans="1:8" s="457" customFormat="1" ht="17.25" customHeight="1">
      <c r="A56" s="482"/>
      <c r="B56" s="562"/>
      <c r="C56" s="453"/>
      <c r="D56" s="561"/>
      <c r="E56" s="453"/>
      <c r="F56" s="561"/>
      <c r="G56" s="561"/>
      <c r="H56" s="453"/>
    </row>
    <row r="58" spans="1:16" s="458" customFormat="1" ht="17.25" customHeight="1">
      <c r="A58" s="504" t="s">
        <v>61</v>
      </c>
      <c r="B58" s="134"/>
      <c r="C58" s="1"/>
      <c r="D58" s="134"/>
      <c r="E58" s="134"/>
      <c r="F58" s="134"/>
      <c r="G58" s="1"/>
      <c r="H58" s="569"/>
      <c r="I58" s="134"/>
      <c r="J58" s="134"/>
      <c r="K58" s="134"/>
      <c r="L58" s="134"/>
      <c r="M58" s="134"/>
      <c r="N58" s="134"/>
      <c r="O58" s="134"/>
      <c r="P58" s="134"/>
    </row>
    <row r="59" s="568" customFormat="1" ht="17.25" customHeight="1">
      <c r="A59" s="474" t="s">
        <v>116</v>
      </c>
    </row>
    <row r="60" spans="1:6" s="568" customFormat="1" ht="17.25" customHeight="1">
      <c r="A60" s="570"/>
      <c r="B60" s="453"/>
      <c r="C60" s="453"/>
      <c r="D60" s="453"/>
      <c r="E60" s="453"/>
      <c r="F60" s="453"/>
    </row>
    <row r="61" ht="24" customHeight="1"/>
    <row r="67" ht="17.25" customHeight="1">
      <c r="A67" s="237"/>
    </row>
    <row r="68" s="237" customFormat="1" ht="17.25" customHeight="1">
      <c r="A68" s="472"/>
    </row>
    <row r="69" ht="17.25" customHeight="1">
      <c r="A69" s="472"/>
    </row>
  </sheetData>
  <mergeCells count="12">
    <mergeCell ref="P7:P9"/>
    <mergeCell ref="J8:O8"/>
    <mergeCell ref="A2:P2"/>
    <mergeCell ref="A4:P4"/>
    <mergeCell ref="A5:P5"/>
    <mergeCell ref="A7:A9"/>
    <mergeCell ref="B7:B9"/>
    <mergeCell ref="C7:E8"/>
    <mergeCell ref="F7:F9"/>
    <mergeCell ref="G7:G9"/>
    <mergeCell ref="H7:H9"/>
    <mergeCell ref="I7:I9"/>
  </mergeCells>
  <printOptions/>
  <pageMargins left="0.25" right="0.25" top="1" bottom="1" header="0.5" footer="0.5"/>
  <pageSetup firstPageNumber="42" useFirstPageNumber="1" horizontalDpi="600" verticalDpi="600" orientation="landscape" paperSize="9" scale="92" r:id="rId1"/>
  <headerFooter alignWithMargins="0">
    <oddFooter>&amp;R&amp;9&amp;P</oddFooter>
  </headerFooter>
  <rowBreaks count="1" manualBreakCount="1">
    <brk id="32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6" sqref="A6"/>
    </sheetView>
  </sheetViews>
  <sheetFormatPr defaultColWidth="9.140625" defaultRowHeight="17.25" customHeight="1"/>
  <cols>
    <col min="1" max="1" width="36.28125" style="232" customWidth="1"/>
    <col min="2" max="2" width="14.421875" style="232" customWidth="1"/>
    <col min="3" max="3" width="11.00390625" style="42" customWidth="1"/>
    <col min="4" max="4" width="12.7109375" style="39" customWidth="1"/>
    <col min="5" max="5" width="9.8515625" style="42" customWidth="1"/>
  </cols>
  <sheetData>
    <row r="1" spans="2:5" ht="17.25" customHeight="1">
      <c r="B1" s="51"/>
      <c r="C1" s="381"/>
      <c r="E1" s="380" t="s">
        <v>497</v>
      </c>
    </row>
    <row r="2" ht="17.25" customHeight="1">
      <c r="A2" s="232" t="s">
        <v>177</v>
      </c>
    </row>
    <row r="4" spans="1:5" ht="30" customHeight="1">
      <c r="A4" s="838" t="s">
        <v>498</v>
      </c>
      <c r="B4" s="838"/>
      <c r="C4" s="838"/>
      <c r="D4" s="838"/>
      <c r="E4" s="838"/>
    </row>
    <row r="5" spans="1:5" ht="17.25" customHeight="1">
      <c r="A5" s="891" t="s">
        <v>98</v>
      </c>
      <c r="B5" s="891"/>
      <c r="C5" s="891"/>
      <c r="D5" s="891"/>
      <c r="E5" s="891"/>
    </row>
    <row r="6" ht="17.25" customHeight="1">
      <c r="E6" s="380" t="s">
        <v>749</v>
      </c>
    </row>
    <row r="7" spans="1:5" ht="38.25">
      <c r="A7" s="278" t="s">
        <v>644</v>
      </c>
      <c r="B7" s="509" t="s">
        <v>229</v>
      </c>
      <c r="C7" s="279" t="s">
        <v>179</v>
      </c>
      <c r="D7" s="278" t="s">
        <v>499</v>
      </c>
      <c r="E7" s="9" t="s">
        <v>101</v>
      </c>
    </row>
    <row r="8" spans="1:5" ht="17.25" customHeight="1">
      <c r="A8" s="243">
        <v>1</v>
      </c>
      <c r="B8" s="243">
        <v>2</v>
      </c>
      <c r="C8" s="327">
        <v>3</v>
      </c>
      <c r="D8" s="243">
        <v>4</v>
      </c>
      <c r="E8" s="327">
        <v>5</v>
      </c>
    </row>
    <row r="9" spans="1:5" ht="25.5">
      <c r="A9" s="92" t="s">
        <v>181</v>
      </c>
      <c r="B9" s="243" t="s">
        <v>650</v>
      </c>
      <c r="C9" s="385">
        <f>SUM(C10:C11)</f>
        <v>3848</v>
      </c>
      <c r="D9" s="243" t="s">
        <v>650</v>
      </c>
      <c r="E9" s="385">
        <f>C9-'[23]Augusts'!C9</f>
        <v>111</v>
      </c>
    </row>
    <row r="10" spans="1:5" ht="25.5">
      <c r="A10" s="69" t="s">
        <v>182</v>
      </c>
      <c r="B10" s="243" t="s">
        <v>650</v>
      </c>
      <c r="C10" s="384">
        <f>3107+12+2</f>
        <v>3121</v>
      </c>
      <c r="D10" s="243" t="s">
        <v>650</v>
      </c>
      <c r="E10" s="384">
        <f>C10-'[23]Augusts'!C10</f>
        <v>73</v>
      </c>
    </row>
    <row r="11" spans="1:5" ht="25.5">
      <c r="A11" s="69" t="s">
        <v>183</v>
      </c>
      <c r="B11" s="243" t="s">
        <v>650</v>
      </c>
      <c r="C11" s="384">
        <v>727</v>
      </c>
      <c r="D11" s="243" t="s">
        <v>650</v>
      </c>
      <c r="E11" s="384">
        <f>C11-'[23]Augusts'!C11</f>
        <v>38</v>
      </c>
    </row>
    <row r="12" spans="1:5" ht="25.5">
      <c r="A12" s="69" t="s">
        <v>184</v>
      </c>
      <c r="B12" s="243" t="s">
        <v>650</v>
      </c>
      <c r="C12" s="384">
        <v>0</v>
      </c>
      <c r="D12" s="243" t="s">
        <v>650</v>
      </c>
      <c r="E12" s="384">
        <v>0</v>
      </c>
    </row>
    <row r="13" spans="1:5" ht="17.25" customHeight="1">
      <c r="A13" s="92" t="s">
        <v>185</v>
      </c>
      <c r="B13" s="96">
        <f>SUM(B14,B31,)</f>
        <v>7306</v>
      </c>
      <c r="C13" s="96">
        <f>SUM(C14,C31,)</f>
        <v>4385</v>
      </c>
      <c r="D13" s="697">
        <f>C13/B13*100</f>
        <v>60.01916233232959</v>
      </c>
      <c r="E13" s="96">
        <f>C13-'[23]Augusts'!C13</f>
        <v>631</v>
      </c>
    </row>
    <row r="14" spans="1:5" ht="17.25" customHeight="1">
      <c r="A14" s="98" t="s">
        <v>70</v>
      </c>
      <c r="B14" s="96">
        <v>4061</v>
      </c>
      <c r="C14" s="96">
        <f>SUM(C15,C22,C25)</f>
        <v>2285</v>
      </c>
      <c r="D14" s="697">
        <f>C14/B14*100</f>
        <v>56.26692932775178</v>
      </c>
      <c r="E14" s="96">
        <f>C14-'[23]Augusts'!C14</f>
        <v>320</v>
      </c>
    </row>
    <row r="15" spans="1:5" ht="17.25" customHeight="1">
      <c r="A15" s="98" t="s">
        <v>955</v>
      </c>
      <c r="B15" s="344">
        <v>3519</v>
      </c>
      <c r="C15" s="344">
        <f>SUM(C17,C16,C18)</f>
        <v>2058</v>
      </c>
      <c r="D15" s="698">
        <f>C15/B15*100</f>
        <v>58.48252344416027</v>
      </c>
      <c r="E15" s="344">
        <f>C15-'[23]Augusts'!C15</f>
        <v>242</v>
      </c>
    </row>
    <row r="16" spans="1:5" ht="17.25" customHeight="1">
      <c r="A16" s="218" t="s">
        <v>956</v>
      </c>
      <c r="B16" s="390">
        <v>344</v>
      </c>
      <c r="C16" s="384">
        <v>241</v>
      </c>
      <c r="D16" s="699">
        <f>C16/B16*100</f>
        <v>70.05813953488372</v>
      </c>
      <c r="E16" s="384">
        <f>C16-'[23]Augusts'!C16</f>
        <v>19</v>
      </c>
    </row>
    <row r="17" spans="1:5" ht="25.5">
      <c r="A17" s="69" t="s">
        <v>186</v>
      </c>
      <c r="B17" s="308" t="s">
        <v>650</v>
      </c>
      <c r="C17" s="384">
        <v>57</v>
      </c>
      <c r="D17" s="308" t="s">
        <v>650</v>
      </c>
      <c r="E17" s="384">
        <f>C17-'[23]Augusts'!C17</f>
        <v>5</v>
      </c>
    </row>
    <row r="18" spans="1:5" ht="17.25" customHeight="1">
      <c r="A18" s="69" t="s">
        <v>958</v>
      </c>
      <c r="B18" s="308" t="s">
        <v>650</v>
      </c>
      <c r="C18" s="257">
        <f>SUM(C19:C20)</f>
        <v>1760</v>
      </c>
      <c r="D18" s="308" t="s">
        <v>650</v>
      </c>
      <c r="E18" s="257">
        <f>C18-'[23]Augusts'!C18</f>
        <v>218</v>
      </c>
    </row>
    <row r="19" spans="1:5" ht="17.25" customHeight="1">
      <c r="A19" s="310" t="s">
        <v>187</v>
      </c>
      <c r="B19" s="393" t="s">
        <v>650</v>
      </c>
      <c r="C19" s="384">
        <f>1394+261</f>
        <v>1655</v>
      </c>
      <c r="D19" s="393" t="s">
        <v>650</v>
      </c>
      <c r="E19" s="384">
        <f>C19-'[23]Augusts'!C19</f>
        <v>212</v>
      </c>
    </row>
    <row r="20" spans="1:5" ht="17.25" customHeight="1">
      <c r="A20" s="310" t="s">
        <v>188</v>
      </c>
      <c r="B20" s="393" t="s">
        <v>650</v>
      </c>
      <c r="C20" s="384">
        <f>57+45+3</f>
        <v>105</v>
      </c>
      <c r="D20" s="393" t="s">
        <v>650</v>
      </c>
      <c r="E20" s="384">
        <f>C20-'[23]Augusts'!C20</f>
        <v>6</v>
      </c>
    </row>
    <row r="21" spans="1:5" ht="17.25" customHeight="1">
      <c r="A21" s="69" t="s">
        <v>189</v>
      </c>
      <c r="B21" s="308" t="s">
        <v>650</v>
      </c>
      <c r="C21" s="384"/>
      <c r="D21" s="308" t="s">
        <v>650</v>
      </c>
      <c r="E21" s="384"/>
    </row>
    <row r="22" spans="1:5" ht="25.5">
      <c r="A22" s="76" t="s">
        <v>959</v>
      </c>
      <c r="B22" s="308" t="s">
        <v>650</v>
      </c>
      <c r="C22" s="344">
        <v>3</v>
      </c>
      <c r="D22" s="571" t="str">
        <f>IF(ISERROR(ROUND(C22,0)/ROUND(g,0))," ",(ROUND(C22,)/ROUND(B22,)))</f>
        <v> </v>
      </c>
      <c r="E22" s="384">
        <f>C22-'[23]Augusts'!C22</f>
        <v>3</v>
      </c>
    </row>
    <row r="23" spans="1:5" ht="25.5">
      <c r="A23" s="69" t="s">
        <v>190</v>
      </c>
      <c r="B23" s="308" t="s">
        <v>650</v>
      </c>
      <c r="C23" s="384">
        <v>3</v>
      </c>
      <c r="D23" s="308" t="s">
        <v>650</v>
      </c>
      <c r="E23" s="384">
        <v>3</v>
      </c>
    </row>
    <row r="24" spans="1:5" ht="25.5">
      <c r="A24" s="69" t="s">
        <v>191</v>
      </c>
      <c r="B24" s="308" t="s">
        <v>650</v>
      </c>
      <c r="C24" s="384"/>
      <c r="D24" s="308" t="s">
        <v>650</v>
      </c>
      <c r="E24" s="384"/>
    </row>
    <row r="25" spans="1:6" ht="17.25" customHeight="1">
      <c r="A25" s="32" t="s">
        <v>963</v>
      </c>
      <c r="B25" s="387">
        <v>542</v>
      </c>
      <c r="C25" s="344">
        <f>SUM(C26:C30)</f>
        <v>224</v>
      </c>
      <c r="D25" s="700">
        <f>C25/B25*100</f>
        <v>41.32841328413284</v>
      </c>
      <c r="E25" s="344">
        <f>C25-'[23]Augusts'!C25</f>
        <v>75</v>
      </c>
      <c r="F25" s="436"/>
    </row>
    <row r="26" spans="1:5" ht="17.25" customHeight="1">
      <c r="A26" s="218" t="s">
        <v>964</v>
      </c>
      <c r="B26" s="308" t="s">
        <v>650</v>
      </c>
      <c r="C26" s="384">
        <f>27+7-1</f>
        <v>33</v>
      </c>
      <c r="D26" s="308" t="s">
        <v>650</v>
      </c>
      <c r="E26" s="384"/>
    </row>
    <row r="27" spans="1:5" ht="17.25" customHeight="1">
      <c r="A27" s="218" t="s">
        <v>965</v>
      </c>
      <c r="B27" s="308" t="s">
        <v>650</v>
      </c>
      <c r="C27" s="384"/>
      <c r="D27" s="308" t="s">
        <v>650</v>
      </c>
      <c r="E27" s="384"/>
    </row>
    <row r="28" spans="1:5" ht="17.25" customHeight="1">
      <c r="A28" s="69" t="s">
        <v>966</v>
      </c>
      <c r="B28" s="308" t="s">
        <v>650</v>
      </c>
      <c r="C28" s="384"/>
      <c r="D28" s="308" t="s">
        <v>650</v>
      </c>
      <c r="E28" s="384"/>
    </row>
    <row r="29" spans="1:5" ht="17.25" customHeight="1">
      <c r="A29" s="69" t="s">
        <v>192</v>
      </c>
      <c r="B29" s="308" t="s">
        <v>650</v>
      </c>
      <c r="C29" s="384">
        <v>157</v>
      </c>
      <c r="D29" s="308" t="s">
        <v>650</v>
      </c>
      <c r="E29" s="384">
        <f>C29-'[23]Augusts'!C29</f>
        <v>41</v>
      </c>
    </row>
    <row r="30" spans="1:5" ht="17.25" customHeight="1">
      <c r="A30" s="69" t="s">
        <v>969</v>
      </c>
      <c r="B30" s="308" t="s">
        <v>650</v>
      </c>
      <c r="C30" s="384">
        <v>34</v>
      </c>
      <c r="D30" s="308" t="s">
        <v>650</v>
      </c>
      <c r="E30" s="384">
        <f>C30-'[23]Augusts'!C30</f>
        <v>1</v>
      </c>
    </row>
    <row r="31" spans="1:5" ht="17.25" customHeight="1">
      <c r="A31" s="128" t="s">
        <v>193</v>
      </c>
      <c r="B31" s="344">
        <v>3245</v>
      </c>
      <c r="C31" s="344">
        <f>SUM(C32:C33)</f>
        <v>2100</v>
      </c>
      <c r="D31" s="700">
        <f>C31/B31*100</f>
        <v>64.71494607087827</v>
      </c>
      <c r="E31" s="344">
        <f>C31-'[23]Augusts'!C31</f>
        <v>311</v>
      </c>
    </row>
    <row r="32" spans="1:5" ht="17.25" customHeight="1">
      <c r="A32" s="69" t="s">
        <v>194</v>
      </c>
      <c r="B32" s="390">
        <f>2505+29</f>
        <v>2534</v>
      </c>
      <c r="C32" s="384">
        <f>1572+35-3</f>
        <v>1604</v>
      </c>
      <c r="D32" s="701">
        <f>C32/B32*100</f>
        <v>63.299131807419094</v>
      </c>
      <c r="E32" s="384">
        <f>C32-'[23]Augusts'!C32</f>
        <v>273</v>
      </c>
    </row>
    <row r="33" spans="1:5" ht="17.25" customHeight="1">
      <c r="A33" s="69" t="s">
        <v>195</v>
      </c>
      <c r="B33" s="390">
        <v>765</v>
      </c>
      <c r="C33" s="384">
        <v>496</v>
      </c>
      <c r="D33" s="701">
        <f>C33/B33*100</f>
        <v>64.83660130718954</v>
      </c>
      <c r="E33" s="384">
        <f>C33-'[23]Augusts'!C33</f>
        <v>38</v>
      </c>
    </row>
    <row r="34" spans="1:5" ht="17.25" customHeight="1">
      <c r="A34" s="510" t="s">
        <v>361</v>
      </c>
      <c r="B34" s="385">
        <f>B35-B36</f>
        <v>-921</v>
      </c>
      <c r="C34" s="385">
        <f>C35-C36</f>
        <v>-873</v>
      </c>
      <c r="D34" s="700">
        <f>C34/B34*100</f>
        <v>94.78827361563518</v>
      </c>
      <c r="E34" s="385">
        <f>C34-'[23]Augusts'!C34</f>
        <v>-20</v>
      </c>
    </row>
    <row r="35" spans="1:5" ht="17.25" customHeight="1">
      <c r="A35" s="511" t="s">
        <v>362</v>
      </c>
      <c r="B35" s="390"/>
      <c r="C35" s="384"/>
      <c r="D35" s="701"/>
      <c r="E35" s="384">
        <v>0</v>
      </c>
    </row>
    <row r="36" spans="1:5" ht="25.5">
      <c r="A36" s="511" t="s">
        <v>363</v>
      </c>
      <c r="B36" s="390">
        <v>921</v>
      </c>
      <c r="C36" s="384">
        <v>873</v>
      </c>
      <c r="D36" s="701">
        <f>C36/B36*100</f>
        <v>94.78827361563518</v>
      </c>
      <c r="E36" s="384">
        <f>C36-'[23]Augusts'!C36</f>
        <v>17</v>
      </c>
    </row>
    <row r="37" spans="1:5" ht="17.25" customHeight="1">
      <c r="A37" s="128" t="s">
        <v>500</v>
      </c>
      <c r="B37" s="308" t="s">
        <v>650</v>
      </c>
      <c r="C37" s="344">
        <f>C9-C13-C34</f>
        <v>336</v>
      </c>
      <c r="D37" s="572" t="s">
        <v>650</v>
      </c>
      <c r="E37" s="573" t="s">
        <v>650</v>
      </c>
    </row>
    <row r="38" spans="1:5" ht="17.25" customHeight="1">
      <c r="A38" s="128" t="s">
        <v>989</v>
      </c>
      <c r="B38" s="308" t="s">
        <v>650</v>
      </c>
      <c r="C38" s="344">
        <f>-C37</f>
        <v>-336</v>
      </c>
      <c r="D38" s="572" t="s">
        <v>650</v>
      </c>
      <c r="E38" s="573" t="s">
        <v>650</v>
      </c>
    </row>
    <row r="39" spans="1:5" ht="25.5">
      <c r="A39" s="131" t="s">
        <v>197</v>
      </c>
      <c r="B39" s="308" t="s">
        <v>650</v>
      </c>
      <c r="C39" s="344">
        <f>C38</f>
        <v>-336</v>
      </c>
      <c r="D39" s="308" t="s">
        <v>650</v>
      </c>
      <c r="E39" s="327" t="s">
        <v>650</v>
      </c>
    </row>
    <row r="40" spans="1:5" ht="17.25" customHeight="1">
      <c r="A40" s="892"/>
      <c r="B40" s="892"/>
      <c r="C40" s="892"/>
      <c r="D40" s="892"/>
      <c r="E40" s="892"/>
    </row>
    <row r="42" spans="1:5" ht="17.25" customHeight="1">
      <c r="A42" s="84"/>
      <c r="B42" s="396"/>
      <c r="C42" s="398"/>
      <c r="D42" s="322"/>
      <c r="E42" s="398"/>
    </row>
    <row r="43" spans="1:5" ht="17.25" customHeight="1">
      <c r="A43" s="84"/>
      <c r="B43" s="84"/>
      <c r="C43" s="399"/>
      <c r="D43" s="354"/>
      <c r="E43" s="398"/>
    </row>
    <row r="44" spans="1:4" ht="17.25" customHeight="1">
      <c r="A44" s="41" t="s">
        <v>639</v>
      </c>
      <c r="B44" s="39"/>
      <c r="C44" s="39"/>
      <c r="D44" s="39" t="s">
        <v>859</v>
      </c>
    </row>
    <row r="45" spans="1:4" ht="17.25" customHeight="1">
      <c r="A45" s="84"/>
      <c r="B45" s="396"/>
      <c r="C45" s="398"/>
      <c r="D45" s="322"/>
    </row>
    <row r="46" spans="2:5" ht="17.25" customHeight="1">
      <c r="B46" s="400"/>
      <c r="C46" s="381"/>
      <c r="D46" s="401"/>
      <c r="E46" s="381"/>
    </row>
    <row r="47" spans="2:4" ht="17.25" customHeight="1">
      <c r="B47" s="42"/>
      <c r="D47" s="401"/>
    </row>
    <row r="48" spans="2:4" ht="17.25" customHeight="1">
      <c r="B48" s="42"/>
      <c r="D48" s="401"/>
    </row>
    <row r="49" spans="1:4" ht="17.25" customHeight="1">
      <c r="A49" s="49" t="s">
        <v>745</v>
      </c>
      <c r="B49" s="42"/>
      <c r="D49" s="401"/>
    </row>
    <row r="50" spans="1:4" ht="17.25" customHeight="1">
      <c r="A50" s="49" t="s">
        <v>116</v>
      </c>
      <c r="B50" s="42"/>
      <c r="D50" s="401"/>
    </row>
    <row r="51" ht="17.25" customHeight="1">
      <c r="A51" s="1"/>
    </row>
    <row r="52" ht="17.25" customHeight="1">
      <c r="A52" s="268"/>
    </row>
    <row r="53" spans="2:4" ht="17.25" customHeight="1">
      <c r="B53" s="42"/>
      <c r="D53" s="401"/>
    </row>
  </sheetData>
  <mergeCells count="3">
    <mergeCell ref="A4:E4"/>
    <mergeCell ref="A5:E5"/>
    <mergeCell ref="A40:E40"/>
  </mergeCells>
  <printOptions/>
  <pageMargins left="0.75" right="0.75" top="1" bottom="1" header="0.5" footer="0.5"/>
  <pageSetup firstPageNumber="44" useFirstPageNumber="1" horizontalDpi="600" verticalDpi="6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T39"/>
  <sheetViews>
    <sheetView workbookViewId="0" topLeftCell="A1">
      <selection activeCell="A7" sqref="A7"/>
    </sheetView>
  </sheetViews>
  <sheetFormatPr defaultColWidth="9.140625" defaultRowHeight="17.25" customHeight="1"/>
  <cols>
    <col min="1" max="1" width="36.7109375" style="475" customWidth="1"/>
    <col min="2" max="2" width="11.140625" style="520" customWidth="1"/>
    <col min="3" max="3" width="11.421875" style="453" customWidth="1"/>
    <col min="4" max="4" width="14.28125" style="453" customWidth="1"/>
    <col min="5" max="5" width="14.57421875" style="453" customWidth="1"/>
    <col min="6" max="6" width="8.28125" style="0" customWidth="1"/>
    <col min="9" max="9" width="8.421875" style="0" customWidth="1"/>
    <col min="73" max="16384" width="9.140625" style="453" customWidth="1"/>
  </cols>
  <sheetData>
    <row r="1" spans="2:5" ht="17.25" customHeight="1">
      <c r="B1" s="476"/>
      <c r="C1" s="51"/>
      <c r="D1" s="51"/>
      <c r="E1" s="51" t="s">
        <v>501</v>
      </c>
    </row>
    <row r="2" spans="1:5" ht="12.75">
      <c r="A2" s="832" t="s">
        <v>826</v>
      </c>
      <c r="B2" s="832"/>
      <c r="C2" s="832"/>
      <c r="D2" s="832"/>
      <c r="E2" s="832"/>
    </row>
    <row r="3" spans="1:72" s="38" customFormat="1" ht="17.25" customHeight="1">
      <c r="A3" s="476"/>
      <c r="B3" s="506"/>
      <c r="C3" s="87"/>
      <c r="D3" s="87"/>
      <c r="E3" s="8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5" ht="17.25" customHeight="1">
      <c r="A4" s="831" t="s">
        <v>502</v>
      </c>
      <c r="B4" s="831"/>
      <c r="C4" s="831"/>
      <c r="D4" s="831"/>
      <c r="E4" s="831"/>
    </row>
    <row r="5" spans="1:72" s="479" customFormat="1" ht="17.25" customHeight="1">
      <c r="A5" s="832" t="s">
        <v>98</v>
      </c>
      <c r="B5" s="832"/>
      <c r="C5" s="832"/>
      <c r="D5" s="832"/>
      <c r="E5" s="83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5" ht="17.25" customHeight="1">
      <c r="B6" s="508"/>
      <c r="C6" s="38"/>
      <c r="E6" s="2" t="s">
        <v>749</v>
      </c>
    </row>
    <row r="7" spans="1:72" s="38" customFormat="1" ht="22.5">
      <c r="A7" s="509" t="s">
        <v>644</v>
      </c>
      <c r="B7" s="486" t="s">
        <v>229</v>
      </c>
      <c r="C7" s="486" t="s">
        <v>751</v>
      </c>
      <c r="D7" s="486" t="s">
        <v>281</v>
      </c>
      <c r="E7" s="9" t="s">
        <v>101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5" ht="12.75">
      <c r="A8" s="487" t="s">
        <v>282</v>
      </c>
      <c r="B8" s="488" t="s">
        <v>325</v>
      </c>
      <c r="C8" s="488" t="s">
        <v>326</v>
      </c>
      <c r="D8" s="488" t="s">
        <v>327</v>
      </c>
      <c r="E8" s="488" t="s">
        <v>283</v>
      </c>
    </row>
    <row r="9" spans="1:5" ht="12.75">
      <c r="A9" s="490" t="s">
        <v>503</v>
      </c>
      <c r="B9" s="177">
        <f>B10+B28</f>
        <v>6384</v>
      </c>
      <c r="C9" s="177">
        <f>C10+C28</f>
        <v>3512</v>
      </c>
      <c r="D9" s="201">
        <f>C9/B9*100</f>
        <v>55.012531328320804</v>
      </c>
      <c r="E9" s="177">
        <f>C9-'[22]Augusts'!C9</f>
        <v>611</v>
      </c>
    </row>
    <row r="10" spans="1:72" s="49" customFormat="1" ht="17.25" customHeight="1">
      <c r="A10" s="510" t="s">
        <v>504</v>
      </c>
      <c r="B10" s="177">
        <f>SUM(B11:B27)</f>
        <v>6377</v>
      </c>
      <c r="C10" s="177">
        <f>SUM(C11:C27)</f>
        <v>3505</v>
      </c>
      <c r="D10" s="201">
        <f>C10/B10*100</f>
        <v>54.9631488160577</v>
      </c>
      <c r="E10" s="177">
        <f>C10-'[22]Augusts'!C10</f>
        <v>611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" customFormat="1" ht="25.5">
      <c r="A11" s="494" t="s">
        <v>330</v>
      </c>
      <c r="B11" s="182">
        <v>190</v>
      </c>
      <c r="C11" s="182">
        <v>155</v>
      </c>
      <c r="D11" s="191">
        <f>C11/B11*100</f>
        <v>81.57894736842105</v>
      </c>
      <c r="E11" s="182">
        <f>C11-'[22]Augusts'!C11</f>
        <v>16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" customFormat="1" ht="17.25" customHeight="1">
      <c r="A12" s="494" t="s">
        <v>1004</v>
      </c>
      <c r="B12" s="182"/>
      <c r="C12" s="182"/>
      <c r="D12" s="191"/>
      <c r="E12" s="18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" customFormat="1" ht="25.5">
      <c r="A13" s="494" t="s">
        <v>1005</v>
      </c>
      <c r="B13" s="182">
        <v>12</v>
      </c>
      <c r="C13" s="182">
        <v>8</v>
      </c>
      <c r="D13" s="191">
        <f aca="true" t="shared" si="0" ref="D13:D19">C13/B13*100</f>
        <v>66.66666666666666</v>
      </c>
      <c r="E13" s="182">
        <f>C13-'[22]Augusts'!C13</f>
        <v>1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" customFormat="1" ht="12.75">
      <c r="A14" s="494" t="s">
        <v>1006</v>
      </c>
      <c r="B14" s="182">
        <v>1012</v>
      </c>
      <c r="C14" s="182">
        <v>634</v>
      </c>
      <c r="D14" s="191">
        <f t="shared" si="0"/>
        <v>62.64822134387352</v>
      </c>
      <c r="E14" s="182">
        <f>C14-'[22]Augusts'!C14</f>
        <v>58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" customFormat="1" ht="12.75">
      <c r="A15" s="494" t="s">
        <v>1007</v>
      </c>
      <c r="B15" s="182">
        <v>36</v>
      </c>
      <c r="C15" s="182">
        <v>34</v>
      </c>
      <c r="D15" s="191">
        <f t="shared" si="0"/>
        <v>94.44444444444444</v>
      </c>
      <c r="E15" s="182">
        <f>C15-'[22]Augusts'!C15</f>
        <v>23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" customFormat="1" ht="25.5">
      <c r="A16" s="494" t="s">
        <v>1008</v>
      </c>
      <c r="B16" s="182">
        <v>174</v>
      </c>
      <c r="C16" s="182">
        <v>114</v>
      </c>
      <c r="D16" s="191">
        <f t="shared" si="0"/>
        <v>65.51724137931035</v>
      </c>
      <c r="E16" s="182">
        <f>C16-'[22]Augusts'!C16</f>
        <v>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1" customFormat="1" ht="25.5">
      <c r="A17" s="494" t="s">
        <v>1009</v>
      </c>
      <c r="B17" s="182">
        <v>3727</v>
      </c>
      <c r="C17" s="182">
        <v>2291</v>
      </c>
      <c r="D17" s="191">
        <f t="shared" si="0"/>
        <v>61.47035148913334</v>
      </c>
      <c r="E17" s="182">
        <f>C17-'[22]Augusts'!C17</f>
        <v>354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1" customFormat="1" ht="12.75">
      <c r="A18" s="494" t="s">
        <v>205</v>
      </c>
      <c r="B18" s="182">
        <v>1193</v>
      </c>
      <c r="C18" s="182">
        <v>839</v>
      </c>
      <c r="D18" s="191">
        <f t="shared" si="0"/>
        <v>70.32690695725063</v>
      </c>
      <c r="E18" s="182">
        <f>C18-'[22]Augusts'!C18</f>
        <v>88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" customFormat="1" ht="25.5">
      <c r="A19" s="494" t="s">
        <v>1011</v>
      </c>
      <c r="B19" s="182">
        <v>1</v>
      </c>
      <c r="C19" s="182">
        <v>-16</v>
      </c>
      <c r="D19" s="191">
        <f t="shared" si="0"/>
        <v>-1600</v>
      </c>
      <c r="E19" s="182">
        <f>C19-'[22]Augusts'!C19</f>
        <v>-2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1" customFormat="1" ht="25.5">
      <c r="A20" s="494" t="s">
        <v>206</v>
      </c>
      <c r="D20" s="191"/>
      <c r="E20" s="18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1" customFormat="1" ht="25.5">
      <c r="A21" s="494" t="s">
        <v>1013</v>
      </c>
      <c r="B21" s="182"/>
      <c r="C21" s="182"/>
      <c r="D21" s="191"/>
      <c r="E21" s="18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1" customFormat="1" ht="12.75">
      <c r="A22" s="494" t="s">
        <v>331</v>
      </c>
      <c r="B22" s="182">
        <v>-599</v>
      </c>
      <c r="C22" s="182">
        <v>-731</v>
      </c>
      <c r="D22" s="191">
        <f>C22/B22*100</f>
        <v>122.03672787979967</v>
      </c>
      <c r="E22" s="18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1" customFormat="1" ht="12.75">
      <c r="A23" s="494" t="s">
        <v>1015</v>
      </c>
      <c r="B23" s="182">
        <v>494</v>
      </c>
      <c r="C23" s="182">
        <v>174</v>
      </c>
      <c r="D23" s="191">
        <f>C23/B23*100</f>
        <v>35.22267206477733</v>
      </c>
      <c r="E23" s="182">
        <f>C23-'[22]Augusts'!C23</f>
        <v>45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1" customFormat="1" ht="25.5">
      <c r="A24" s="494" t="s">
        <v>332</v>
      </c>
      <c r="B24" s="182"/>
      <c r="C24" s="182"/>
      <c r="D24" s="191"/>
      <c r="E24" s="18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1" customFormat="1" ht="25.5">
      <c r="A25" s="494" t="s">
        <v>333</v>
      </c>
      <c r="B25" s="182"/>
      <c r="C25" s="182"/>
      <c r="D25" s="191"/>
      <c r="E25" s="18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1" customFormat="1" ht="12.75">
      <c r="A26" s="494" t="s">
        <v>334</v>
      </c>
      <c r="B26" s="182">
        <v>0</v>
      </c>
      <c r="C26" s="182"/>
      <c r="D26" s="191"/>
      <c r="E26" s="182">
        <f>C26-'[22]Augusts'!C26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1" customFormat="1" ht="25.5">
      <c r="A27" s="494" t="s">
        <v>505</v>
      </c>
      <c r="B27" s="182">
        <v>137</v>
      </c>
      <c r="C27" s="182">
        <v>3</v>
      </c>
      <c r="D27" s="191">
        <f>C27/B27*100</f>
        <v>2.18978102189781</v>
      </c>
      <c r="E27" s="182">
        <f>C27-'[22]Augusts'!C27</f>
        <v>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1" customFormat="1" ht="12.75">
      <c r="A28" s="490" t="s">
        <v>305</v>
      </c>
      <c r="B28" s="177">
        <v>7</v>
      </c>
      <c r="C28" s="177">
        <v>7</v>
      </c>
      <c r="D28" s="201">
        <f>C28/B28*100</f>
        <v>100</v>
      </c>
      <c r="E28" s="182">
        <f>C28-'[22]Augusts'!C28</f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86" customFormat="1" ht="17.25" customHeight="1">
      <c r="A29" s="514"/>
      <c r="B29" s="134"/>
      <c r="C29" s="134"/>
      <c r="D29" s="134"/>
      <c r="E29" s="13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1" customFormat="1" ht="17.25" customHeight="1">
      <c r="A30" s="516"/>
      <c r="B30" s="517"/>
      <c r="C30" s="515"/>
      <c r="D30" s="134"/>
      <c r="E30" s="45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1" customFormat="1" ht="17.25" customHeight="1">
      <c r="A31" s="516"/>
      <c r="B31" s="517"/>
      <c r="C31" s="515"/>
      <c r="D31" s="134"/>
      <c r="E31" s="45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7.25" customHeight="1">
      <c r="A32" s="41" t="s">
        <v>639</v>
      </c>
      <c r="B32" s="39"/>
      <c r="C32" s="39"/>
      <c r="D32" s="39" t="s">
        <v>859</v>
      </c>
      <c r="E32" s="53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458" customFormat="1" ht="17.25" customHeight="1">
      <c r="A33" s="481"/>
      <c r="B33" s="574"/>
      <c r="C33" s="473"/>
      <c r="D33" s="473"/>
      <c r="E33" s="47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458" customFormat="1" ht="17.25" customHeight="1">
      <c r="A34" s="481"/>
      <c r="B34" s="574"/>
      <c r="C34" s="575"/>
      <c r="D34" s="575"/>
      <c r="E34" s="56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458" customFormat="1" ht="17.25" customHeight="1">
      <c r="A35" s="481"/>
      <c r="B35" s="696"/>
      <c r="E35" s="56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458" customFormat="1" ht="17.25" customHeight="1">
      <c r="A36" s="481"/>
      <c r="B36" s="574"/>
      <c r="C36" s="575"/>
      <c r="D36" s="575"/>
      <c r="E36" s="56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458" customFormat="1" ht="17.25" customHeight="1">
      <c r="A37" s="481"/>
      <c r="B37" s="574"/>
      <c r="C37" s="575"/>
      <c r="E37" s="56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4" ht="17.25" customHeight="1">
      <c r="A38" s="475" t="s">
        <v>61</v>
      </c>
      <c r="B38" s="519"/>
      <c r="C38" s="504"/>
      <c r="D38" s="268"/>
    </row>
    <row r="39" ht="17.25" customHeight="1">
      <c r="A39" s="475" t="s">
        <v>116</v>
      </c>
    </row>
  </sheetData>
  <mergeCells count="3">
    <mergeCell ref="A2:E2"/>
    <mergeCell ref="A4:E4"/>
    <mergeCell ref="A5:E5"/>
  </mergeCells>
  <printOptions/>
  <pageMargins left="0.75" right="0.27" top="1" bottom="1" header="0.5" footer="0.5"/>
  <pageSetup firstPageNumber="46" useFirstPageNumber="1" horizontalDpi="600" verticalDpi="600" orientation="portrait" paperSize="9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6" sqref="A6"/>
    </sheetView>
  </sheetViews>
  <sheetFormatPr defaultColWidth="9.140625" defaultRowHeight="17.25" customHeight="1"/>
  <cols>
    <col min="1" max="1" width="51.7109375" style="453" customWidth="1"/>
    <col min="2" max="2" width="19.140625" style="453" customWidth="1"/>
  </cols>
  <sheetData>
    <row r="1" spans="1:2" ht="17.25" customHeight="1">
      <c r="A1" s="38"/>
      <c r="B1" s="49" t="s">
        <v>506</v>
      </c>
    </row>
    <row r="2" spans="1:2" ht="17.25" customHeight="1">
      <c r="A2" s="846" t="s">
        <v>826</v>
      </c>
      <c r="B2" s="846"/>
    </row>
    <row r="3" spans="1:2" ht="17.25" customHeight="1">
      <c r="A3" s="1"/>
      <c r="B3" s="1"/>
    </row>
    <row r="4" spans="1:2" ht="17.25" customHeight="1">
      <c r="A4" s="847" t="s">
        <v>507</v>
      </c>
      <c r="B4" s="847"/>
    </row>
    <row r="5" spans="1:2" ht="16.5" customHeight="1">
      <c r="A5" s="893" t="s">
        <v>136</v>
      </c>
      <c r="B5" s="893"/>
    </row>
    <row r="6" spans="1:2" ht="17.25" customHeight="1">
      <c r="A6" s="457"/>
      <c r="B6" s="457"/>
    </row>
    <row r="7" spans="1:2" ht="17.25" customHeight="1">
      <c r="A7" s="458"/>
      <c r="B7" s="339" t="s">
        <v>210</v>
      </c>
    </row>
    <row r="8" spans="1:2" ht="17.25" customHeight="1">
      <c r="A8" s="243" t="s">
        <v>644</v>
      </c>
      <c r="B8" s="190" t="s">
        <v>508</v>
      </c>
    </row>
    <row r="9" spans="1:2" ht="12.75">
      <c r="A9" s="243">
        <v>1</v>
      </c>
      <c r="B9" s="190">
        <v>2</v>
      </c>
    </row>
    <row r="10" spans="1:2" ht="18.75" customHeight="1">
      <c r="A10" s="76" t="s">
        <v>509</v>
      </c>
      <c r="B10" s="178">
        <f>SUM(B12:B14)</f>
        <v>25806163</v>
      </c>
    </row>
    <row r="11" spans="1:2" ht="25.5">
      <c r="A11" s="576" t="s">
        <v>510</v>
      </c>
      <c r="B11" s="577"/>
    </row>
    <row r="12" spans="1:2" ht="19.5" customHeight="1">
      <c r="A12" s="578" t="s">
        <v>511</v>
      </c>
      <c r="B12" s="577">
        <v>5507733</v>
      </c>
    </row>
    <row r="13" spans="1:2" ht="19.5" customHeight="1">
      <c r="A13" s="69" t="s">
        <v>512</v>
      </c>
      <c r="B13" s="579">
        <v>20298430</v>
      </c>
    </row>
    <row r="14" spans="1:2" ht="19.5" customHeight="1">
      <c r="A14" s="69" t="s">
        <v>513</v>
      </c>
      <c r="B14" s="579"/>
    </row>
    <row r="15" spans="1:2" ht="19.5" customHeight="1">
      <c r="A15" s="98" t="s">
        <v>514</v>
      </c>
      <c r="B15" s="178">
        <f>B16</f>
        <v>25771584</v>
      </c>
    </row>
    <row r="16" spans="1:2" ht="19.5" customHeight="1">
      <c r="A16" s="69" t="s">
        <v>515</v>
      </c>
      <c r="B16" s="579">
        <v>25771584</v>
      </c>
    </row>
    <row r="17" spans="1:2" ht="19.5" customHeight="1">
      <c r="A17" s="98" t="s">
        <v>516</v>
      </c>
      <c r="B17" s="178">
        <f>B18+B10-B15</f>
        <v>43761</v>
      </c>
    </row>
    <row r="18" spans="1:2" ht="19.5" customHeight="1">
      <c r="A18" s="69" t="s">
        <v>517</v>
      </c>
      <c r="B18" s="579">
        <v>9182</v>
      </c>
    </row>
    <row r="19" spans="1:2" ht="17.25" customHeight="1">
      <c r="A19" s="83"/>
      <c r="B19" s="83"/>
    </row>
    <row r="20" spans="1:2" ht="17.25" customHeight="1">
      <c r="A20" s="83"/>
      <c r="B20" s="83"/>
    </row>
    <row r="21" spans="1:2" ht="17.25" customHeight="1">
      <c r="A21" s="83"/>
      <c r="B21" s="83"/>
    </row>
    <row r="22" spans="1:2" ht="17.25" customHeight="1">
      <c r="A22" s="41" t="s">
        <v>639</v>
      </c>
      <c r="B22" s="39" t="s">
        <v>859</v>
      </c>
    </row>
    <row r="23" spans="1:2" ht="17.25" customHeight="1">
      <c r="A23" s="1"/>
      <c r="B23" s="83"/>
    </row>
    <row r="24" spans="1:2" ht="17.25" customHeight="1">
      <c r="A24" s="1"/>
      <c r="B24" s="1"/>
    </row>
    <row r="25" spans="1:2" ht="17.25" customHeight="1">
      <c r="A25" s="5"/>
      <c r="B25" s="580"/>
    </row>
    <row r="26" spans="1:2" ht="17.25" customHeight="1">
      <c r="A26" s="5"/>
      <c r="B26" s="580"/>
    </row>
    <row r="27" spans="1:2" ht="17.25" customHeight="1">
      <c r="A27" s="5"/>
      <c r="B27" s="581"/>
    </row>
    <row r="28" spans="1:2" ht="17.25" customHeight="1">
      <c r="A28" s="5"/>
      <c r="B28" s="1"/>
    </row>
    <row r="29" spans="1:2" ht="17.25" customHeight="1">
      <c r="A29" s="5"/>
      <c r="B29" s="1"/>
    </row>
    <row r="30" spans="1:2" ht="17.25" customHeight="1">
      <c r="A30" s="5"/>
      <c r="B30" s="1"/>
    </row>
    <row r="31" spans="1:2" ht="17.25" customHeight="1">
      <c r="A31" s="5"/>
      <c r="B31" s="1"/>
    </row>
    <row r="32" spans="1:2" ht="17.25" customHeight="1">
      <c r="A32" s="1"/>
      <c r="B32" s="1"/>
    </row>
    <row r="33" spans="1:2" ht="17.25" customHeight="1">
      <c r="A33" s="1"/>
      <c r="B33" s="1"/>
    </row>
    <row r="34" spans="1:2" ht="17.25" customHeight="1">
      <c r="A34" s="5"/>
      <c r="B34" s="1"/>
    </row>
    <row r="35" spans="1:2" ht="17.25" customHeight="1">
      <c r="A35" s="5"/>
      <c r="B35" s="1"/>
    </row>
    <row r="36" spans="1:2" ht="17.25" customHeight="1">
      <c r="A36" s="5"/>
      <c r="B36" s="1"/>
    </row>
    <row r="38" ht="17.25" customHeight="1">
      <c r="A38" s="49" t="s">
        <v>745</v>
      </c>
    </row>
    <row r="39" ht="17.25" customHeight="1">
      <c r="A39" s="49" t="s">
        <v>116</v>
      </c>
    </row>
    <row r="42" ht="17.25" customHeight="1">
      <c r="A42" s="5"/>
    </row>
    <row r="43" ht="17.25" customHeight="1">
      <c r="A43" s="5"/>
    </row>
    <row r="46" ht="17.25" customHeight="1">
      <c r="A46" s="5"/>
    </row>
    <row r="47" ht="17.25" customHeight="1">
      <c r="A47" s="5"/>
    </row>
    <row r="48" ht="17.25" customHeight="1">
      <c r="A48" s="5"/>
    </row>
    <row r="49" ht="17.25" customHeight="1">
      <c r="A49" s="5"/>
    </row>
    <row r="50" ht="17.25" customHeight="1">
      <c r="A50" s="5"/>
    </row>
    <row r="51" ht="17.25" customHeight="1">
      <c r="A51" s="5"/>
    </row>
    <row r="52" ht="17.25" customHeight="1">
      <c r="A52" s="5"/>
    </row>
    <row r="53" ht="17.25" customHeight="1">
      <c r="A53" s="5"/>
    </row>
  </sheetData>
  <mergeCells count="3">
    <mergeCell ref="A2:B2"/>
    <mergeCell ref="A4:B4"/>
    <mergeCell ref="A5:B5"/>
  </mergeCells>
  <printOptions/>
  <pageMargins left="0.75" right="0.75" top="1" bottom="1" header="0.5" footer="0.5"/>
  <pageSetup firstPageNumber="47" useFirstPageNumber="1" horizontalDpi="600" verticalDpi="600" orientation="portrait" paperSize="9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4" sqref="A4:I4"/>
    </sheetView>
  </sheetViews>
  <sheetFormatPr defaultColWidth="9.140625" defaultRowHeight="17.25" customHeight="1"/>
  <cols>
    <col min="1" max="1" width="19.8515625" style="453" customWidth="1"/>
    <col min="2" max="2" width="11.00390625" style="453" customWidth="1"/>
    <col min="3" max="4" width="12.7109375" style="453" customWidth="1"/>
    <col min="5" max="5" width="12.140625" style="453" customWidth="1"/>
    <col min="6" max="6" width="10.7109375" style="453" customWidth="1"/>
    <col min="7" max="7" width="12.7109375" style="453" customWidth="1"/>
    <col min="8" max="8" width="11.140625" style="453" customWidth="1"/>
    <col min="9" max="9" width="14.00390625" style="453" customWidth="1"/>
    <col min="10" max="16384" width="12.7109375" style="453" customWidth="1"/>
  </cols>
  <sheetData>
    <row r="1" spans="2:10" ht="17.25" customHeight="1">
      <c r="B1" s="49"/>
      <c r="C1" s="49"/>
      <c r="D1" s="49"/>
      <c r="E1" s="49"/>
      <c r="F1" s="49"/>
      <c r="G1" s="49"/>
      <c r="H1" s="49"/>
      <c r="I1" s="39" t="s">
        <v>518</v>
      </c>
      <c r="J1" s="582"/>
    </row>
    <row r="2" spans="1:9" ht="17.25" customHeight="1">
      <c r="A2" s="846" t="s">
        <v>826</v>
      </c>
      <c r="B2" s="846"/>
      <c r="C2" s="846"/>
      <c r="D2" s="846"/>
      <c r="E2" s="846"/>
      <c r="F2" s="846"/>
      <c r="G2" s="846"/>
      <c r="H2" s="846"/>
      <c r="I2" s="846"/>
    </row>
    <row r="3" spans="1:9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>
      <c r="A4" s="847" t="s">
        <v>519</v>
      </c>
      <c r="B4" s="847"/>
      <c r="C4" s="847"/>
      <c r="D4" s="847"/>
      <c r="E4" s="847"/>
      <c r="F4" s="847"/>
      <c r="G4" s="847"/>
      <c r="H4" s="847"/>
      <c r="I4" s="847"/>
    </row>
    <row r="5" spans="1:9" ht="12" customHeight="1">
      <c r="A5" s="894" t="s">
        <v>135</v>
      </c>
      <c r="B5" s="894"/>
      <c r="C5" s="894"/>
      <c r="D5" s="894"/>
      <c r="E5" s="894"/>
      <c r="F5" s="894"/>
      <c r="G5" s="894"/>
      <c r="H5" s="894"/>
      <c r="I5" s="894"/>
    </row>
    <row r="6" spans="1:9" ht="17.25" customHeight="1">
      <c r="A6" s="538"/>
      <c r="B6" s="1"/>
      <c r="C6" s="1"/>
      <c r="D6" s="1"/>
      <c r="E6" s="1"/>
      <c r="F6" s="1"/>
      <c r="G6" s="1"/>
      <c r="H6" s="1"/>
      <c r="I6" s="1"/>
    </row>
    <row r="7" spans="1:9" ht="17.25" customHeight="1">
      <c r="A7" s="457"/>
      <c r="B7" s="457"/>
      <c r="C7" s="457"/>
      <c r="D7" s="457"/>
      <c r="E7" s="457"/>
      <c r="F7" s="457"/>
      <c r="G7" s="457"/>
      <c r="H7" s="457"/>
      <c r="I7" s="457" t="s">
        <v>520</v>
      </c>
    </row>
    <row r="8" spans="1:9" ht="17.25" customHeight="1">
      <c r="A8" s="878" t="s">
        <v>521</v>
      </c>
      <c r="B8" s="878" t="s">
        <v>522</v>
      </c>
      <c r="C8" s="878" t="s">
        <v>523</v>
      </c>
      <c r="D8" s="878" t="s">
        <v>524</v>
      </c>
      <c r="E8" s="878" t="s">
        <v>525</v>
      </c>
      <c r="F8" s="878" t="s">
        <v>526</v>
      </c>
      <c r="G8" s="543" t="s">
        <v>527</v>
      </c>
      <c r="H8" s="583"/>
      <c r="I8" s="878" t="s">
        <v>528</v>
      </c>
    </row>
    <row r="9" spans="1:9" ht="39.75" customHeight="1">
      <c r="A9" s="880"/>
      <c r="B9" s="880"/>
      <c r="C9" s="880"/>
      <c r="D9" s="880"/>
      <c r="E9" s="880"/>
      <c r="F9" s="880"/>
      <c r="G9" s="9" t="s">
        <v>529</v>
      </c>
      <c r="H9" s="9" t="s">
        <v>530</v>
      </c>
      <c r="I9" s="880"/>
    </row>
    <row r="10" spans="1:9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12.75">
      <c r="A11" s="552" t="s">
        <v>404</v>
      </c>
      <c r="B11" s="579">
        <v>254600</v>
      </c>
      <c r="C11" s="579">
        <v>3097383</v>
      </c>
      <c r="D11" s="695">
        <v>36064</v>
      </c>
      <c r="E11" s="579">
        <v>15723218</v>
      </c>
      <c r="F11" s="368"/>
      <c r="G11" s="368"/>
      <c r="H11" s="368"/>
      <c r="I11" s="579">
        <f aca="true" t="shared" si="0" ref="I11:I43">SUM(B11:H11)</f>
        <v>19111265</v>
      </c>
    </row>
    <row r="12" spans="1:9" ht="12">
      <c r="A12" s="552" t="s">
        <v>405</v>
      </c>
      <c r="B12" s="368">
        <v>395000</v>
      </c>
      <c r="C12" s="368">
        <v>424023</v>
      </c>
      <c r="D12" s="182">
        <v>3544</v>
      </c>
      <c r="E12" s="579">
        <v>2592146</v>
      </c>
      <c r="F12" s="368"/>
      <c r="G12" s="368">
        <v>11250</v>
      </c>
      <c r="H12" s="368"/>
      <c r="I12" s="579">
        <f t="shared" si="0"/>
        <v>3425963</v>
      </c>
    </row>
    <row r="13" spans="1:9" ht="12" customHeight="1">
      <c r="A13" s="552" t="s">
        <v>406</v>
      </c>
      <c r="B13" s="368">
        <v>720000</v>
      </c>
      <c r="C13" s="368">
        <v>332997</v>
      </c>
      <c r="D13" s="182">
        <v>10039</v>
      </c>
      <c r="E13" s="579">
        <v>1583849</v>
      </c>
      <c r="F13" s="368">
        <v>16300</v>
      </c>
      <c r="G13" s="368">
        <v>6092</v>
      </c>
      <c r="H13" s="368"/>
      <c r="I13" s="579">
        <f t="shared" si="0"/>
        <v>2669277</v>
      </c>
    </row>
    <row r="14" spans="1:9" ht="12" customHeight="1">
      <c r="A14" s="552" t="s">
        <v>407</v>
      </c>
      <c r="B14" s="368">
        <v>13000</v>
      </c>
      <c r="C14" s="368">
        <v>91155</v>
      </c>
      <c r="D14" s="182">
        <v>630</v>
      </c>
      <c r="E14" s="579">
        <v>1215886</v>
      </c>
      <c r="F14" s="368"/>
      <c r="G14" s="368"/>
      <c r="H14" s="368"/>
      <c r="I14" s="579">
        <f t="shared" si="0"/>
        <v>1320671</v>
      </c>
    </row>
    <row r="15" spans="1:9" ht="12" customHeight="1">
      <c r="A15" s="552" t="s">
        <v>408</v>
      </c>
      <c r="B15" s="368">
        <v>331000</v>
      </c>
      <c r="C15" s="368">
        <v>487881</v>
      </c>
      <c r="D15" s="182">
        <v>3544</v>
      </c>
      <c r="E15" s="579">
        <v>1834800</v>
      </c>
      <c r="F15" s="368">
        <v>37500</v>
      </c>
      <c r="G15" s="368"/>
      <c r="H15" s="368"/>
      <c r="I15" s="579">
        <f t="shared" si="0"/>
        <v>2694725</v>
      </c>
    </row>
    <row r="16" spans="1:9" ht="12" customHeight="1">
      <c r="A16" s="552" t="s">
        <v>409</v>
      </c>
      <c r="B16" s="368">
        <v>49300</v>
      </c>
      <c r="C16" s="368">
        <v>351060</v>
      </c>
      <c r="D16" s="182">
        <v>2952</v>
      </c>
      <c r="E16" s="368">
        <v>878681</v>
      </c>
      <c r="F16" s="368"/>
      <c r="G16" s="368">
        <v>7500</v>
      </c>
      <c r="H16" s="368"/>
      <c r="I16" s="579">
        <f t="shared" si="0"/>
        <v>1289493</v>
      </c>
    </row>
    <row r="17" spans="1:9" ht="12" customHeight="1">
      <c r="A17" s="552" t="s">
        <v>410</v>
      </c>
      <c r="C17" s="182">
        <v>34673</v>
      </c>
      <c r="D17" s="182">
        <v>2362</v>
      </c>
      <c r="E17" s="579">
        <v>946842</v>
      </c>
      <c r="F17" s="182"/>
      <c r="G17" s="182">
        <v>11250</v>
      </c>
      <c r="H17" s="182"/>
      <c r="I17" s="579">
        <f t="shared" si="0"/>
        <v>995127</v>
      </c>
    </row>
    <row r="18" spans="1:9" ht="12" customHeight="1">
      <c r="A18" s="552" t="s">
        <v>413</v>
      </c>
      <c r="B18" s="580">
        <v>273800</v>
      </c>
      <c r="C18" s="368">
        <v>329358</v>
      </c>
      <c r="D18" s="182">
        <v>2362</v>
      </c>
      <c r="E18" s="579">
        <v>1308688</v>
      </c>
      <c r="F18" s="368"/>
      <c r="G18" s="368">
        <v>15750</v>
      </c>
      <c r="H18" s="368">
        <v>16163</v>
      </c>
      <c r="I18" s="579">
        <f t="shared" si="0"/>
        <v>1946121</v>
      </c>
    </row>
    <row r="19" spans="1:9" ht="12" customHeight="1">
      <c r="A19" s="552" t="s">
        <v>414</v>
      </c>
      <c r="B19" s="368">
        <v>13800</v>
      </c>
      <c r="C19" s="368">
        <v>352237</v>
      </c>
      <c r="D19" s="182">
        <v>2954</v>
      </c>
      <c r="E19" s="368">
        <v>821771</v>
      </c>
      <c r="F19" s="368"/>
      <c r="G19" s="368"/>
      <c r="H19" s="368"/>
      <c r="I19" s="579">
        <f t="shared" si="0"/>
        <v>1190762</v>
      </c>
    </row>
    <row r="20" spans="1:9" ht="12" customHeight="1">
      <c r="A20" s="552" t="s">
        <v>415</v>
      </c>
      <c r="B20" s="368">
        <v>297500</v>
      </c>
      <c r="C20" s="368">
        <v>294804</v>
      </c>
      <c r="D20" s="182">
        <v>4725</v>
      </c>
      <c r="E20" s="368">
        <v>933804</v>
      </c>
      <c r="F20" s="368"/>
      <c r="G20" s="368"/>
      <c r="H20" s="368">
        <v>3675</v>
      </c>
      <c r="I20" s="579">
        <f t="shared" si="0"/>
        <v>1534508</v>
      </c>
    </row>
    <row r="21" spans="1:9" ht="12" customHeight="1">
      <c r="A21" s="552" t="s">
        <v>416</v>
      </c>
      <c r="B21" s="368">
        <v>478000</v>
      </c>
      <c r="C21" s="368">
        <v>532608</v>
      </c>
      <c r="D21" s="182">
        <v>4134</v>
      </c>
      <c r="E21" s="579">
        <v>1533686</v>
      </c>
      <c r="F21" s="368"/>
      <c r="G21" s="368">
        <v>9750</v>
      </c>
      <c r="H21" s="368"/>
      <c r="I21" s="579">
        <f t="shared" si="0"/>
        <v>2558178</v>
      </c>
    </row>
    <row r="22" spans="1:9" ht="12" customHeight="1">
      <c r="A22" s="552" t="s">
        <v>417</v>
      </c>
      <c r="B22" s="368">
        <v>30500</v>
      </c>
      <c r="C22" s="579">
        <v>893713</v>
      </c>
      <c r="D22" s="182">
        <v>4725</v>
      </c>
      <c r="E22" s="579">
        <v>1807796</v>
      </c>
      <c r="F22" s="368">
        <v>37501</v>
      </c>
      <c r="G22" s="368">
        <v>19838</v>
      </c>
      <c r="H22" s="368">
        <v>15750</v>
      </c>
      <c r="I22" s="579">
        <f t="shared" si="0"/>
        <v>2809823</v>
      </c>
    </row>
    <row r="23" spans="1:9" ht="12" customHeight="1">
      <c r="A23" s="552" t="s">
        <v>418</v>
      </c>
      <c r="B23" s="368">
        <v>415300</v>
      </c>
      <c r="C23" s="368">
        <v>280048</v>
      </c>
      <c r="D23" s="182">
        <v>1772</v>
      </c>
      <c r="E23" s="579">
        <v>1221081</v>
      </c>
      <c r="F23" s="368">
        <v>37500</v>
      </c>
      <c r="G23" s="368">
        <v>37500</v>
      </c>
      <c r="H23" s="368">
        <v>10675</v>
      </c>
      <c r="I23" s="579">
        <f t="shared" si="0"/>
        <v>2003876</v>
      </c>
    </row>
    <row r="24" spans="1:9" ht="12" customHeight="1">
      <c r="A24" s="552" t="s">
        <v>419</v>
      </c>
      <c r="B24" s="368">
        <v>126050</v>
      </c>
      <c r="C24" s="368">
        <v>124132</v>
      </c>
      <c r="D24" s="182">
        <v>2954</v>
      </c>
      <c r="E24" s="579">
        <v>1307545</v>
      </c>
      <c r="F24" s="368"/>
      <c r="G24" s="368">
        <v>40763</v>
      </c>
      <c r="H24" s="368">
        <v>37845</v>
      </c>
      <c r="I24" s="579">
        <f t="shared" si="0"/>
        <v>1639289</v>
      </c>
    </row>
    <row r="25" spans="1:9" ht="12" customHeight="1">
      <c r="A25" s="552" t="s">
        <v>420</v>
      </c>
      <c r="B25" s="368">
        <v>47000</v>
      </c>
      <c r="C25" s="368">
        <v>137576</v>
      </c>
      <c r="D25" s="182">
        <v>1772</v>
      </c>
      <c r="E25" s="368">
        <v>901009</v>
      </c>
      <c r="F25" s="368"/>
      <c r="G25" s="368">
        <v>5250</v>
      </c>
      <c r="H25" s="368">
        <v>14925</v>
      </c>
      <c r="I25" s="579">
        <f t="shared" si="0"/>
        <v>1107532</v>
      </c>
    </row>
    <row r="26" spans="1:9" ht="12" customHeight="1">
      <c r="A26" s="552" t="s">
        <v>421</v>
      </c>
      <c r="B26" s="368">
        <v>25000</v>
      </c>
      <c r="C26" s="368">
        <v>256196</v>
      </c>
      <c r="D26" s="182">
        <v>2362</v>
      </c>
      <c r="E26" s="579">
        <v>1140551</v>
      </c>
      <c r="F26" s="368">
        <v>37500</v>
      </c>
      <c r="G26" s="368"/>
      <c r="H26" s="368">
        <v>19819</v>
      </c>
      <c r="I26" s="579">
        <f t="shared" si="0"/>
        <v>1481428</v>
      </c>
    </row>
    <row r="27" spans="1:9" ht="12" customHeight="1">
      <c r="A27" s="552" t="s">
        <v>422</v>
      </c>
      <c r="B27" s="368">
        <v>241150</v>
      </c>
      <c r="C27" s="368">
        <v>403019</v>
      </c>
      <c r="D27" s="182">
        <v>2954</v>
      </c>
      <c r="E27" s="579">
        <v>1524797</v>
      </c>
      <c r="F27" s="368"/>
      <c r="G27" s="368">
        <v>19819</v>
      </c>
      <c r="H27" s="368">
        <v>8040</v>
      </c>
      <c r="I27" s="579">
        <f t="shared" si="0"/>
        <v>2199779</v>
      </c>
    </row>
    <row r="28" spans="1:9" ht="12" customHeight="1">
      <c r="A28" s="552" t="s">
        <v>423</v>
      </c>
      <c r="B28" s="368">
        <v>168000</v>
      </c>
      <c r="C28" s="368">
        <v>156728</v>
      </c>
      <c r="D28" s="182">
        <v>1879</v>
      </c>
      <c r="E28" s="579">
        <v>1076547</v>
      </c>
      <c r="F28" s="368"/>
      <c r="G28" s="368">
        <v>5250</v>
      </c>
      <c r="H28" s="368">
        <v>36150</v>
      </c>
      <c r="I28" s="579">
        <f t="shared" si="0"/>
        <v>1444554</v>
      </c>
    </row>
    <row r="29" spans="1:9" ht="12" customHeight="1">
      <c r="A29" s="552" t="s">
        <v>424</v>
      </c>
      <c r="B29" s="368">
        <v>863000</v>
      </c>
      <c r="C29" s="368">
        <v>420388</v>
      </c>
      <c r="D29" s="182">
        <v>2954</v>
      </c>
      <c r="E29" s="579">
        <v>1217804</v>
      </c>
      <c r="F29" s="368"/>
      <c r="G29" s="368">
        <v>41400</v>
      </c>
      <c r="H29" s="368">
        <v>25600</v>
      </c>
      <c r="I29" s="579">
        <f t="shared" si="0"/>
        <v>2571146</v>
      </c>
    </row>
    <row r="30" spans="1:9" ht="12" customHeight="1">
      <c r="A30" s="552" t="s">
        <v>425</v>
      </c>
      <c r="B30" s="368">
        <v>128500</v>
      </c>
      <c r="C30" s="368">
        <v>467881</v>
      </c>
      <c r="D30" s="182">
        <v>2952</v>
      </c>
      <c r="E30" s="579">
        <v>1445431</v>
      </c>
      <c r="F30" s="368"/>
      <c r="G30" s="368">
        <v>31500</v>
      </c>
      <c r="H30" s="368">
        <v>19549</v>
      </c>
      <c r="I30" s="579">
        <f t="shared" si="0"/>
        <v>2095813</v>
      </c>
    </row>
    <row r="31" spans="1:9" ht="12" customHeight="1">
      <c r="A31" s="552" t="s">
        <v>426</v>
      </c>
      <c r="B31" s="368">
        <v>35000</v>
      </c>
      <c r="C31" s="368">
        <v>143700</v>
      </c>
      <c r="D31" s="182">
        <v>2952</v>
      </c>
      <c r="E31" s="579">
        <v>1174349</v>
      </c>
      <c r="F31" s="368"/>
      <c r="G31" s="368">
        <v>10200</v>
      </c>
      <c r="H31" s="368"/>
      <c r="I31" s="579">
        <f t="shared" si="0"/>
        <v>1366201</v>
      </c>
    </row>
    <row r="32" spans="1:9" ht="12" customHeight="1">
      <c r="A32" s="552" t="s">
        <v>427</v>
      </c>
      <c r="B32" s="368">
        <v>436500</v>
      </c>
      <c r="C32" s="368">
        <v>122894</v>
      </c>
      <c r="D32" s="182">
        <v>2952</v>
      </c>
      <c r="E32" s="579">
        <v>968791</v>
      </c>
      <c r="F32" s="368"/>
      <c r="G32" s="368">
        <v>30135</v>
      </c>
      <c r="H32" s="368">
        <v>2566</v>
      </c>
      <c r="I32" s="579">
        <f t="shared" si="0"/>
        <v>1563838</v>
      </c>
    </row>
    <row r="33" spans="1:9" ht="12" customHeight="1">
      <c r="A33" s="552" t="s">
        <v>428</v>
      </c>
      <c r="B33" s="368">
        <v>629200</v>
      </c>
      <c r="C33" s="368">
        <v>238680</v>
      </c>
      <c r="D33" s="182">
        <v>5316</v>
      </c>
      <c r="E33" s="579">
        <v>1411572</v>
      </c>
      <c r="F33" s="368"/>
      <c r="G33" s="368">
        <v>4425</v>
      </c>
      <c r="H33" s="368"/>
      <c r="I33" s="579">
        <f t="shared" si="0"/>
        <v>2289193</v>
      </c>
    </row>
    <row r="34" spans="1:9" ht="12" customHeight="1">
      <c r="A34" s="552" t="s">
        <v>429</v>
      </c>
      <c r="B34" s="368">
        <v>74000</v>
      </c>
      <c r="C34" s="368">
        <v>240719</v>
      </c>
      <c r="D34" s="182">
        <v>4725</v>
      </c>
      <c r="E34" s="579">
        <v>1824740</v>
      </c>
      <c r="F34" s="368">
        <v>37500</v>
      </c>
      <c r="G34" s="368"/>
      <c r="H34" s="368">
        <v>15675</v>
      </c>
      <c r="I34" s="579">
        <f t="shared" si="0"/>
        <v>2197359</v>
      </c>
    </row>
    <row r="35" spans="1:9" ht="12" customHeight="1">
      <c r="A35" s="552" t="s">
        <v>430</v>
      </c>
      <c r="B35" s="368">
        <v>279000</v>
      </c>
      <c r="C35" s="368">
        <v>361267</v>
      </c>
      <c r="D35" s="182">
        <v>4725</v>
      </c>
      <c r="E35" s="579">
        <v>1294459</v>
      </c>
      <c r="F35" s="368"/>
      <c r="G35" s="368"/>
      <c r="H35" s="368">
        <v>27885</v>
      </c>
      <c r="I35" s="579">
        <f t="shared" si="0"/>
        <v>1967336</v>
      </c>
    </row>
    <row r="36" spans="1:9" ht="12" customHeight="1">
      <c r="A36" s="552" t="s">
        <v>431</v>
      </c>
      <c r="B36" s="368">
        <v>149000</v>
      </c>
      <c r="C36" s="368">
        <v>548244</v>
      </c>
      <c r="D36" s="182">
        <v>2952</v>
      </c>
      <c r="E36" s="579">
        <v>1340159</v>
      </c>
      <c r="F36" s="368"/>
      <c r="G36" s="368">
        <v>36000</v>
      </c>
      <c r="H36" s="368">
        <v>5250</v>
      </c>
      <c r="I36" s="579">
        <f t="shared" si="0"/>
        <v>2081605</v>
      </c>
    </row>
    <row r="37" spans="1:9" ht="12" customHeight="1">
      <c r="A37" s="552" t="s">
        <v>432</v>
      </c>
      <c r="B37" s="368">
        <v>1167274</v>
      </c>
      <c r="C37" s="368">
        <v>500888</v>
      </c>
      <c r="D37" s="182">
        <v>9449</v>
      </c>
      <c r="E37" s="579">
        <v>3199590</v>
      </c>
      <c r="F37" s="368"/>
      <c r="G37" s="368">
        <v>12000</v>
      </c>
      <c r="H37" s="368"/>
      <c r="I37" s="579">
        <f t="shared" si="0"/>
        <v>4889201</v>
      </c>
    </row>
    <row r="38" spans="1:9" ht="12" customHeight="1">
      <c r="A38" s="552" t="s">
        <v>433</v>
      </c>
      <c r="B38" s="368">
        <v>880000</v>
      </c>
      <c r="C38" s="368">
        <v>524160</v>
      </c>
      <c r="D38" s="182">
        <v>2952</v>
      </c>
      <c r="E38" s="579">
        <v>1187556</v>
      </c>
      <c r="F38" s="368"/>
      <c r="G38" s="368"/>
      <c r="H38" s="368"/>
      <c r="I38" s="579">
        <f t="shared" si="0"/>
        <v>2594668</v>
      </c>
    </row>
    <row r="39" spans="1:9" ht="12" customHeight="1">
      <c r="A39" s="552" t="s">
        <v>434</v>
      </c>
      <c r="B39" s="368">
        <v>201900</v>
      </c>
      <c r="C39" s="368">
        <v>229461</v>
      </c>
      <c r="D39" s="182">
        <v>4134</v>
      </c>
      <c r="E39" s="579">
        <v>1525994</v>
      </c>
      <c r="F39" s="368"/>
      <c r="G39" s="368">
        <v>5250</v>
      </c>
      <c r="H39" s="368"/>
      <c r="I39" s="579">
        <f t="shared" si="0"/>
        <v>1966739</v>
      </c>
    </row>
    <row r="40" spans="1:9" ht="12" customHeight="1">
      <c r="A40" s="552" t="s">
        <v>435</v>
      </c>
      <c r="B40" s="368">
        <v>659300</v>
      </c>
      <c r="C40" s="368">
        <v>683404</v>
      </c>
      <c r="D40" s="182">
        <v>2952</v>
      </c>
      <c r="E40" s="579">
        <v>1605059</v>
      </c>
      <c r="F40" s="579"/>
      <c r="G40" s="579">
        <v>17639</v>
      </c>
      <c r="H40" s="579">
        <v>31360</v>
      </c>
      <c r="I40" s="579">
        <f t="shared" si="0"/>
        <v>2999714</v>
      </c>
    </row>
    <row r="41" spans="1:9" ht="12" customHeight="1">
      <c r="A41" s="552" t="s">
        <v>436</v>
      </c>
      <c r="B41" s="368">
        <v>51000</v>
      </c>
      <c r="C41" s="368">
        <v>174382</v>
      </c>
      <c r="D41" s="182">
        <v>4725</v>
      </c>
      <c r="E41" s="579">
        <v>1002378</v>
      </c>
      <c r="F41" s="579">
        <v>13859</v>
      </c>
      <c r="G41" s="579">
        <v>24600</v>
      </c>
      <c r="H41" s="579">
        <v>4700</v>
      </c>
      <c r="I41" s="579">
        <f t="shared" si="0"/>
        <v>1275644</v>
      </c>
    </row>
    <row r="42" spans="1:9" ht="12" customHeight="1">
      <c r="A42" s="552" t="s">
        <v>437</v>
      </c>
      <c r="B42" s="368">
        <v>35000</v>
      </c>
      <c r="C42" s="368">
        <v>709682</v>
      </c>
      <c r="D42" s="182">
        <v>5316</v>
      </c>
      <c r="E42" s="579">
        <v>1935280</v>
      </c>
      <c r="F42" s="579">
        <v>2795</v>
      </c>
      <c r="G42" s="579">
        <v>7500</v>
      </c>
      <c r="H42" s="579">
        <v>15750</v>
      </c>
      <c r="I42" s="579">
        <f t="shared" si="0"/>
        <v>2711323</v>
      </c>
    </row>
    <row r="43" spans="1:9" ht="12" customHeight="1">
      <c r="A43" s="552" t="s">
        <v>438</v>
      </c>
      <c r="B43" s="368"/>
      <c r="C43" s="368">
        <v>162993</v>
      </c>
      <c r="D43" s="182">
        <v>2257</v>
      </c>
      <c r="E43" s="368">
        <v>450547</v>
      </c>
      <c r="F43" s="513"/>
      <c r="G43" s="579">
        <v>21000</v>
      </c>
      <c r="H43" s="579"/>
      <c r="I43" s="579">
        <f t="shared" si="0"/>
        <v>636797</v>
      </c>
    </row>
    <row r="44" spans="1:9" ht="12" customHeight="1">
      <c r="A44" s="387" t="s">
        <v>440</v>
      </c>
      <c r="B44" s="584">
        <f aca="true" t="shared" si="1" ref="B44:I44">SUM(B11:B43)</f>
        <v>9467674</v>
      </c>
      <c r="C44" s="584">
        <f t="shared" si="1"/>
        <v>14108334</v>
      </c>
      <c r="D44" s="584">
        <f t="shared" si="1"/>
        <v>153041</v>
      </c>
      <c r="E44" s="584">
        <f t="shared" si="1"/>
        <v>59936406</v>
      </c>
      <c r="F44" s="584">
        <f t="shared" si="1"/>
        <v>220455</v>
      </c>
      <c r="G44" s="584">
        <f t="shared" si="1"/>
        <v>431661</v>
      </c>
      <c r="H44" s="584">
        <f t="shared" si="1"/>
        <v>311377</v>
      </c>
      <c r="I44" s="584">
        <f t="shared" si="1"/>
        <v>84628948</v>
      </c>
    </row>
    <row r="45" spans="1:9" ht="17.25" customHeight="1" hidden="1">
      <c r="A45" s="585"/>
      <c r="B45" s="586"/>
      <c r="C45" s="586"/>
      <c r="D45" s="586"/>
      <c r="E45" s="586"/>
      <c r="F45" s="586"/>
      <c r="G45" s="586"/>
      <c r="H45" s="586"/>
      <c r="I45" s="586">
        <f>SUM(B44:H44)</f>
        <v>84628948</v>
      </c>
    </row>
    <row r="46" spans="1:9" ht="17.25" customHeight="1">
      <c r="A46" s="585"/>
      <c r="B46" s="586"/>
      <c r="C46" s="586"/>
      <c r="D46" s="587"/>
      <c r="E46" s="586"/>
      <c r="F46" s="586"/>
      <c r="G46" s="586"/>
      <c r="H46" s="586"/>
      <c r="I46" s="586"/>
    </row>
    <row r="47" spans="1:9" ht="17.25" customHeight="1">
      <c r="A47" s="585"/>
      <c r="B47" s="586"/>
      <c r="C47" s="586"/>
      <c r="D47" s="586"/>
      <c r="E47" s="586"/>
      <c r="F47" s="586"/>
      <c r="G47" s="586"/>
      <c r="H47" s="586"/>
      <c r="I47" s="586"/>
    </row>
    <row r="48" spans="1:8" ht="17.25" customHeight="1">
      <c r="A48" s="588"/>
      <c r="B48" s="589"/>
      <c r="C48" s="590"/>
      <c r="D48" s="591"/>
      <c r="E48" s="591"/>
      <c r="F48" s="591"/>
      <c r="G48" s="591"/>
      <c r="H48" s="591"/>
    </row>
    <row r="49" spans="1:9" s="458" customFormat="1" ht="17.25" customHeight="1">
      <c r="A49" s="575"/>
      <c r="B49" s="575"/>
      <c r="C49" s="592"/>
      <c r="D49" s="470"/>
      <c r="E49" s="593"/>
      <c r="F49" s="575"/>
      <c r="G49" s="470"/>
      <c r="H49" s="593"/>
      <c r="I49" s="473"/>
    </row>
    <row r="50" spans="1:9" ht="17.25" customHeight="1">
      <c r="A50" s="594"/>
      <c r="B50" s="595"/>
      <c r="C50" s="595"/>
      <c r="D50" s="595"/>
      <c r="E50" s="470"/>
      <c r="F50" s="596"/>
      <c r="G50" s="596"/>
      <c r="H50" s="596"/>
      <c r="I50" s="470"/>
    </row>
    <row r="51" spans="1:7" ht="17.25" customHeight="1">
      <c r="A51" s="41" t="s">
        <v>639</v>
      </c>
      <c r="G51" s="39" t="s">
        <v>859</v>
      </c>
    </row>
    <row r="57" ht="17.25" customHeight="1">
      <c r="A57" s="453" t="s">
        <v>61</v>
      </c>
    </row>
    <row r="58" ht="17.25" customHeight="1">
      <c r="A58" s="453" t="s">
        <v>116</v>
      </c>
    </row>
    <row r="62" ht="17.25" customHeight="1">
      <c r="A62" s="38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1.21" right="0.75" top="0.47" bottom="0.63" header="0.18" footer="0.26"/>
  <pageSetup firstPageNumber="48" useFirstPageNumber="1" horizontalDpi="600" verticalDpi="600" orientation="landscape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M59"/>
  <sheetViews>
    <sheetView workbookViewId="0" topLeftCell="A1">
      <selection activeCell="B3" sqref="B3"/>
    </sheetView>
  </sheetViews>
  <sheetFormatPr defaultColWidth="9.140625" defaultRowHeight="12.75"/>
  <cols>
    <col min="1" max="1" width="4.421875" style="49" customWidth="1"/>
    <col min="2" max="2" width="45.140625" style="49" customWidth="1"/>
    <col min="3" max="3" width="21.28125" style="49" customWidth="1"/>
    <col min="4" max="4" width="20.00390625" style="49" customWidth="1"/>
    <col min="92" max="16384" width="9.140625" style="49" customWidth="1"/>
  </cols>
  <sheetData>
    <row r="1" ht="12.75">
      <c r="D1" s="275" t="s">
        <v>531</v>
      </c>
    </row>
    <row r="2" spans="1:4" ht="12.75">
      <c r="A2" s="846" t="s">
        <v>826</v>
      </c>
      <c r="B2" s="846"/>
      <c r="C2" s="846"/>
      <c r="D2" s="846"/>
    </row>
    <row r="4" spans="1:91" s="538" customFormat="1" ht="15.75">
      <c r="A4" s="424" t="s">
        <v>532</v>
      </c>
      <c r="B4" s="424"/>
      <c r="C4" s="424"/>
      <c r="D4" s="424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</row>
    <row r="5" spans="1:91" s="538" customFormat="1" ht="15.75">
      <c r="A5" s="425" t="s">
        <v>132</v>
      </c>
      <c r="B5" s="424"/>
      <c r="C5" s="424"/>
      <c r="D5" s="424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79"/>
      <c r="CG5" s="479"/>
      <c r="CH5" s="479"/>
      <c r="CI5" s="479"/>
      <c r="CJ5" s="479"/>
      <c r="CK5" s="479"/>
      <c r="CL5" s="479"/>
      <c r="CM5" s="479"/>
    </row>
    <row r="7" spans="1:91" s="600" customFormat="1" ht="15">
      <c r="A7" s="597"/>
      <c r="B7" s="598" t="s">
        <v>533</v>
      </c>
      <c r="C7" s="599" t="s">
        <v>534</v>
      </c>
      <c r="D7" s="599" t="s">
        <v>535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</row>
    <row r="8" spans="1:91" s="604" customFormat="1" ht="6" customHeight="1">
      <c r="A8" s="601"/>
      <c r="B8" s="602"/>
      <c r="C8" s="603"/>
      <c r="D8" s="60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5" customFormat="1" ht="15">
      <c r="A9" s="605" t="s">
        <v>536</v>
      </c>
      <c r="B9" s="606" t="s">
        <v>537</v>
      </c>
      <c r="D9" s="60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5" customFormat="1" ht="15">
      <c r="A10" s="605"/>
      <c r="B10" s="606" t="s">
        <v>146</v>
      </c>
      <c r="C10" s="608" t="s">
        <v>538</v>
      </c>
      <c r="D10" s="60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5" customFormat="1" ht="8.25" customHeight="1">
      <c r="A11" s="605"/>
      <c r="B11" s="606"/>
      <c r="C11" s="608"/>
      <c r="D11" s="60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5" customFormat="1" ht="14.25">
      <c r="A12" s="610"/>
      <c r="B12" s="611" t="s">
        <v>539</v>
      </c>
      <c r="C12" s="612">
        <v>20</v>
      </c>
      <c r="D12" s="612">
        <v>10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5" customFormat="1" ht="14.25">
      <c r="A13" s="610"/>
      <c r="B13" s="611" t="s">
        <v>710</v>
      </c>
      <c r="C13" s="612">
        <v>46</v>
      </c>
      <c r="D13" s="612">
        <v>33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5" customFormat="1" ht="14.25">
      <c r="A14" s="610"/>
      <c r="B14" s="611" t="s">
        <v>540</v>
      </c>
      <c r="C14" s="612">
        <v>62</v>
      </c>
      <c r="D14" s="612">
        <v>47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5" customFormat="1" ht="14.25">
      <c r="A15" s="610"/>
      <c r="B15" s="611" t="s">
        <v>541</v>
      </c>
      <c r="C15" s="612">
        <v>79</v>
      </c>
      <c r="D15" s="612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5" customFormat="1" ht="14.25">
      <c r="A16" s="610"/>
      <c r="B16" s="613" t="s">
        <v>147</v>
      </c>
      <c r="C16" s="612"/>
      <c r="D16" s="61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5" customFormat="1" ht="6" customHeight="1">
      <c r="A17" s="614"/>
      <c r="B17" s="607"/>
      <c r="C17" s="340"/>
      <c r="D17" s="615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5" customFormat="1" ht="15">
      <c r="A18" s="605" t="s">
        <v>542</v>
      </c>
      <c r="B18" s="606" t="s">
        <v>543</v>
      </c>
      <c r="C18" s="608" t="s">
        <v>544</v>
      </c>
      <c r="D18" s="60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5" customFormat="1" ht="15">
      <c r="A19" s="605"/>
      <c r="B19" s="606" t="s">
        <v>545</v>
      </c>
      <c r="C19" s="49"/>
      <c r="D19" s="61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5" customFormat="1" ht="16.5" customHeight="1">
      <c r="A20" s="610"/>
      <c r="C20" s="617" t="s">
        <v>546</v>
      </c>
      <c r="D20" s="617" t="s">
        <v>547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5" customFormat="1" ht="14.25">
      <c r="A21" s="610"/>
      <c r="B21" s="618" t="s">
        <v>548</v>
      </c>
      <c r="C21" s="619" t="s">
        <v>549</v>
      </c>
      <c r="D21" s="619" t="s">
        <v>549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5" customFormat="1" ht="14.25">
      <c r="A22" s="610"/>
      <c r="B22" s="611" t="s">
        <v>550</v>
      </c>
      <c r="C22" s="620" t="s">
        <v>551</v>
      </c>
      <c r="D22" s="620" t="s">
        <v>552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5" customFormat="1" ht="14.25">
      <c r="A23" s="610"/>
      <c r="B23" s="611" t="s">
        <v>553</v>
      </c>
      <c r="C23" s="620" t="s">
        <v>554</v>
      </c>
      <c r="D23" s="620" t="s">
        <v>552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5" customFormat="1" ht="14.25">
      <c r="A24" s="610"/>
      <c r="B24" s="611" t="s">
        <v>555</v>
      </c>
      <c r="C24" s="620" t="s">
        <v>556</v>
      </c>
      <c r="D24" s="620" t="s">
        <v>552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5" customFormat="1" ht="14.25">
      <c r="A25" s="610"/>
      <c r="B25" s="611" t="s">
        <v>557</v>
      </c>
      <c r="C25" s="620" t="s">
        <v>558</v>
      </c>
      <c r="D25" s="621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5" customFormat="1" ht="14.25">
      <c r="A26" s="610"/>
      <c r="B26" s="611"/>
      <c r="C26" s="620"/>
      <c r="D26" s="620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5" customFormat="1" ht="12" customHeight="1">
      <c r="A27" s="610"/>
      <c r="B27" s="607"/>
      <c r="C27" s="622"/>
      <c r="D27" s="606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5" customFormat="1" ht="15">
      <c r="A28" s="605" t="s">
        <v>559</v>
      </c>
      <c r="B28" s="606" t="s">
        <v>560</v>
      </c>
      <c r="D28" s="607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5" customFormat="1" ht="15">
      <c r="A29" s="605"/>
      <c r="B29" s="606" t="s">
        <v>561</v>
      </c>
      <c r="C29" s="608" t="s">
        <v>538</v>
      </c>
      <c r="D29" s="60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4" ht="12" customHeight="1">
      <c r="A30" s="623"/>
      <c r="B30" s="624"/>
      <c r="D30" s="625"/>
    </row>
    <row r="31" spans="1:91" s="5" customFormat="1" ht="14.25">
      <c r="A31" s="610"/>
      <c r="B31" s="611" t="s">
        <v>550</v>
      </c>
      <c r="C31" s="612">
        <v>0</v>
      </c>
      <c r="D31" s="612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91" s="5" customFormat="1" ht="14.25">
      <c r="A32" s="610"/>
      <c r="B32" s="611" t="s">
        <v>553</v>
      </c>
      <c r="C32" s="612">
        <v>0</v>
      </c>
      <c r="D32" s="612"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</row>
    <row r="33" spans="1:91" s="5" customFormat="1" ht="14.25">
      <c r="A33" s="610"/>
      <c r="B33" s="611" t="s">
        <v>555</v>
      </c>
      <c r="C33" s="612">
        <v>0</v>
      </c>
      <c r="D33" s="612"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5" customFormat="1" ht="14.25">
      <c r="A34" s="610"/>
      <c r="B34" s="611" t="s">
        <v>557</v>
      </c>
      <c r="C34" s="612">
        <v>0</v>
      </c>
      <c r="D34" s="612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5" customFormat="1" ht="14.25">
      <c r="A35" s="610"/>
      <c r="B35" s="611"/>
      <c r="C35" s="612"/>
      <c r="D35" s="612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4" ht="12.75">
      <c r="A36" s="623"/>
      <c r="B36" s="616"/>
      <c r="C36" s="354"/>
      <c r="D36" s="626"/>
    </row>
    <row r="37" spans="1:91" s="5" customFormat="1" ht="15">
      <c r="A37" s="605" t="s">
        <v>562</v>
      </c>
      <c r="B37" s="606" t="s">
        <v>161</v>
      </c>
      <c r="D37" s="60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5" customFormat="1" ht="15">
      <c r="A38" s="605"/>
      <c r="B38" s="606" t="s">
        <v>711</v>
      </c>
      <c r="C38" s="608" t="s">
        <v>538</v>
      </c>
      <c r="D38" s="609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" customHeight="1">
      <c r="A39" s="623"/>
      <c r="B39" s="624"/>
      <c r="D39" s="616"/>
    </row>
    <row r="40" spans="1:91" s="5" customFormat="1" ht="14.25">
      <c r="A40" s="610"/>
      <c r="B40" s="611" t="s">
        <v>539</v>
      </c>
      <c r="C40" s="612">
        <v>295</v>
      </c>
      <c r="D40" s="612">
        <v>276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5" customFormat="1" ht="14.25">
      <c r="A41" s="610"/>
      <c r="B41" s="611" t="s">
        <v>712</v>
      </c>
      <c r="C41" s="612">
        <v>606</v>
      </c>
      <c r="D41" s="612">
        <v>582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91" s="5" customFormat="1" ht="14.25">
      <c r="A42" s="610"/>
      <c r="B42" s="611" t="s">
        <v>563</v>
      </c>
      <c r="C42" s="612">
        <v>920</v>
      </c>
      <c r="D42" s="612">
        <v>891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</row>
    <row r="43" spans="1:91" s="5" customFormat="1" ht="14.25">
      <c r="A43" s="610"/>
      <c r="B43" s="611" t="s">
        <v>564</v>
      </c>
      <c r="C43" s="612">
        <v>1247</v>
      </c>
      <c r="D43" s="612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4" ht="12.75">
      <c r="A44" s="749"/>
      <c r="B44" s="627" t="s">
        <v>148</v>
      </c>
      <c r="D44" s="628"/>
    </row>
    <row r="45" spans="1:4" ht="12.75">
      <c r="A45" s="750"/>
      <c r="B45" s="630" t="s">
        <v>149</v>
      </c>
      <c r="C45" s="629"/>
      <c r="D45" s="631"/>
    </row>
    <row r="50" ht="12.75">
      <c r="A50" s="49" t="s">
        <v>470</v>
      </c>
    </row>
    <row r="53" ht="12.75">
      <c r="A53" s="38" t="s">
        <v>823</v>
      </c>
    </row>
    <row r="54" spans="1:91" s="38" customFormat="1" ht="12.75">
      <c r="A54" s="38" t="s">
        <v>143</v>
      </c>
      <c r="B54" s="49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</row>
    <row r="58" spans="2:91" s="38" customFormat="1" ht="10.5" customHeight="1">
      <c r="B58" s="4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59" spans="2:91" s="38" customFormat="1" ht="12.75">
      <c r="B59" s="4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</row>
  </sheetData>
  <mergeCells count="1">
    <mergeCell ref="A2:D2"/>
  </mergeCells>
  <printOptions/>
  <pageMargins left="0.75" right="0.27" top="0.51" bottom="0.2" header="0.5" footer="0.5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1">
      <selection activeCell="K10" sqref="K10"/>
    </sheetView>
  </sheetViews>
  <sheetFormatPr defaultColWidth="9.140625" defaultRowHeight="12.75"/>
  <cols>
    <col min="1" max="1" width="29.28125" style="49" hidden="1" customWidth="1"/>
    <col min="2" max="2" width="10.57421875" style="49" hidden="1" customWidth="1"/>
    <col min="3" max="3" width="9.57421875" style="49" hidden="1" customWidth="1"/>
    <col min="4" max="4" width="5.8515625" style="49" hidden="1" customWidth="1"/>
    <col min="5" max="5" width="10.57421875" style="49" hidden="1" customWidth="1"/>
    <col min="6" max="6" width="9.57421875" style="49" hidden="1" customWidth="1"/>
    <col min="7" max="7" width="5.8515625" style="49" hidden="1" customWidth="1"/>
    <col min="8" max="8" width="10.57421875" style="49" hidden="1" customWidth="1"/>
    <col min="9" max="9" width="8.8515625" style="49" hidden="1" customWidth="1"/>
    <col min="10" max="10" width="6.140625" style="49" hidden="1" customWidth="1"/>
    <col min="11" max="11" width="47.28125" style="49" customWidth="1"/>
    <col min="12" max="12" width="9.8515625" style="49" customWidth="1"/>
    <col min="13" max="13" width="9.140625" style="49" customWidth="1"/>
    <col min="14" max="14" width="7.7109375" style="49" customWidth="1"/>
    <col min="15" max="15" width="10.140625" style="49" customWidth="1"/>
    <col min="16" max="16" width="8.8515625" style="49" customWidth="1"/>
    <col min="17" max="17" width="7.8515625" style="49" customWidth="1"/>
    <col min="18" max="18" width="10.140625" style="49" customWidth="1"/>
    <col min="19" max="19" width="8.851562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275" t="s">
        <v>565</v>
      </c>
    </row>
    <row r="2" spans="1:19" ht="17.25" customHeight="1">
      <c r="A2" s="51" t="s">
        <v>862</v>
      </c>
      <c r="B2" s="51"/>
      <c r="C2" s="174"/>
      <c r="D2" s="51"/>
      <c r="E2" s="51"/>
      <c r="F2" s="174"/>
      <c r="G2" s="174"/>
      <c r="H2" s="174"/>
      <c r="I2" s="174"/>
      <c r="K2" s="51" t="s">
        <v>862</v>
      </c>
      <c r="L2" s="51"/>
      <c r="M2" s="174"/>
      <c r="N2" s="51"/>
      <c r="O2" s="51"/>
      <c r="P2" s="174"/>
      <c r="Q2" s="174"/>
      <c r="R2" s="174"/>
      <c r="S2" s="174"/>
    </row>
    <row r="3" spans="1:20" ht="12.75">
      <c r="A3" s="51"/>
      <c r="B3" s="51"/>
      <c r="C3" s="174"/>
      <c r="D3" s="51"/>
      <c r="E3" s="51"/>
      <c r="F3" s="174"/>
      <c r="G3" s="174"/>
      <c r="H3" s="174"/>
      <c r="I3" s="174"/>
      <c r="J3" s="1"/>
      <c r="K3" s="51"/>
      <c r="L3" s="51"/>
      <c r="M3" s="174"/>
      <c r="N3" s="51"/>
      <c r="O3" s="51"/>
      <c r="P3" s="174"/>
      <c r="Q3" s="174"/>
      <c r="R3" s="174"/>
      <c r="S3" s="174"/>
      <c r="T3" s="1"/>
    </row>
    <row r="4" spans="1:20" ht="18.75" customHeight="1">
      <c r="A4" s="847" t="s">
        <v>566</v>
      </c>
      <c r="B4" s="847"/>
      <c r="C4" s="847"/>
      <c r="D4" s="847"/>
      <c r="E4" s="847"/>
      <c r="F4" s="847"/>
      <c r="G4" s="847"/>
      <c r="H4" s="847"/>
      <c r="I4" s="847"/>
      <c r="J4" s="847"/>
      <c r="K4" s="847" t="s">
        <v>567</v>
      </c>
      <c r="L4" s="847"/>
      <c r="M4" s="847"/>
      <c r="N4" s="847"/>
      <c r="O4" s="847"/>
      <c r="P4" s="847"/>
      <c r="Q4" s="847"/>
      <c r="R4" s="847"/>
      <c r="S4" s="847"/>
      <c r="T4" s="847"/>
    </row>
    <row r="5" spans="1:20" ht="18.75" customHeight="1">
      <c r="A5" s="847" t="s">
        <v>568</v>
      </c>
      <c r="B5" s="847"/>
      <c r="C5" s="847"/>
      <c r="D5" s="847"/>
      <c r="E5" s="847"/>
      <c r="F5" s="847"/>
      <c r="G5" s="847"/>
      <c r="H5" s="847"/>
      <c r="I5" s="847"/>
      <c r="J5" s="847"/>
      <c r="K5" s="847" t="s">
        <v>568</v>
      </c>
      <c r="L5" s="847"/>
      <c r="M5" s="847"/>
      <c r="N5" s="847"/>
      <c r="O5" s="847"/>
      <c r="P5" s="847"/>
      <c r="Q5" s="847"/>
      <c r="R5" s="847"/>
      <c r="S5" s="847"/>
      <c r="T5" s="847"/>
    </row>
    <row r="6" spans="1:20" ht="19.5" customHeight="1">
      <c r="A6" s="847" t="s">
        <v>142</v>
      </c>
      <c r="B6" s="847"/>
      <c r="C6" s="847"/>
      <c r="D6" s="847"/>
      <c r="E6" s="847"/>
      <c r="F6" s="847"/>
      <c r="G6" s="847"/>
      <c r="H6" s="847"/>
      <c r="I6" s="847"/>
      <c r="J6" s="847"/>
      <c r="K6" s="856" t="s">
        <v>132</v>
      </c>
      <c r="L6" s="856"/>
      <c r="M6" s="856"/>
      <c r="N6" s="856"/>
      <c r="O6" s="856"/>
      <c r="P6" s="856"/>
      <c r="Q6" s="856"/>
      <c r="R6" s="856"/>
      <c r="S6" s="856"/>
      <c r="T6" s="856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210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749</v>
      </c>
    </row>
    <row r="9" spans="1:20" s="38" customFormat="1" ht="24" customHeight="1">
      <c r="A9" s="632"/>
      <c r="B9" s="895" t="s">
        <v>569</v>
      </c>
      <c r="C9" s="896"/>
      <c r="D9" s="897"/>
      <c r="E9" s="895" t="s">
        <v>570</v>
      </c>
      <c r="F9" s="896"/>
      <c r="G9" s="897"/>
      <c r="H9" s="898" t="s">
        <v>571</v>
      </c>
      <c r="I9" s="899"/>
      <c r="J9" s="900"/>
      <c r="K9" s="632"/>
      <c r="L9" s="895" t="s">
        <v>569</v>
      </c>
      <c r="M9" s="896"/>
      <c r="N9" s="897"/>
      <c r="O9" s="895" t="s">
        <v>570</v>
      </c>
      <c r="P9" s="896"/>
      <c r="Q9" s="897"/>
      <c r="R9" s="898" t="s">
        <v>571</v>
      </c>
      <c r="S9" s="899"/>
      <c r="T9" s="900"/>
    </row>
    <row r="10" spans="1:20" ht="47.25" customHeight="1">
      <c r="A10" s="550" t="s">
        <v>644</v>
      </c>
      <c r="B10" s="633" t="s">
        <v>572</v>
      </c>
      <c r="C10" s="9" t="s">
        <v>573</v>
      </c>
      <c r="D10" s="9" t="s">
        <v>281</v>
      </c>
      <c r="E10" s="9" t="s">
        <v>572</v>
      </c>
      <c r="F10" s="9" t="s">
        <v>573</v>
      </c>
      <c r="G10" s="9" t="s">
        <v>574</v>
      </c>
      <c r="H10" s="9" t="s">
        <v>572</v>
      </c>
      <c r="I10" s="9" t="s">
        <v>573</v>
      </c>
      <c r="J10" s="9" t="s">
        <v>575</v>
      </c>
      <c r="K10" s="550" t="s">
        <v>644</v>
      </c>
      <c r="L10" s="633" t="s">
        <v>572</v>
      </c>
      <c r="M10" s="9" t="s">
        <v>573</v>
      </c>
      <c r="N10" s="9" t="s">
        <v>281</v>
      </c>
      <c r="O10" s="9" t="s">
        <v>572</v>
      </c>
      <c r="P10" s="9" t="s">
        <v>573</v>
      </c>
      <c r="Q10" s="9" t="s">
        <v>574</v>
      </c>
      <c r="R10" s="9" t="s">
        <v>572</v>
      </c>
      <c r="S10" s="9" t="s">
        <v>573</v>
      </c>
      <c r="T10" s="9" t="s">
        <v>575</v>
      </c>
    </row>
    <row r="11" spans="1:20" ht="12.75">
      <c r="A11" s="55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50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20.25" customHeight="1">
      <c r="A12" s="426" t="s">
        <v>487</v>
      </c>
      <c r="B12" s="361">
        <f>B19+B23+B26+B30+B35+B40+B46+B51+B56+B59+B63+B66+B69+B72+B77+B79+B83+B81+B85</f>
        <v>105353766</v>
      </c>
      <c r="C12" s="361">
        <f aca="true" t="shared" si="0" ref="C12:I12">C19+C23+C26+C30+C35+C40+C46+C51+C56+C59+C63+C66+C69+C72+C77+C79+C83+C81+C85</f>
        <v>42333852</v>
      </c>
      <c r="D12" s="634">
        <f aca="true" t="shared" si="1" ref="D12:D75">C12/B12*100</f>
        <v>40.18257116693864</v>
      </c>
      <c r="E12" s="361">
        <f>E19+E23+E26+E30+E35+E40+E46+E51+E56+E59+E63+E66+E69+E72+E77+E79+E83+E81+E85</f>
        <v>101854768</v>
      </c>
      <c r="F12" s="361">
        <f>F19+F23+F26+F30+F35+F40+F46+F51+F56+F59+F63+F66+F69+F72+F77+F79+F83+F81+F85</f>
        <v>36933938</v>
      </c>
      <c r="G12" s="634">
        <f aca="true" t="shared" si="2" ref="G12:G75">F12/E12*100</f>
        <v>36.261373645267156</v>
      </c>
      <c r="H12" s="361">
        <f t="shared" si="0"/>
        <v>151829271</v>
      </c>
      <c r="I12" s="361">
        <f t="shared" si="0"/>
        <v>1817330</v>
      </c>
      <c r="J12" s="634">
        <f>I12/H12*100</f>
        <v>1.1969562838775667</v>
      </c>
      <c r="K12" s="426" t="s">
        <v>487</v>
      </c>
      <c r="L12" s="361">
        <f>L19+L23+L26+L30+L35+L40+L46+L51+L56+L59+L63+L66+L69+L72+L77+L79+L83+L81+L85</f>
        <v>105354</v>
      </c>
      <c r="M12" s="361">
        <f aca="true" t="shared" si="3" ref="M12:S12">M19+M23+M26+M30+M35+M40+M46+M51+M56+M59+M63+M66+M69+M72+M77+M79+M83+M81+M85</f>
        <v>42334</v>
      </c>
      <c r="N12" s="634">
        <f aca="true" t="shared" si="4" ref="N12:N75">M12/L12*100</f>
        <v>40.1826223968715</v>
      </c>
      <c r="O12" s="361">
        <f t="shared" si="3"/>
        <v>101855</v>
      </c>
      <c r="P12" s="361">
        <f t="shared" si="3"/>
        <v>36934</v>
      </c>
      <c r="Q12" s="634">
        <f aca="true" t="shared" si="5" ref="Q12:Q75">P12/O12*100</f>
        <v>36.26135192184969</v>
      </c>
      <c r="R12" s="361">
        <f t="shared" si="3"/>
        <v>151829</v>
      </c>
      <c r="S12" s="361">
        <f t="shared" si="3"/>
        <v>1817</v>
      </c>
      <c r="T12" s="634">
        <f>S12/R12*100</f>
        <v>1.19674107054647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37" customFormat="1" ht="15" customHeight="1">
      <c r="A13" s="635" t="s">
        <v>576</v>
      </c>
      <c r="B13" s="438">
        <f>B31+B52+B73</f>
        <v>237160</v>
      </c>
      <c r="C13" s="438">
        <f>C31+C52+C73</f>
        <v>0</v>
      </c>
      <c r="D13" s="528">
        <f t="shared" si="1"/>
        <v>0</v>
      </c>
      <c r="E13" s="438">
        <f>E31+E52+E73</f>
        <v>209930</v>
      </c>
      <c r="F13" s="438">
        <f>F31+F52+F73</f>
        <v>0</v>
      </c>
      <c r="G13" s="528">
        <f t="shared" si="2"/>
        <v>0</v>
      </c>
      <c r="H13" s="438">
        <f>H31+H52+H73</f>
        <v>858070</v>
      </c>
      <c r="I13" s="438">
        <f>I31+I52+I73</f>
        <v>0</v>
      </c>
      <c r="J13" s="528">
        <f aca="true" t="shared" si="6" ref="J13:J75">I13/H13*100</f>
        <v>0</v>
      </c>
      <c r="K13" s="635" t="s">
        <v>576</v>
      </c>
      <c r="L13" s="438">
        <f>L31+L52+L73</f>
        <v>237</v>
      </c>
      <c r="M13" s="438">
        <f>M31+M52+M73</f>
        <v>0</v>
      </c>
      <c r="N13" s="528">
        <f t="shared" si="4"/>
        <v>0</v>
      </c>
      <c r="O13" s="438">
        <f>O31+O52+O73</f>
        <v>210</v>
      </c>
      <c r="P13" s="438">
        <f>P31+P52+P73</f>
        <v>0</v>
      </c>
      <c r="Q13" s="528">
        <f t="shared" si="5"/>
        <v>0</v>
      </c>
      <c r="R13" s="438">
        <f>R31+R52+R73</f>
        <v>858</v>
      </c>
      <c r="S13" s="438">
        <f>S31+S52+S73</f>
        <v>0</v>
      </c>
      <c r="T13" s="528">
        <f aca="true" t="shared" si="7" ref="T13:T75">S13/R13*100</f>
        <v>0</v>
      </c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6"/>
      <c r="BA13" s="636"/>
      <c r="BB13" s="636"/>
      <c r="BC13" s="636"/>
      <c r="BD13" s="636"/>
      <c r="BE13" s="636"/>
      <c r="BF13" s="636"/>
      <c r="BG13" s="636"/>
      <c r="BH13" s="636"/>
      <c r="BI13" s="636"/>
      <c r="BJ13" s="636"/>
      <c r="BK13" s="636"/>
      <c r="BL13" s="636"/>
      <c r="BM13" s="636"/>
      <c r="BN13" s="636"/>
      <c r="BO13" s="636"/>
      <c r="BP13" s="636"/>
      <c r="BQ13" s="636"/>
      <c r="BR13" s="636"/>
      <c r="BS13" s="636"/>
      <c r="BT13" s="636"/>
      <c r="BU13" s="636"/>
      <c r="BV13" s="636"/>
      <c r="BW13" s="636"/>
      <c r="BX13" s="636"/>
      <c r="BY13" s="636"/>
      <c r="BZ13" s="636"/>
      <c r="CA13" s="636"/>
      <c r="CB13" s="636"/>
      <c r="CC13" s="636"/>
      <c r="CD13" s="636"/>
      <c r="CE13" s="636"/>
      <c r="CF13" s="636"/>
      <c r="CG13" s="636"/>
      <c r="CH13" s="636"/>
      <c r="CI13" s="636"/>
      <c r="CJ13" s="636"/>
      <c r="CK13" s="636"/>
      <c r="CL13" s="636"/>
      <c r="CM13" s="636"/>
      <c r="CN13" s="636"/>
      <c r="CO13" s="636"/>
      <c r="CP13" s="636"/>
      <c r="CQ13" s="636"/>
      <c r="CR13" s="636"/>
      <c r="CS13" s="636"/>
      <c r="CT13" s="636"/>
      <c r="CU13" s="636"/>
      <c r="CV13" s="636"/>
      <c r="CW13" s="636"/>
      <c r="CX13" s="636"/>
      <c r="CY13" s="636"/>
      <c r="CZ13" s="636"/>
      <c r="DA13" s="636"/>
      <c r="DB13" s="636"/>
      <c r="DC13" s="636"/>
    </row>
    <row r="14" spans="1:107" s="637" customFormat="1" ht="15" customHeight="1">
      <c r="A14" s="635" t="s">
        <v>959</v>
      </c>
      <c r="B14" s="438">
        <f>B20+B32+B36+B41+B53+B60+B74</f>
        <v>54157092</v>
      </c>
      <c r="C14" s="438">
        <f>C20+C32+C36+C41+C53+C60+C74</f>
        <v>37814379</v>
      </c>
      <c r="D14" s="528">
        <f t="shared" si="1"/>
        <v>69.82350344808026</v>
      </c>
      <c r="E14" s="438">
        <f>E20+E32+E36+E41+E53+E60+E74</f>
        <v>59437486</v>
      </c>
      <c r="F14" s="438">
        <f>F20+F32+F36+F41+F53+F60+F74</f>
        <v>34387070</v>
      </c>
      <c r="G14" s="528">
        <f t="shared" si="2"/>
        <v>57.85417976796663</v>
      </c>
      <c r="H14" s="438">
        <f>H32+H36+H41+H53+H60+H74</f>
        <v>549524</v>
      </c>
      <c r="I14" s="438">
        <f>I32+I36+I41+I53+I60+I74</f>
        <v>72330</v>
      </c>
      <c r="J14" s="528">
        <f t="shared" si="6"/>
        <v>13.162300463674015</v>
      </c>
      <c r="K14" s="635" t="s">
        <v>959</v>
      </c>
      <c r="L14" s="438">
        <f>L20+L32+L36+L41+L53+L60+L74</f>
        <v>54157</v>
      </c>
      <c r="M14" s="438">
        <f>M20+M32+M36+M41+M53+M60+M74</f>
        <v>37814</v>
      </c>
      <c r="N14" s="528">
        <f t="shared" si="4"/>
        <v>69.82292224458519</v>
      </c>
      <c r="O14" s="438">
        <f>O20+O32+O36+O41+O53+O60+O74</f>
        <v>59437</v>
      </c>
      <c r="P14" s="438">
        <f>P20+P32+P36+P41+P53+P60+P74</f>
        <v>34387</v>
      </c>
      <c r="Q14" s="528">
        <f t="shared" si="5"/>
        <v>57.85453505392264</v>
      </c>
      <c r="R14" s="438">
        <f>R32+R36+R41+R53+R60+R74</f>
        <v>549</v>
      </c>
      <c r="S14" s="438">
        <f>S32+S36+S41+S53+S60+S74+S20</f>
        <v>72</v>
      </c>
      <c r="T14" s="528">
        <f t="shared" si="7"/>
        <v>13.114754098360656</v>
      </c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6"/>
      <c r="AW14" s="636"/>
      <c r="AX14" s="636"/>
      <c r="AY14" s="636"/>
      <c r="AZ14" s="636"/>
      <c r="BA14" s="636"/>
      <c r="BB14" s="636"/>
      <c r="BC14" s="636"/>
      <c r="BD14" s="636"/>
      <c r="BE14" s="636"/>
      <c r="BF14" s="636"/>
      <c r="BG14" s="636"/>
      <c r="BH14" s="636"/>
      <c r="BI14" s="636"/>
      <c r="BJ14" s="636"/>
      <c r="BK14" s="636"/>
      <c r="BL14" s="636"/>
      <c r="BM14" s="636"/>
      <c r="BN14" s="636"/>
      <c r="BO14" s="636"/>
      <c r="BP14" s="636"/>
      <c r="BQ14" s="636"/>
      <c r="BR14" s="636"/>
      <c r="BS14" s="636"/>
      <c r="BT14" s="636"/>
      <c r="BU14" s="636"/>
      <c r="BV14" s="636"/>
      <c r="BW14" s="636"/>
      <c r="BX14" s="636"/>
      <c r="BY14" s="636"/>
      <c r="BZ14" s="636"/>
      <c r="CA14" s="636"/>
      <c r="CB14" s="636"/>
      <c r="CC14" s="636"/>
      <c r="CD14" s="636"/>
      <c r="CE14" s="636"/>
      <c r="CF14" s="636"/>
      <c r="CG14" s="636"/>
      <c r="CH14" s="636"/>
      <c r="CI14" s="636"/>
      <c r="CJ14" s="636"/>
      <c r="CK14" s="636"/>
      <c r="CL14" s="636"/>
      <c r="CM14" s="636"/>
      <c r="CN14" s="636"/>
      <c r="CO14" s="636"/>
      <c r="CP14" s="636"/>
      <c r="CQ14" s="636"/>
      <c r="CR14" s="636"/>
      <c r="CS14" s="636"/>
      <c r="CT14" s="636"/>
      <c r="CU14" s="636"/>
      <c r="CV14" s="636"/>
      <c r="CW14" s="636"/>
      <c r="CX14" s="636"/>
      <c r="CY14" s="636"/>
      <c r="CZ14" s="636"/>
      <c r="DA14" s="636"/>
      <c r="DB14" s="636"/>
      <c r="DC14" s="636"/>
    </row>
    <row r="15" spans="1:107" s="74" customFormat="1" ht="13.5" customHeight="1">
      <c r="A15" s="434" t="s">
        <v>577</v>
      </c>
      <c r="B15" s="438">
        <f>B21+B24+B27+B33+B37+B42+B47+B54+B57+B61+B64+B67+B70+B75+B78+B80</f>
        <v>6665290</v>
      </c>
      <c r="C15" s="438">
        <f>C21+C24+C27+C33+C37+C42+C47+C54+C57+C61+C64+C67+C70+C75+C78+C80</f>
        <v>2550840</v>
      </c>
      <c r="D15" s="528">
        <f t="shared" si="1"/>
        <v>38.27050285884035</v>
      </c>
      <c r="E15" s="438">
        <f>E21+E24+E27+E33+E37+E42+E47+E54+E57+E61+E64+E67+E70+E75+E78+E80</f>
        <v>4960075</v>
      </c>
      <c r="F15" s="438">
        <f>F21+F24+F27+F33+F37+F42+F47+F54+F57+F61+F64+F67+F70+F75+F78+F80</f>
        <v>1661840</v>
      </c>
      <c r="G15" s="528">
        <f t="shared" si="2"/>
        <v>33.504332091752644</v>
      </c>
      <c r="H15" s="438">
        <f>H21+H24+H27+H33+H37+H42+H47+H54+H57+H61+H64+H67+H70+H75+H78+H80</f>
        <v>10717433</v>
      </c>
      <c r="I15" s="438">
        <f>I21+I24+I27+I33+I37+I42+I47+I54+I57+I61+I64+I67+I70+I75+I78+I80</f>
        <v>50000</v>
      </c>
      <c r="J15" s="528">
        <f t="shared" si="6"/>
        <v>0.46652962514437923</v>
      </c>
      <c r="K15" s="434" t="s">
        <v>577</v>
      </c>
      <c r="L15" s="438">
        <f>L21+L24+L27+L33+L37+L42+L47+L54+L57+L61+L64+L67+L70+L75+L78+L80</f>
        <v>6666</v>
      </c>
      <c r="M15" s="438">
        <f>M21+M24+M27+M33+M37+M42+M47+M54+M57+M61+M64+M67+M70+M75+M78+M80</f>
        <v>2551</v>
      </c>
      <c r="N15" s="528">
        <f t="shared" si="4"/>
        <v>38.268826882688266</v>
      </c>
      <c r="O15" s="438">
        <f>O21+O24+O27+O33+O37+O42+O47+O54+O57+O61+O64+O67+O70+O75+O78+O80</f>
        <v>4960</v>
      </c>
      <c r="P15" s="438">
        <f>P21+P24+P27+P33+P37+P42+P47+P54+P57+P61+P64+P67+P70+P75+P78+P80</f>
        <v>1662</v>
      </c>
      <c r="Q15" s="528">
        <f t="shared" si="5"/>
        <v>33.50806451612903</v>
      </c>
      <c r="R15" s="438">
        <f>R21+R24+R27+R33+R37+R42+R47+R54+R57+R61+R64+R67+R70+R75+R78+R80</f>
        <v>10718</v>
      </c>
      <c r="S15" s="438">
        <f>S21+S24+S27+S33+S37+S42+S47+S54+S57+S61+S64+S67+S70+S75+S78+S80</f>
        <v>50</v>
      </c>
      <c r="T15" s="528">
        <f t="shared" si="7"/>
        <v>0.46650494495241646</v>
      </c>
      <c r="U15" s="636"/>
      <c r="V15" s="636"/>
      <c r="W15" s="636"/>
      <c r="X15" s="636"/>
      <c r="Y15" s="636"/>
      <c r="Z15" s="636"/>
      <c r="AA15" s="636"/>
      <c r="AB15" s="636"/>
      <c r="AC15" s="636"/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  <c r="BD15" s="636"/>
      <c r="BE15" s="636"/>
      <c r="BF15" s="636"/>
      <c r="BG15" s="636"/>
      <c r="BH15" s="636"/>
      <c r="BI15" s="636"/>
      <c r="BJ15" s="636"/>
      <c r="BK15" s="636"/>
      <c r="BL15" s="636"/>
      <c r="BM15" s="636"/>
      <c r="BN15" s="636"/>
      <c r="BO15" s="636"/>
      <c r="BP15" s="636"/>
      <c r="BQ15" s="636"/>
      <c r="BR15" s="636"/>
      <c r="BS15" s="636"/>
      <c r="BT15" s="636"/>
      <c r="BU15" s="636"/>
      <c r="BV15" s="636"/>
      <c r="BW15" s="636"/>
      <c r="BX15" s="636"/>
      <c r="BY15" s="636"/>
      <c r="BZ15" s="636"/>
      <c r="CA15" s="636"/>
      <c r="CB15" s="636"/>
      <c r="CC15" s="636"/>
      <c r="CD15" s="636"/>
      <c r="CE15" s="636"/>
      <c r="CF15" s="636"/>
      <c r="CG15" s="636"/>
      <c r="CH15" s="636"/>
      <c r="CI15" s="636"/>
      <c r="CJ15" s="636"/>
      <c r="CK15" s="636"/>
      <c r="CL15" s="636"/>
      <c r="CM15" s="636"/>
      <c r="CN15" s="636"/>
      <c r="CO15" s="636"/>
      <c r="CP15" s="636"/>
      <c r="CQ15" s="636"/>
      <c r="CR15" s="636"/>
      <c r="CS15" s="636"/>
      <c r="CT15" s="636"/>
      <c r="CU15" s="636"/>
      <c r="CV15" s="636"/>
      <c r="CW15" s="636"/>
      <c r="CX15" s="636"/>
      <c r="CY15" s="636"/>
      <c r="CZ15" s="636"/>
      <c r="DA15" s="636"/>
      <c r="DB15" s="636"/>
      <c r="DC15" s="636"/>
    </row>
    <row r="16" spans="1:107" s="74" customFormat="1" ht="14.25" customHeight="1">
      <c r="A16" s="434" t="s">
        <v>195</v>
      </c>
      <c r="B16" s="438">
        <f>B25+B38+B43+B48+B55+B58+B62+B65+B68+B71+B76+B84+B86</f>
        <v>39325701</v>
      </c>
      <c r="C16" s="438">
        <f>C25+C38+C43+C48+C55+C58+C62+C65+C68+C71+C76+C84+C86</f>
        <v>1764662</v>
      </c>
      <c r="D16" s="528">
        <f t="shared" si="1"/>
        <v>4.487299539809856</v>
      </c>
      <c r="E16" s="438">
        <f>E25+E38+E43+E48+E55+E58+E62+E65+E68+E71+E76+E84+E86</f>
        <v>34510501</v>
      </c>
      <c r="F16" s="438">
        <f>F25+F38+F43+F48+F55+F58+F62+F65+F68+F71+F76+F84+F86</f>
        <v>862000</v>
      </c>
      <c r="G16" s="528">
        <f t="shared" si="2"/>
        <v>2.497790455142914</v>
      </c>
      <c r="H16" s="438">
        <f>H25+H38+H43+H48+H55+H58+H62+H65+H68+H71+H76+H84+H86</f>
        <v>131243064</v>
      </c>
      <c r="I16" s="438">
        <f>I25+I38+I43+I48+I55+I58+I62+I65+I68+I71+I76+I84+I86</f>
        <v>1695000</v>
      </c>
      <c r="J16" s="528">
        <f t="shared" si="6"/>
        <v>1.2914968215006013</v>
      </c>
      <c r="K16" s="434" t="s">
        <v>195</v>
      </c>
      <c r="L16" s="438">
        <f>L25+L38+L43+L48+L55+L58+L62+L65+L68+L71+L76+L84+L86</f>
        <v>39326</v>
      </c>
      <c r="M16" s="438">
        <f aca="true" t="shared" si="8" ref="M16:S16">M25+M38+M43+M48+M55+M58+M62+M65+M68+M71+M76+M84+M86</f>
        <v>1765</v>
      </c>
      <c r="N16" s="528">
        <f t="shared" si="4"/>
        <v>4.4881249046432385</v>
      </c>
      <c r="O16" s="438">
        <f t="shared" si="8"/>
        <v>34511</v>
      </c>
      <c r="P16" s="438">
        <f t="shared" si="8"/>
        <v>862</v>
      </c>
      <c r="Q16" s="528">
        <f t="shared" si="5"/>
        <v>2.4977543391961983</v>
      </c>
      <c r="R16" s="438">
        <f t="shared" si="8"/>
        <v>131243</v>
      </c>
      <c r="S16" s="438">
        <f t="shared" si="8"/>
        <v>1695</v>
      </c>
      <c r="T16" s="528">
        <f t="shared" si="7"/>
        <v>1.2914974512926403</v>
      </c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6"/>
      <c r="AU16" s="636"/>
      <c r="AV16" s="636"/>
      <c r="AW16" s="636"/>
      <c r="AX16" s="636"/>
      <c r="AY16" s="636"/>
      <c r="AZ16" s="636"/>
      <c r="BA16" s="636"/>
      <c r="BB16" s="636"/>
      <c r="BC16" s="636"/>
      <c r="BD16" s="636"/>
      <c r="BE16" s="636"/>
      <c r="BF16" s="636"/>
      <c r="BG16" s="636"/>
      <c r="BH16" s="636"/>
      <c r="BI16" s="636"/>
      <c r="BJ16" s="636"/>
      <c r="BK16" s="636"/>
      <c r="BL16" s="636"/>
      <c r="BM16" s="636"/>
      <c r="BN16" s="636"/>
      <c r="BO16" s="636"/>
      <c r="BP16" s="636"/>
      <c r="BQ16" s="636"/>
      <c r="BR16" s="636"/>
      <c r="BS16" s="636"/>
      <c r="BT16" s="636"/>
      <c r="BU16" s="636"/>
      <c r="BV16" s="636"/>
      <c r="BW16" s="636"/>
      <c r="BX16" s="636"/>
      <c r="BY16" s="636"/>
      <c r="BZ16" s="636"/>
      <c r="CA16" s="636"/>
      <c r="CB16" s="636"/>
      <c r="CC16" s="636"/>
      <c r="CD16" s="636"/>
      <c r="CE16" s="636"/>
      <c r="CF16" s="636"/>
      <c r="CG16" s="636"/>
      <c r="CH16" s="636"/>
      <c r="CI16" s="636"/>
      <c r="CJ16" s="636"/>
      <c r="CK16" s="636"/>
      <c r="CL16" s="636"/>
      <c r="CM16" s="636"/>
      <c r="CN16" s="636"/>
      <c r="CO16" s="636"/>
      <c r="CP16" s="636"/>
      <c r="CQ16" s="636"/>
      <c r="CR16" s="636"/>
      <c r="CS16" s="636"/>
      <c r="CT16" s="636"/>
      <c r="CU16" s="636"/>
      <c r="CV16" s="636"/>
      <c r="CW16" s="636"/>
      <c r="CX16" s="636"/>
      <c r="CY16" s="636"/>
      <c r="CZ16" s="636"/>
      <c r="DA16" s="636"/>
      <c r="DB16" s="636"/>
      <c r="DC16" s="636"/>
    </row>
    <row r="17" spans="1:107" s="74" customFormat="1" ht="14.25" customHeight="1">
      <c r="A17" s="635" t="s">
        <v>578</v>
      </c>
      <c r="B17" s="438">
        <f>B28+B44+B49</f>
        <v>267504</v>
      </c>
      <c r="C17" s="438">
        <f>C28+C44+C49+C22</f>
        <v>28171</v>
      </c>
      <c r="D17" s="528">
        <f t="shared" si="1"/>
        <v>10.531057479514324</v>
      </c>
      <c r="E17" s="438">
        <f>E28+E44+E49</f>
        <v>147100</v>
      </c>
      <c r="F17" s="438">
        <f>F28+F44+F49+F22</f>
        <v>23028</v>
      </c>
      <c r="G17" s="528">
        <f t="shared" si="2"/>
        <v>15.654656696125086</v>
      </c>
      <c r="H17" s="438">
        <f>H28+H44+H49</f>
        <v>0</v>
      </c>
      <c r="I17" s="438">
        <f>I28+I44+I49</f>
        <v>0</v>
      </c>
      <c r="J17" s="528" t="e">
        <f t="shared" si="6"/>
        <v>#DIV/0!</v>
      </c>
      <c r="K17" s="635" t="s">
        <v>578</v>
      </c>
      <c r="L17" s="438">
        <f>L22+L28+L44+L49</f>
        <v>288</v>
      </c>
      <c r="M17" s="438">
        <f>M22+M28+M44+M49</f>
        <v>28</v>
      </c>
      <c r="N17" s="528">
        <f t="shared" si="4"/>
        <v>9.722222222222223</v>
      </c>
      <c r="O17" s="438">
        <f>O22+O28+O44+O49</f>
        <v>164</v>
      </c>
      <c r="P17" s="438">
        <f>P22+P28+P44+P49</f>
        <v>23</v>
      </c>
      <c r="Q17" s="528">
        <f t="shared" si="5"/>
        <v>14.02439024390244</v>
      </c>
      <c r="R17" s="438">
        <f>R28+R44+R49</f>
        <v>0</v>
      </c>
      <c r="S17" s="438">
        <f>S28+S44+S49+S22</f>
        <v>0</v>
      </c>
      <c r="T17" s="528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6"/>
      <c r="BE17" s="636"/>
      <c r="BF17" s="636"/>
      <c r="BG17" s="636"/>
      <c r="BH17" s="636"/>
      <c r="BI17" s="636"/>
      <c r="BJ17" s="636"/>
      <c r="BK17" s="636"/>
      <c r="BL17" s="636"/>
      <c r="BM17" s="636"/>
      <c r="BN17" s="636"/>
      <c r="BO17" s="636"/>
      <c r="BP17" s="636"/>
      <c r="BQ17" s="636"/>
      <c r="BR17" s="636"/>
      <c r="BS17" s="636"/>
      <c r="BT17" s="636"/>
      <c r="BU17" s="636"/>
      <c r="BV17" s="636"/>
      <c r="BW17" s="636"/>
      <c r="BX17" s="636"/>
      <c r="BY17" s="636"/>
      <c r="BZ17" s="636"/>
      <c r="CA17" s="636"/>
      <c r="CB17" s="636"/>
      <c r="CC17" s="636"/>
      <c r="CD17" s="636"/>
      <c r="CE17" s="636"/>
      <c r="CF17" s="636"/>
      <c r="CG17" s="636"/>
      <c r="CH17" s="636"/>
      <c r="CI17" s="636"/>
      <c r="CJ17" s="636"/>
      <c r="CK17" s="636"/>
      <c r="CL17" s="636"/>
      <c r="CM17" s="636"/>
      <c r="CN17" s="636"/>
      <c r="CO17" s="636"/>
      <c r="CP17" s="636"/>
      <c r="CQ17" s="636"/>
      <c r="CR17" s="636"/>
      <c r="CS17" s="636"/>
      <c r="CT17" s="636"/>
      <c r="CU17" s="636"/>
      <c r="CV17" s="636"/>
      <c r="CW17" s="636"/>
      <c r="CX17" s="636"/>
      <c r="CY17" s="636"/>
      <c r="CZ17" s="636"/>
      <c r="DA17" s="636"/>
      <c r="DB17" s="636"/>
      <c r="DC17" s="636"/>
    </row>
    <row r="18" spans="1:107" s="74" customFormat="1" ht="13.5" customHeight="1">
      <c r="A18" s="434" t="s">
        <v>579</v>
      </c>
      <c r="B18" s="438">
        <f>B29+B34+B39+B45+B50+B82</f>
        <v>4680192</v>
      </c>
      <c r="C18" s="438">
        <f aca="true" t="shared" si="9" ref="C18:I18">C29+C34+C39+C45+C50+C82</f>
        <v>175800</v>
      </c>
      <c r="D18" s="528">
        <f t="shared" si="1"/>
        <v>3.756256153593699</v>
      </c>
      <c r="E18" s="438">
        <f t="shared" si="9"/>
        <v>2572652</v>
      </c>
      <c r="F18" s="438">
        <f t="shared" si="9"/>
        <v>0</v>
      </c>
      <c r="G18" s="528">
        <f t="shared" si="2"/>
        <v>0</v>
      </c>
      <c r="H18" s="438">
        <f t="shared" si="9"/>
        <v>8461180</v>
      </c>
      <c r="I18" s="438">
        <f t="shared" si="9"/>
        <v>0</v>
      </c>
      <c r="J18" s="528">
        <f t="shared" si="6"/>
        <v>0</v>
      </c>
      <c r="K18" s="434" t="s">
        <v>579</v>
      </c>
      <c r="L18" s="438">
        <f>L29+L34+L39+L45+L50+L82</f>
        <v>4680</v>
      </c>
      <c r="M18" s="438">
        <f aca="true" t="shared" si="10" ref="M18:S18">M29+M34+M39+M45+M50+M82</f>
        <v>176</v>
      </c>
      <c r="N18" s="528">
        <f t="shared" si="4"/>
        <v>3.7606837606837606</v>
      </c>
      <c r="O18" s="438">
        <f t="shared" si="10"/>
        <v>2573</v>
      </c>
      <c r="P18" s="438">
        <f t="shared" si="10"/>
        <v>0</v>
      </c>
      <c r="Q18" s="528">
        <f t="shared" si="5"/>
        <v>0</v>
      </c>
      <c r="R18" s="438">
        <f t="shared" si="10"/>
        <v>8461</v>
      </c>
      <c r="S18" s="438">
        <f t="shared" si="10"/>
        <v>0</v>
      </c>
      <c r="T18" s="528">
        <f t="shared" si="7"/>
        <v>0</v>
      </c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36"/>
      <c r="AH18" s="636"/>
      <c r="AI18" s="636"/>
      <c r="AJ18" s="636"/>
      <c r="AK18" s="636"/>
      <c r="AL18" s="636"/>
      <c r="AM18" s="636"/>
      <c r="AN18" s="636"/>
      <c r="AO18" s="636"/>
      <c r="AP18" s="636"/>
      <c r="AQ18" s="636"/>
      <c r="AR18" s="636"/>
      <c r="AS18" s="636"/>
      <c r="AT18" s="636"/>
      <c r="AU18" s="636"/>
      <c r="AV18" s="636"/>
      <c r="AW18" s="636"/>
      <c r="AX18" s="636"/>
      <c r="AY18" s="636"/>
      <c r="AZ18" s="636"/>
      <c r="BA18" s="636"/>
      <c r="BB18" s="636"/>
      <c r="BC18" s="636"/>
      <c r="BD18" s="636"/>
      <c r="BE18" s="636"/>
      <c r="BF18" s="636"/>
      <c r="BG18" s="636"/>
      <c r="BH18" s="636"/>
      <c r="BI18" s="636"/>
      <c r="BJ18" s="636"/>
      <c r="BK18" s="636"/>
      <c r="BL18" s="636"/>
      <c r="BM18" s="636"/>
      <c r="BN18" s="636"/>
      <c r="BO18" s="636"/>
      <c r="BP18" s="636"/>
      <c r="BQ18" s="636"/>
      <c r="BR18" s="636"/>
      <c r="BS18" s="636"/>
      <c r="BT18" s="636"/>
      <c r="BU18" s="636"/>
      <c r="BV18" s="636"/>
      <c r="BW18" s="636"/>
      <c r="BX18" s="636"/>
      <c r="BY18" s="636"/>
      <c r="BZ18" s="636"/>
      <c r="CA18" s="636"/>
      <c r="CB18" s="636"/>
      <c r="CC18" s="636"/>
      <c r="CD18" s="636"/>
      <c r="CE18" s="636"/>
      <c r="CF18" s="636"/>
      <c r="CG18" s="636"/>
      <c r="CH18" s="636"/>
      <c r="CI18" s="636"/>
      <c r="CJ18" s="636"/>
      <c r="CK18" s="636"/>
      <c r="CL18" s="636"/>
      <c r="CM18" s="636"/>
      <c r="CN18" s="636"/>
      <c r="CO18" s="636"/>
      <c r="CP18" s="636"/>
      <c r="CQ18" s="636"/>
      <c r="CR18" s="636"/>
      <c r="CS18" s="636"/>
      <c r="CT18" s="636"/>
      <c r="CU18" s="636"/>
      <c r="CV18" s="636"/>
      <c r="CW18" s="636"/>
      <c r="CX18" s="636"/>
      <c r="CY18" s="636"/>
      <c r="CZ18" s="636"/>
      <c r="DA18" s="636"/>
      <c r="DB18" s="636"/>
      <c r="DC18" s="636"/>
    </row>
    <row r="19" spans="1:107" s="437" customFormat="1" ht="12.75">
      <c r="A19" s="434" t="s">
        <v>883</v>
      </c>
      <c r="B19" s="11">
        <f>SUM(B20:B22)</f>
        <v>100746</v>
      </c>
      <c r="C19" s="11">
        <f>SUM(C20:C22)</f>
        <v>31402</v>
      </c>
      <c r="D19" s="638">
        <f>C19/B19*100</f>
        <v>31.16947571119449</v>
      </c>
      <c r="E19" s="11">
        <f>SUM(E20:E22)</f>
        <v>97734</v>
      </c>
      <c r="F19" s="11">
        <f>SUM(F20:F22)</f>
        <v>23842</v>
      </c>
      <c r="G19" s="638">
        <f>F19/E19*100</f>
        <v>24.39478584729981</v>
      </c>
      <c r="H19" s="11">
        <f>H21</f>
        <v>0</v>
      </c>
      <c r="I19" s="11">
        <f>I21</f>
        <v>0</v>
      </c>
      <c r="J19" s="638" t="e">
        <f>I19/H19*100</f>
        <v>#DIV/0!</v>
      </c>
      <c r="K19" s="434" t="s">
        <v>883</v>
      </c>
      <c r="L19" s="11">
        <f>SUM(L20:L22)</f>
        <v>101</v>
      </c>
      <c r="M19" s="11">
        <f>SUM(M20:M22)</f>
        <v>31</v>
      </c>
      <c r="N19" s="638">
        <f>M19/L19*100</f>
        <v>30.693069306930692</v>
      </c>
      <c r="O19" s="11">
        <f>SUM(O20:O22)</f>
        <v>98</v>
      </c>
      <c r="P19" s="11">
        <f>SUM(P20:P22)</f>
        <v>24</v>
      </c>
      <c r="Q19" s="638">
        <f>P19/O19*100</f>
        <v>24.489795918367346</v>
      </c>
      <c r="R19" s="11">
        <f>R21</f>
        <v>0</v>
      </c>
      <c r="S19" s="11">
        <f>S21</f>
        <v>0</v>
      </c>
      <c r="T19" s="638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</row>
    <row r="20" spans="1:107" s="437" customFormat="1" ht="12.75">
      <c r="A20" s="442" t="s">
        <v>959</v>
      </c>
      <c r="B20" s="27">
        <v>2819</v>
      </c>
      <c r="C20" s="27">
        <v>3231</v>
      </c>
      <c r="D20" s="639">
        <f t="shared" si="1"/>
        <v>114.61511174175239</v>
      </c>
      <c r="E20" s="27">
        <v>710</v>
      </c>
      <c r="F20" s="27">
        <v>814</v>
      </c>
      <c r="G20" s="639">
        <f t="shared" si="2"/>
        <v>114.64788732394366</v>
      </c>
      <c r="H20" s="27"/>
      <c r="I20" s="27"/>
      <c r="J20" s="639"/>
      <c r="K20" s="442" t="s">
        <v>959</v>
      </c>
      <c r="L20" s="27">
        <f aca="true" t="shared" si="11" ref="L20:M22">ROUND(B20/1000,0)</f>
        <v>3</v>
      </c>
      <c r="M20" s="27">
        <f t="shared" si="11"/>
        <v>3</v>
      </c>
      <c r="N20" s="639">
        <f>M20/L20*100</f>
        <v>100</v>
      </c>
      <c r="O20" s="27">
        <f aca="true" t="shared" si="12" ref="O20:P22">ROUND(E20/1000,0)</f>
        <v>1</v>
      </c>
      <c r="P20" s="27">
        <f t="shared" si="12"/>
        <v>1</v>
      </c>
      <c r="Q20" s="639">
        <f>P20/O20*100</f>
        <v>100</v>
      </c>
      <c r="R20" s="27"/>
      <c r="S20" s="27"/>
      <c r="T20" s="639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6"/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6"/>
      <c r="CZ20" s="436"/>
      <c r="DA20" s="436"/>
      <c r="DB20" s="436"/>
      <c r="DC20" s="436"/>
    </row>
    <row r="21" spans="1:107" s="437" customFormat="1" ht="12.75">
      <c r="A21" s="442" t="s">
        <v>577</v>
      </c>
      <c r="B21" s="27">
        <v>77100</v>
      </c>
      <c r="C21" s="27"/>
      <c r="D21" s="639">
        <f t="shared" si="1"/>
        <v>0</v>
      </c>
      <c r="E21" s="27">
        <v>80000</v>
      </c>
      <c r="F21" s="27"/>
      <c r="G21" s="639">
        <f t="shared" si="2"/>
        <v>0</v>
      </c>
      <c r="H21" s="27"/>
      <c r="I21" s="27"/>
      <c r="J21" s="639" t="e">
        <f t="shared" si="6"/>
        <v>#DIV/0!</v>
      </c>
      <c r="K21" s="442" t="s">
        <v>577</v>
      </c>
      <c r="L21" s="27">
        <f t="shared" si="11"/>
        <v>77</v>
      </c>
      <c r="M21" s="27">
        <f t="shared" si="11"/>
        <v>0</v>
      </c>
      <c r="N21" s="639">
        <f t="shared" si="4"/>
        <v>0</v>
      </c>
      <c r="O21" s="27">
        <f t="shared" si="12"/>
        <v>80</v>
      </c>
      <c r="P21" s="27">
        <f t="shared" si="12"/>
        <v>0</v>
      </c>
      <c r="Q21" s="639">
        <f t="shared" si="5"/>
        <v>0</v>
      </c>
      <c r="R21" s="27"/>
      <c r="S21" s="27"/>
      <c r="T21" s="639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</row>
    <row r="22" spans="1:107" s="437" customFormat="1" ht="12.75">
      <c r="A22" s="442" t="s">
        <v>578</v>
      </c>
      <c r="B22" s="27">
        <v>20827</v>
      </c>
      <c r="C22" s="27">
        <v>28171</v>
      </c>
      <c r="D22" s="639">
        <f t="shared" si="1"/>
        <v>135.26191962356557</v>
      </c>
      <c r="E22" s="27">
        <v>17024</v>
      </c>
      <c r="F22" s="27">
        <v>23028</v>
      </c>
      <c r="G22" s="639">
        <f t="shared" si="2"/>
        <v>135.26785714285714</v>
      </c>
      <c r="H22" s="27"/>
      <c r="I22" s="27"/>
      <c r="J22" s="639"/>
      <c r="K22" s="442" t="s">
        <v>578</v>
      </c>
      <c r="L22" s="27">
        <f t="shared" si="11"/>
        <v>21</v>
      </c>
      <c r="M22" s="27">
        <f t="shared" si="11"/>
        <v>28</v>
      </c>
      <c r="N22" s="639">
        <f>M22/L22*100</f>
        <v>133.33333333333331</v>
      </c>
      <c r="O22" s="27">
        <f t="shared" si="12"/>
        <v>17</v>
      </c>
      <c r="P22" s="27">
        <f t="shared" si="12"/>
        <v>23</v>
      </c>
      <c r="Q22" s="639">
        <f>P22/O22*100</f>
        <v>135.29411764705884</v>
      </c>
      <c r="R22" s="27"/>
      <c r="S22" s="27"/>
      <c r="T22" s="639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</row>
    <row r="23" spans="1:20" ht="12.75">
      <c r="A23" s="74" t="s">
        <v>887</v>
      </c>
      <c r="B23" s="440">
        <f>SUM(B24:B25)</f>
        <v>3445510</v>
      </c>
      <c r="C23" s="440">
        <f aca="true" t="shared" si="13" ref="C23:I23">SUM(C24:C25)</f>
        <v>0</v>
      </c>
      <c r="D23" s="638">
        <f t="shared" si="1"/>
        <v>0</v>
      </c>
      <c r="E23" s="440">
        <f t="shared" si="13"/>
        <v>3279510</v>
      </c>
      <c r="F23" s="440">
        <f t="shared" si="13"/>
        <v>0</v>
      </c>
      <c r="G23" s="638">
        <f t="shared" si="2"/>
        <v>0</v>
      </c>
      <c r="H23" s="440">
        <f t="shared" si="13"/>
        <v>7392100</v>
      </c>
      <c r="I23" s="440">
        <f t="shared" si="13"/>
        <v>0</v>
      </c>
      <c r="J23" s="638">
        <f t="shared" si="6"/>
        <v>0</v>
      </c>
      <c r="K23" s="74" t="s">
        <v>887</v>
      </c>
      <c r="L23" s="440">
        <f aca="true" t="shared" si="14" ref="L23:S23">SUM(L24:L25)</f>
        <v>3446</v>
      </c>
      <c r="M23" s="440">
        <f t="shared" si="14"/>
        <v>0</v>
      </c>
      <c r="N23" s="638">
        <f t="shared" si="4"/>
        <v>0</v>
      </c>
      <c r="O23" s="440">
        <f t="shared" si="14"/>
        <v>3280</v>
      </c>
      <c r="P23" s="440">
        <f t="shared" si="14"/>
        <v>0</v>
      </c>
      <c r="Q23" s="638">
        <f t="shared" si="5"/>
        <v>0</v>
      </c>
      <c r="R23" s="440">
        <f t="shared" si="14"/>
        <v>7392</v>
      </c>
      <c r="S23" s="440">
        <f t="shared" si="14"/>
        <v>0</v>
      </c>
      <c r="T23" s="638">
        <f t="shared" si="7"/>
        <v>0</v>
      </c>
    </row>
    <row r="24" spans="1:107" s="437" customFormat="1" ht="12.75">
      <c r="A24" s="442" t="s">
        <v>577</v>
      </c>
      <c r="B24" s="27">
        <v>4510</v>
      </c>
      <c r="C24" s="27"/>
      <c r="D24" s="639">
        <f t="shared" si="1"/>
        <v>0</v>
      </c>
      <c r="E24" s="27">
        <v>4510</v>
      </c>
      <c r="F24" s="27"/>
      <c r="G24" s="639"/>
      <c r="H24" s="27"/>
      <c r="I24" s="27"/>
      <c r="J24" s="639"/>
      <c r="K24" s="442" t="s">
        <v>577</v>
      </c>
      <c r="L24" s="27">
        <f>ROUND(B24/1000,0)</f>
        <v>5</v>
      </c>
      <c r="M24" s="27">
        <f aca="true" t="shared" si="15" ref="M24:S25">ROUND(C24/1000,0)</f>
        <v>0</v>
      </c>
      <c r="N24" s="639">
        <f t="shared" si="4"/>
        <v>0</v>
      </c>
      <c r="O24" s="27">
        <f t="shared" si="15"/>
        <v>5</v>
      </c>
      <c r="P24" s="27">
        <f t="shared" si="15"/>
        <v>0</v>
      </c>
      <c r="Q24" s="639">
        <f t="shared" si="5"/>
        <v>0</v>
      </c>
      <c r="R24" s="27"/>
      <c r="S24" s="27"/>
      <c r="T24" s="639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6"/>
      <c r="CM24" s="436"/>
      <c r="CN24" s="436"/>
      <c r="CO24" s="436"/>
      <c r="CP24" s="436"/>
      <c r="CQ24" s="436"/>
      <c r="CR24" s="436"/>
      <c r="CS24" s="436"/>
      <c r="CT24" s="436"/>
      <c r="CU24" s="436"/>
      <c r="CV24" s="436"/>
      <c r="CW24" s="436"/>
      <c r="CX24" s="436"/>
      <c r="CY24" s="436"/>
      <c r="CZ24" s="436"/>
      <c r="DA24" s="436"/>
      <c r="DB24" s="436"/>
      <c r="DC24" s="436"/>
    </row>
    <row r="25" spans="1:107" s="437" customFormat="1" ht="12.75">
      <c r="A25" s="442" t="s">
        <v>195</v>
      </c>
      <c r="B25" s="27">
        <v>3441000</v>
      </c>
      <c r="D25" s="639">
        <f t="shared" si="1"/>
        <v>0</v>
      </c>
      <c r="E25" s="27">
        <v>3275000</v>
      </c>
      <c r="F25" s="27"/>
      <c r="G25" s="639">
        <f t="shared" si="2"/>
        <v>0</v>
      </c>
      <c r="H25" s="27">
        <v>7392100</v>
      </c>
      <c r="I25" s="27"/>
      <c r="J25" s="639">
        <f t="shared" si="6"/>
        <v>0</v>
      </c>
      <c r="K25" s="442" t="s">
        <v>195</v>
      </c>
      <c r="L25" s="27">
        <f>ROUND(B25/1000,0)</f>
        <v>3441</v>
      </c>
      <c r="M25" s="27">
        <f t="shared" si="15"/>
        <v>0</v>
      </c>
      <c r="N25" s="639">
        <f t="shared" si="4"/>
        <v>0</v>
      </c>
      <c r="O25" s="27">
        <f t="shared" si="15"/>
        <v>3275</v>
      </c>
      <c r="P25" s="27">
        <f t="shared" si="15"/>
        <v>0</v>
      </c>
      <c r="Q25" s="639">
        <f t="shared" si="5"/>
        <v>0</v>
      </c>
      <c r="R25" s="27">
        <f t="shared" si="15"/>
        <v>7392</v>
      </c>
      <c r="S25" s="27">
        <f t="shared" si="15"/>
        <v>0</v>
      </c>
      <c r="T25" s="639">
        <f t="shared" si="7"/>
        <v>0</v>
      </c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6"/>
      <c r="CL25" s="436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</row>
    <row r="26" spans="1:20" ht="12.75">
      <c r="A26" s="74" t="s">
        <v>889</v>
      </c>
      <c r="B26" s="440">
        <f>SUM(B27:B29)</f>
        <v>1414088</v>
      </c>
      <c r="C26" s="440">
        <f>SUM(C27:C29)</f>
        <v>1651840</v>
      </c>
      <c r="D26" s="638">
        <f t="shared" si="1"/>
        <v>116.81309791186969</v>
      </c>
      <c r="E26" s="440">
        <f>SUM(E27:E29)</f>
        <v>685536</v>
      </c>
      <c r="F26" s="440">
        <f>SUM(F27:F29)</f>
        <v>1651840</v>
      </c>
      <c r="G26" s="638">
        <f t="shared" si="2"/>
        <v>240.9559818886244</v>
      </c>
      <c r="H26" s="440">
        <f>SUM(H27:H29)</f>
        <v>883464</v>
      </c>
      <c r="I26" s="440">
        <f>SUM(I27:I29)</f>
        <v>0</v>
      </c>
      <c r="J26" s="638">
        <f t="shared" si="6"/>
        <v>0</v>
      </c>
      <c r="K26" s="74" t="s">
        <v>889</v>
      </c>
      <c r="L26" s="440">
        <f>SUM(L27:L29)</f>
        <v>1414</v>
      </c>
      <c r="M26" s="440">
        <f>SUM(M27:M29)</f>
        <v>1652</v>
      </c>
      <c r="N26" s="638">
        <f t="shared" si="4"/>
        <v>116.83168316831683</v>
      </c>
      <c r="O26" s="440">
        <f>SUM(O27:O29)</f>
        <v>686</v>
      </c>
      <c r="P26" s="440">
        <f>SUM(P27:P29)</f>
        <v>1652</v>
      </c>
      <c r="Q26" s="638">
        <f t="shared" si="5"/>
        <v>240.81632653061226</v>
      </c>
      <c r="R26" s="440">
        <f>SUM(R27:R29)</f>
        <v>884</v>
      </c>
      <c r="S26" s="440">
        <f>SUM(S27:S29)</f>
        <v>0</v>
      </c>
      <c r="T26" s="638">
        <f t="shared" si="7"/>
        <v>0</v>
      </c>
    </row>
    <row r="27" spans="1:107" s="437" customFormat="1" ht="12.75">
      <c r="A27" s="442" t="s">
        <v>577</v>
      </c>
      <c r="B27" s="27">
        <v>1388740</v>
      </c>
      <c r="C27" s="27">
        <v>1651840</v>
      </c>
      <c r="D27" s="639">
        <f t="shared" si="1"/>
        <v>118.94523092875555</v>
      </c>
      <c r="E27" s="27">
        <v>660740</v>
      </c>
      <c r="F27" s="27">
        <v>1651840</v>
      </c>
      <c r="G27" s="639">
        <f t="shared" si="2"/>
        <v>249.9984865453885</v>
      </c>
      <c r="H27" s="27">
        <v>654740</v>
      </c>
      <c r="I27" s="27"/>
      <c r="J27" s="639">
        <f t="shared" si="6"/>
        <v>0</v>
      </c>
      <c r="K27" s="442" t="s">
        <v>577</v>
      </c>
      <c r="L27" s="27">
        <f aca="true" t="shared" si="16" ref="L27:M29">ROUND(B27/1000,0)</f>
        <v>1389</v>
      </c>
      <c r="M27" s="27">
        <f t="shared" si="16"/>
        <v>1652</v>
      </c>
      <c r="N27" s="639">
        <f t="shared" si="4"/>
        <v>118.93448524118071</v>
      </c>
      <c r="O27" s="27">
        <f aca="true" t="shared" si="17" ref="O27:P29">ROUND(E27/1000,0)</f>
        <v>661</v>
      </c>
      <c r="P27" s="27">
        <f>ROUND(F27/1000,0)</f>
        <v>1652</v>
      </c>
      <c r="Q27" s="639">
        <f t="shared" si="5"/>
        <v>249.92435703479578</v>
      </c>
      <c r="R27" s="27">
        <f aca="true" t="shared" si="18" ref="R27:S29">ROUND(H27/1000,0)</f>
        <v>655</v>
      </c>
      <c r="S27" s="27">
        <f t="shared" si="18"/>
        <v>0</v>
      </c>
      <c r="T27" s="639">
        <f t="shared" si="7"/>
        <v>0</v>
      </c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436"/>
      <c r="CV27" s="436"/>
      <c r="CW27" s="436"/>
      <c r="CX27" s="436"/>
      <c r="CY27" s="436"/>
      <c r="CZ27" s="436"/>
      <c r="DA27" s="436"/>
      <c r="DB27" s="436"/>
      <c r="DC27" s="436"/>
    </row>
    <row r="28" spans="1:107" s="437" customFormat="1" ht="12.75" hidden="1">
      <c r="A28" s="442" t="s">
        <v>578</v>
      </c>
      <c r="B28" s="27"/>
      <c r="C28" s="27"/>
      <c r="D28" s="639" t="e">
        <f t="shared" si="1"/>
        <v>#DIV/0!</v>
      </c>
      <c r="E28" s="27"/>
      <c r="F28" s="27"/>
      <c r="G28" s="639" t="e">
        <f t="shared" si="2"/>
        <v>#DIV/0!</v>
      </c>
      <c r="H28" s="27"/>
      <c r="I28" s="27"/>
      <c r="J28" s="639" t="e">
        <f t="shared" si="6"/>
        <v>#DIV/0!</v>
      </c>
      <c r="K28" s="640" t="s">
        <v>578</v>
      </c>
      <c r="L28" s="27">
        <f>ROUND(B28/1000,0)</f>
        <v>0</v>
      </c>
      <c r="M28" s="27">
        <f t="shared" si="16"/>
        <v>0</v>
      </c>
      <c r="N28" s="639" t="e">
        <f t="shared" si="4"/>
        <v>#DIV/0!</v>
      </c>
      <c r="O28" s="27">
        <f t="shared" si="17"/>
        <v>0</v>
      </c>
      <c r="P28" s="27">
        <f t="shared" si="17"/>
        <v>0</v>
      </c>
      <c r="Q28" s="639" t="e">
        <f t="shared" si="5"/>
        <v>#DIV/0!</v>
      </c>
      <c r="R28" s="27">
        <f t="shared" si="18"/>
        <v>0</v>
      </c>
      <c r="S28" s="27">
        <f t="shared" si="18"/>
        <v>0</v>
      </c>
      <c r="T28" s="639" t="e">
        <f t="shared" si="7"/>
        <v>#DIV/0!</v>
      </c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436"/>
      <c r="CV28" s="436"/>
      <c r="CW28" s="436"/>
      <c r="CX28" s="436"/>
      <c r="CY28" s="436"/>
      <c r="CZ28" s="436"/>
      <c r="DA28" s="436"/>
      <c r="DB28" s="436"/>
      <c r="DC28" s="436"/>
    </row>
    <row r="29" spans="1:107" s="133" customFormat="1" ht="12.75">
      <c r="A29" s="442" t="s">
        <v>579</v>
      </c>
      <c r="B29" s="27">
        <v>25348</v>
      </c>
      <c r="C29" s="27"/>
      <c r="D29" s="639">
        <f t="shared" si="1"/>
        <v>0</v>
      </c>
      <c r="E29" s="27">
        <v>24796</v>
      </c>
      <c r="F29" s="27"/>
      <c r="G29" s="639">
        <f t="shared" si="2"/>
        <v>0</v>
      </c>
      <c r="H29" s="27">
        <v>228724</v>
      </c>
      <c r="I29" s="27"/>
      <c r="J29" s="641">
        <f t="shared" si="6"/>
        <v>0</v>
      </c>
      <c r="K29" s="442" t="s">
        <v>579</v>
      </c>
      <c r="L29" s="642">
        <f t="shared" si="16"/>
        <v>25</v>
      </c>
      <c r="M29" s="27">
        <f t="shared" si="16"/>
        <v>0</v>
      </c>
      <c r="N29" s="639">
        <f t="shared" si="4"/>
        <v>0</v>
      </c>
      <c r="O29" s="27">
        <f t="shared" si="17"/>
        <v>25</v>
      </c>
      <c r="P29" s="27">
        <f t="shared" si="17"/>
        <v>0</v>
      </c>
      <c r="Q29" s="639">
        <f t="shared" si="5"/>
        <v>0</v>
      </c>
      <c r="R29" s="27">
        <f t="shared" si="18"/>
        <v>229</v>
      </c>
      <c r="S29" s="27">
        <f t="shared" si="18"/>
        <v>0</v>
      </c>
      <c r="T29" s="639">
        <f t="shared" si="7"/>
        <v>0</v>
      </c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6"/>
      <c r="BM29" s="436"/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436"/>
      <c r="CM29" s="436"/>
      <c r="CN29" s="436"/>
      <c r="CO29" s="436"/>
      <c r="CP29" s="436"/>
      <c r="CQ29" s="436"/>
      <c r="CR29" s="436"/>
      <c r="CS29" s="436"/>
      <c r="CT29" s="436"/>
      <c r="CU29" s="436"/>
      <c r="CV29" s="436"/>
      <c r="CW29" s="436"/>
      <c r="CX29" s="436"/>
      <c r="CY29" s="436"/>
      <c r="CZ29" s="436"/>
      <c r="DA29" s="436"/>
      <c r="DB29" s="436"/>
      <c r="DC29" s="436"/>
    </row>
    <row r="30" spans="1:20" ht="12.75">
      <c r="A30" s="74" t="s">
        <v>891</v>
      </c>
      <c r="B30" s="440">
        <f>SUM(B31:B34)</f>
        <v>955500</v>
      </c>
      <c r="C30" s="440">
        <f>SUM(C31:C34)</f>
        <v>0</v>
      </c>
      <c r="D30" s="638">
        <f t="shared" si="1"/>
        <v>0</v>
      </c>
      <c r="E30" s="440">
        <f>SUM(E31:E34)</f>
        <v>974370</v>
      </c>
      <c r="F30" s="440">
        <f>SUM(F31:F34)</f>
        <v>0</v>
      </c>
      <c r="G30" s="638">
        <f t="shared" si="2"/>
        <v>0</v>
      </c>
      <c r="H30" s="440">
        <f>SUM(H31:H34)</f>
        <v>4150000</v>
      </c>
      <c r="I30" s="440">
        <f>SUM(I31:I34)</f>
        <v>0</v>
      </c>
      <c r="J30" s="638">
        <f t="shared" si="6"/>
        <v>0</v>
      </c>
      <c r="K30" s="643" t="s">
        <v>891</v>
      </c>
      <c r="L30" s="440">
        <f>SUM(L31:L34)</f>
        <v>956</v>
      </c>
      <c r="M30" s="440">
        <f>SUM(M31:M34)</f>
        <v>0</v>
      </c>
      <c r="N30" s="638">
        <f t="shared" si="4"/>
        <v>0</v>
      </c>
      <c r="O30" s="440">
        <f>SUM(O31:O34)</f>
        <v>975</v>
      </c>
      <c r="P30" s="440">
        <f>SUM(P31:P34)</f>
        <v>0</v>
      </c>
      <c r="Q30" s="638">
        <f t="shared" si="5"/>
        <v>0</v>
      </c>
      <c r="R30" s="440">
        <f>SUM(R31:R34)</f>
        <v>4150</v>
      </c>
      <c r="S30" s="440">
        <f>SUM(S31:S34)</f>
        <v>0</v>
      </c>
      <c r="T30" s="638">
        <f t="shared" si="7"/>
        <v>0</v>
      </c>
    </row>
    <row r="31" spans="1:107" s="437" customFormat="1" ht="12.75">
      <c r="A31" s="442" t="s">
        <v>576</v>
      </c>
      <c r="B31" s="27">
        <v>90000</v>
      </c>
      <c r="C31" s="27"/>
      <c r="D31" s="639">
        <f t="shared" si="1"/>
        <v>0</v>
      </c>
      <c r="E31" s="27">
        <v>66370</v>
      </c>
      <c r="F31" s="27"/>
      <c r="G31" s="639">
        <f t="shared" si="2"/>
        <v>0</v>
      </c>
      <c r="H31" s="27"/>
      <c r="I31" s="27"/>
      <c r="J31" s="639" t="e">
        <f t="shared" si="6"/>
        <v>#DIV/0!</v>
      </c>
      <c r="K31" s="442" t="s">
        <v>576</v>
      </c>
      <c r="L31" s="27">
        <f aca="true" t="shared" si="19" ref="L31:M34">ROUND(B31/1000,0)</f>
        <v>90</v>
      </c>
      <c r="M31" s="27">
        <f t="shared" si="19"/>
        <v>0</v>
      </c>
      <c r="N31" s="639">
        <f t="shared" si="4"/>
        <v>0</v>
      </c>
      <c r="O31" s="27">
        <f>ROUND(E31/1000,0)+1</f>
        <v>67</v>
      </c>
      <c r="P31" s="27">
        <f aca="true" t="shared" si="20" ref="O31:P34">ROUND(F31/1000,0)</f>
        <v>0</v>
      </c>
      <c r="Q31" s="639">
        <f t="shared" si="5"/>
        <v>0</v>
      </c>
      <c r="R31" s="27"/>
      <c r="S31" s="27"/>
      <c r="T31" s="639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</row>
    <row r="32" spans="1:107" s="437" customFormat="1" ht="12.75">
      <c r="A32" s="442" t="s">
        <v>959</v>
      </c>
      <c r="B32" s="27">
        <v>15500</v>
      </c>
      <c r="C32" s="27"/>
      <c r="D32" s="639">
        <f t="shared" si="1"/>
        <v>0</v>
      </c>
      <c r="E32" s="27">
        <v>8000</v>
      </c>
      <c r="F32" s="27"/>
      <c r="G32" s="639">
        <f t="shared" si="2"/>
        <v>0</v>
      </c>
      <c r="H32" s="27"/>
      <c r="I32" s="27"/>
      <c r="J32" s="639" t="e">
        <f t="shared" si="6"/>
        <v>#DIV/0!</v>
      </c>
      <c r="K32" s="442" t="s">
        <v>959</v>
      </c>
      <c r="L32" s="27">
        <f t="shared" si="19"/>
        <v>16</v>
      </c>
      <c r="M32" s="27">
        <f t="shared" si="19"/>
        <v>0</v>
      </c>
      <c r="N32" s="639">
        <f t="shared" si="4"/>
        <v>0</v>
      </c>
      <c r="O32" s="27">
        <f t="shared" si="20"/>
        <v>8</v>
      </c>
      <c r="P32" s="27">
        <f t="shared" si="20"/>
        <v>0</v>
      </c>
      <c r="Q32" s="639">
        <f t="shared" si="5"/>
        <v>0</v>
      </c>
      <c r="R32" s="27"/>
      <c r="S32" s="27"/>
      <c r="T32" s="639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</row>
    <row r="33" spans="1:107" s="437" customFormat="1" ht="12.75">
      <c r="A33" s="442" t="s">
        <v>577</v>
      </c>
      <c r="B33" s="27">
        <v>50000</v>
      </c>
      <c r="C33" s="27"/>
      <c r="D33" s="639">
        <f t="shared" si="1"/>
        <v>0</v>
      </c>
      <c r="E33" s="27">
        <v>50000</v>
      </c>
      <c r="F33" s="27"/>
      <c r="G33" s="639">
        <f t="shared" si="2"/>
        <v>0</v>
      </c>
      <c r="H33" s="27">
        <v>150000</v>
      </c>
      <c r="I33" s="27"/>
      <c r="J33" s="639">
        <f t="shared" si="6"/>
        <v>0</v>
      </c>
      <c r="K33" s="442" t="s">
        <v>577</v>
      </c>
      <c r="L33" s="27">
        <f t="shared" si="19"/>
        <v>50</v>
      </c>
      <c r="M33" s="27">
        <f t="shared" si="19"/>
        <v>0</v>
      </c>
      <c r="N33" s="639">
        <f t="shared" si="4"/>
        <v>0</v>
      </c>
      <c r="O33" s="27">
        <f t="shared" si="20"/>
        <v>50</v>
      </c>
      <c r="P33" s="27">
        <f t="shared" si="20"/>
        <v>0</v>
      </c>
      <c r="Q33" s="639">
        <f>P33/O33*100</f>
        <v>0</v>
      </c>
      <c r="R33" s="27">
        <f>ROUND(H33/1000,0)</f>
        <v>150</v>
      </c>
      <c r="S33" s="27">
        <f>ROUND(I33/1000,0)</f>
        <v>0</v>
      </c>
      <c r="T33" s="639">
        <f t="shared" si="7"/>
        <v>0</v>
      </c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</row>
    <row r="34" spans="1:107" s="133" customFormat="1" ht="12.75">
      <c r="A34" s="442" t="s">
        <v>579</v>
      </c>
      <c r="B34" s="27">
        <v>800000</v>
      </c>
      <c r="C34" s="27"/>
      <c r="D34" s="639">
        <f t="shared" si="1"/>
        <v>0</v>
      </c>
      <c r="E34" s="27">
        <v>850000</v>
      </c>
      <c r="F34" s="27"/>
      <c r="G34" s="639">
        <f t="shared" si="2"/>
        <v>0</v>
      </c>
      <c r="H34" s="27">
        <v>4000000</v>
      </c>
      <c r="I34" s="27"/>
      <c r="J34" s="639">
        <f t="shared" si="6"/>
        <v>0</v>
      </c>
      <c r="K34" s="442" t="s">
        <v>579</v>
      </c>
      <c r="L34" s="27">
        <f t="shared" si="19"/>
        <v>800</v>
      </c>
      <c r="M34" s="27">
        <f t="shared" si="19"/>
        <v>0</v>
      </c>
      <c r="N34" s="639">
        <f t="shared" si="4"/>
        <v>0</v>
      </c>
      <c r="O34" s="27">
        <f t="shared" si="20"/>
        <v>850</v>
      </c>
      <c r="P34" s="27">
        <f t="shared" si="20"/>
        <v>0</v>
      </c>
      <c r="Q34" s="639">
        <f>P34/O34*100</f>
        <v>0</v>
      </c>
      <c r="R34" s="27">
        <f>ROUND(H34/1000,0)</f>
        <v>4000</v>
      </c>
      <c r="S34" s="27">
        <f>ROUND(I34/1000,0)</f>
        <v>0</v>
      </c>
      <c r="T34" s="639">
        <f t="shared" si="7"/>
        <v>0</v>
      </c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436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</row>
    <row r="35" spans="1:20" ht="12.75">
      <c r="A35" s="74" t="s">
        <v>893</v>
      </c>
      <c r="B35" s="440">
        <f>SUM(B36:B39)</f>
        <v>61070319</v>
      </c>
      <c r="C35" s="440">
        <f aca="true" t="shared" si="21" ref="C35:I35">SUM(C36:C39)</f>
        <v>38879965</v>
      </c>
      <c r="D35" s="638">
        <f t="shared" si="1"/>
        <v>63.664257263827295</v>
      </c>
      <c r="E35" s="440">
        <f t="shared" si="21"/>
        <v>65437000</v>
      </c>
      <c r="F35" s="440">
        <f t="shared" si="21"/>
        <v>34347482</v>
      </c>
      <c r="G35" s="638">
        <f t="shared" si="2"/>
        <v>52.48938979476443</v>
      </c>
      <c r="H35" s="440">
        <f t="shared" si="21"/>
        <v>2743403</v>
      </c>
      <c r="I35" s="440">
        <f t="shared" si="21"/>
        <v>0</v>
      </c>
      <c r="J35" s="638">
        <f t="shared" si="6"/>
        <v>0</v>
      </c>
      <c r="K35" s="74" t="s">
        <v>893</v>
      </c>
      <c r="L35" s="440">
        <f aca="true" t="shared" si="22" ref="L35:S35">SUM(L36:L39)</f>
        <v>61070</v>
      </c>
      <c r="M35" s="440">
        <f t="shared" si="22"/>
        <v>38880</v>
      </c>
      <c r="N35" s="638">
        <f t="shared" si="4"/>
        <v>63.66464712624856</v>
      </c>
      <c r="O35" s="440">
        <f t="shared" si="22"/>
        <v>65437</v>
      </c>
      <c r="P35" s="440">
        <f t="shared" si="22"/>
        <v>34347</v>
      </c>
      <c r="Q35" s="638">
        <f t="shared" si="5"/>
        <v>52.48865320842948</v>
      </c>
      <c r="R35" s="440">
        <f t="shared" si="22"/>
        <v>2743</v>
      </c>
      <c r="S35" s="440">
        <f t="shared" si="22"/>
        <v>0</v>
      </c>
      <c r="T35" s="638">
        <f t="shared" si="7"/>
        <v>0</v>
      </c>
    </row>
    <row r="36" spans="1:107" s="437" customFormat="1" ht="12.75">
      <c r="A36" s="442" t="s">
        <v>959</v>
      </c>
      <c r="B36" s="27">
        <v>54000000</v>
      </c>
      <c r="C36" s="27">
        <f>18343072+1397693+18036400</f>
        <v>37777165</v>
      </c>
      <c r="D36" s="639">
        <f t="shared" si="1"/>
        <v>69.95771296296296</v>
      </c>
      <c r="E36" s="27">
        <v>59300000</v>
      </c>
      <c r="F36" s="27">
        <f>17823102+16524380</f>
        <v>34347482</v>
      </c>
      <c r="G36" s="639">
        <f t="shared" si="2"/>
        <v>57.92155480607083</v>
      </c>
      <c r="H36" s="27"/>
      <c r="I36" s="27"/>
      <c r="J36" s="639"/>
      <c r="K36" s="442" t="s">
        <v>959</v>
      </c>
      <c r="L36" s="27">
        <f aca="true" t="shared" si="23" ref="L36:M39">ROUND(B36/1000,0)</f>
        <v>54000</v>
      </c>
      <c r="M36" s="27">
        <f t="shared" si="23"/>
        <v>37777</v>
      </c>
      <c r="N36" s="639">
        <f t="shared" si="4"/>
        <v>69.95740740740742</v>
      </c>
      <c r="O36" s="27">
        <f aca="true" t="shared" si="24" ref="O36:P38">ROUND(E36/1000,0)</f>
        <v>59300</v>
      </c>
      <c r="P36" s="27">
        <f>ROUND(F36/1000,0)</f>
        <v>34347</v>
      </c>
      <c r="Q36" s="639">
        <f t="shared" si="5"/>
        <v>57.920741989881954</v>
      </c>
      <c r="R36" s="27"/>
      <c r="S36" s="27"/>
      <c r="T36" s="639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6"/>
      <c r="CU36" s="436"/>
      <c r="CV36" s="436"/>
      <c r="CW36" s="436"/>
      <c r="CX36" s="436"/>
      <c r="CY36" s="436"/>
      <c r="CZ36" s="436"/>
      <c r="DA36" s="436"/>
      <c r="DB36" s="436"/>
      <c r="DC36" s="436"/>
    </row>
    <row r="37" spans="1:107" s="437" customFormat="1" ht="12.75">
      <c r="A37" s="442" t="s">
        <v>577</v>
      </c>
      <c r="B37" s="27">
        <v>947000</v>
      </c>
      <c r="C37" s="27">
        <f>3000+886000</f>
        <v>889000</v>
      </c>
      <c r="D37" s="639">
        <f t="shared" si="1"/>
        <v>93.8753959873284</v>
      </c>
      <c r="E37" s="27">
        <v>859000</v>
      </c>
      <c r="F37" s="27"/>
      <c r="G37" s="639">
        <f t="shared" si="2"/>
        <v>0</v>
      </c>
      <c r="H37" s="27">
        <v>2623403</v>
      </c>
      <c r="I37" s="27"/>
      <c r="J37" s="639"/>
      <c r="K37" s="442" t="s">
        <v>577</v>
      </c>
      <c r="L37" s="27">
        <f t="shared" si="23"/>
        <v>947</v>
      </c>
      <c r="M37" s="27">
        <f t="shared" si="23"/>
        <v>889</v>
      </c>
      <c r="N37" s="639">
        <f t="shared" si="4"/>
        <v>93.8753959873284</v>
      </c>
      <c r="O37" s="27">
        <f t="shared" si="24"/>
        <v>859</v>
      </c>
      <c r="P37" s="27">
        <f t="shared" si="24"/>
        <v>0</v>
      </c>
      <c r="Q37" s="639">
        <f t="shared" si="5"/>
        <v>0</v>
      </c>
      <c r="R37" s="27">
        <f>ROUND(H37/1000,0)</f>
        <v>2623</v>
      </c>
      <c r="S37" s="27">
        <f>ROUND(I37/1000,0)</f>
        <v>0</v>
      </c>
      <c r="T37" s="639">
        <f t="shared" si="7"/>
        <v>0</v>
      </c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6"/>
      <c r="BR37" s="436"/>
      <c r="BS37" s="436"/>
      <c r="BT37" s="436"/>
      <c r="BU37" s="436"/>
      <c r="BV37" s="436"/>
      <c r="BW37" s="436"/>
      <c r="BX37" s="436"/>
      <c r="BY37" s="436"/>
      <c r="BZ37" s="436"/>
      <c r="CA37" s="436"/>
      <c r="CB37" s="436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436"/>
      <c r="CT37" s="436"/>
      <c r="CU37" s="436"/>
      <c r="CV37" s="436"/>
      <c r="CW37" s="436"/>
      <c r="CX37" s="436"/>
      <c r="CY37" s="436"/>
      <c r="CZ37" s="436"/>
      <c r="DA37" s="436"/>
      <c r="DB37" s="436"/>
      <c r="DC37" s="436"/>
    </row>
    <row r="38" spans="1:107" s="437" customFormat="1" ht="12.75">
      <c r="A38" s="442" t="s">
        <v>195</v>
      </c>
      <c r="B38" s="27">
        <v>5278000</v>
      </c>
      <c r="C38" s="27">
        <v>38000</v>
      </c>
      <c r="D38" s="639">
        <f t="shared" si="1"/>
        <v>0.7199696854869269</v>
      </c>
      <c r="E38" s="27">
        <v>5278000</v>
      </c>
      <c r="F38" s="27"/>
      <c r="G38" s="639">
        <f t="shared" si="2"/>
        <v>0</v>
      </c>
      <c r="H38" s="27">
        <v>120000</v>
      </c>
      <c r="I38" s="27"/>
      <c r="J38" s="639">
        <f t="shared" si="6"/>
        <v>0</v>
      </c>
      <c r="K38" s="442" t="s">
        <v>195</v>
      </c>
      <c r="L38" s="27">
        <f t="shared" si="23"/>
        <v>5278</v>
      </c>
      <c r="M38" s="27">
        <f t="shared" si="23"/>
        <v>38</v>
      </c>
      <c r="N38" s="639">
        <f t="shared" si="4"/>
        <v>0.7199696854869269</v>
      </c>
      <c r="O38" s="27">
        <f t="shared" si="24"/>
        <v>5278</v>
      </c>
      <c r="P38" s="27">
        <f t="shared" si="24"/>
        <v>0</v>
      </c>
      <c r="Q38" s="639">
        <f t="shared" si="5"/>
        <v>0</v>
      </c>
      <c r="R38" s="27">
        <f>ROUND(H38/1000,0)</f>
        <v>120</v>
      </c>
      <c r="S38" s="27">
        <f>ROUND(I38/1000,0)</f>
        <v>0</v>
      </c>
      <c r="T38" s="639">
        <f t="shared" si="7"/>
        <v>0</v>
      </c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</row>
    <row r="39" spans="1:107" s="133" customFormat="1" ht="12.75">
      <c r="A39" s="442" t="s">
        <v>579</v>
      </c>
      <c r="B39" s="27">
        <v>845319</v>
      </c>
      <c r="C39" s="27">
        <v>175800</v>
      </c>
      <c r="D39" s="639">
        <f t="shared" si="1"/>
        <v>20.796882596984098</v>
      </c>
      <c r="E39" s="27"/>
      <c r="F39" s="27"/>
      <c r="G39" s="639" t="e">
        <f t="shared" si="2"/>
        <v>#DIV/0!</v>
      </c>
      <c r="H39" s="27"/>
      <c r="I39" s="27"/>
      <c r="J39" s="641"/>
      <c r="K39" s="442" t="s">
        <v>579</v>
      </c>
      <c r="L39" s="642">
        <f t="shared" si="23"/>
        <v>845</v>
      </c>
      <c r="M39" s="27">
        <f t="shared" si="23"/>
        <v>176</v>
      </c>
      <c r="N39" s="639">
        <f t="shared" si="4"/>
        <v>20.828402366863905</v>
      </c>
      <c r="O39" s="27"/>
      <c r="P39" s="27"/>
      <c r="Q39" s="639"/>
      <c r="R39" s="27"/>
      <c r="S39" s="27"/>
      <c r="T39" s="639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6"/>
    </row>
    <row r="40" spans="1:20" ht="12.75">
      <c r="A40" s="74" t="s">
        <v>895</v>
      </c>
      <c r="B40" s="440">
        <f>SUM(B41:B45)</f>
        <v>13991372</v>
      </c>
      <c r="C40" s="440">
        <f>SUM(C41:C45)</f>
        <v>761662</v>
      </c>
      <c r="D40" s="638">
        <f t="shared" si="1"/>
        <v>5.443797791953498</v>
      </c>
      <c r="E40" s="440">
        <f>SUM(E41:E45)</f>
        <v>11569875</v>
      </c>
      <c r="F40" s="440">
        <f>SUM(F41:F45)</f>
        <v>0</v>
      </c>
      <c r="G40" s="638">
        <f t="shared" si="2"/>
        <v>0</v>
      </c>
      <c r="H40" s="440">
        <f>SUM(H41:H45)</f>
        <v>71576564</v>
      </c>
      <c r="I40" s="440">
        <f>SUM(I41:I45)</f>
        <v>0</v>
      </c>
      <c r="J40" s="638">
        <f t="shared" si="6"/>
        <v>0</v>
      </c>
      <c r="K40" s="643" t="s">
        <v>895</v>
      </c>
      <c r="L40" s="440">
        <f>SUM(L41:L45)</f>
        <v>13991</v>
      </c>
      <c r="M40" s="440">
        <f>SUM(M41:M45)</f>
        <v>762</v>
      </c>
      <c r="N40" s="638">
        <f t="shared" si="4"/>
        <v>5.44635837323994</v>
      </c>
      <c r="O40" s="440">
        <f>SUM(O41:O45)</f>
        <v>11570</v>
      </c>
      <c r="P40" s="440">
        <f>SUM(P41:P45)</f>
        <v>0</v>
      </c>
      <c r="Q40" s="638">
        <f t="shared" si="5"/>
        <v>0</v>
      </c>
      <c r="R40" s="440">
        <f>SUM(R41:R45)</f>
        <v>71576</v>
      </c>
      <c r="S40" s="440">
        <f>SUM(S41:S45)</f>
        <v>0</v>
      </c>
      <c r="T40" s="638">
        <f t="shared" si="7"/>
        <v>0</v>
      </c>
    </row>
    <row r="41" spans="1:107" s="437" customFormat="1" ht="12.75">
      <c r="A41" s="442" t="s">
        <v>959</v>
      </c>
      <c r="B41" s="27">
        <v>17200</v>
      </c>
      <c r="C41" s="27"/>
      <c r="D41" s="639">
        <f t="shared" si="1"/>
        <v>0</v>
      </c>
      <c r="E41" s="27">
        <v>7400</v>
      </c>
      <c r="F41" s="27"/>
      <c r="G41" s="639">
        <f t="shared" si="2"/>
        <v>0</v>
      </c>
      <c r="H41" s="27"/>
      <c r="I41" s="27"/>
      <c r="J41" s="639" t="e">
        <f t="shared" si="6"/>
        <v>#DIV/0!</v>
      </c>
      <c r="K41" s="442" t="s">
        <v>959</v>
      </c>
      <c r="L41" s="27">
        <f aca="true" t="shared" si="25" ref="L41:M44">ROUND(B41/1000,0)</f>
        <v>17</v>
      </c>
      <c r="M41" s="27">
        <f t="shared" si="25"/>
        <v>0</v>
      </c>
      <c r="N41" s="639">
        <f t="shared" si="4"/>
        <v>0</v>
      </c>
      <c r="O41" s="27">
        <f>ROUND(E41/1000,0)</f>
        <v>7</v>
      </c>
      <c r="P41" s="27"/>
      <c r="Q41" s="639"/>
      <c r="R41" s="27"/>
      <c r="S41" s="27"/>
      <c r="T41" s="639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436"/>
      <c r="CN41" s="436"/>
      <c r="CO41" s="436"/>
      <c r="CP41" s="436"/>
      <c r="CQ41" s="436"/>
      <c r="CR41" s="436"/>
      <c r="CS41" s="436"/>
      <c r="CT41" s="436"/>
      <c r="CU41" s="436"/>
      <c r="CV41" s="436"/>
      <c r="CW41" s="436"/>
      <c r="CX41" s="436"/>
      <c r="CY41" s="436"/>
      <c r="CZ41" s="436"/>
      <c r="DA41" s="436"/>
      <c r="DB41" s="436"/>
      <c r="DC41" s="436"/>
    </row>
    <row r="42" spans="1:107" s="437" customFormat="1" ht="12.75">
      <c r="A42" s="442" t="s">
        <v>577</v>
      </c>
      <c r="B42" s="27">
        <v>26680</v>
      </c>
      <c r="C42" s="27"/>
      <c r="D42" s="639">
        <f t="shared" si="1"/>
        <v>0</v>
      </c>
      <c r="E42" s="27">
        <v>26680</v>
      </c>
      <c r="F42" s="27"/>
      <c r="G42" s="639">
        <f t="shared" si="2"/>
        <v>0</v>
      </c>
      <c r="H42" s="27"/>
      <c r="I42" s="27"/>
      <c r="J42" s="639" t="e">
        <f t="shared" si="6"/>
        <v>#DIV/0!</v>
      </c>
      <c r="K42" s="442" t="s">
        <v>577</v>
      </c>
      <c r="L42" s="27">
        <f t="shared" si="25"/>
        <v>27</v>
      </c>
      <c r="M42" s="27">
        <f t="shared" si="25"/>
        <v>0</v>
      </c>
      <c r="N42" s="639">
        <f t="shared" si="4"/>
        <v>0</v>
      </c>
      <c r="O42" s="27">
        <f aca="true" t="shared" si="26" ref="O42:P44">ROUND(E42/1000,0)</f>
        <v>27</v>
      </c>
      <c r="P42" s="27"/>
      <c r="Q42" s="639"/>
      <c r="R42" s="27"/>
      <c r="S42" s="27"/>
      <c r="T42" s="639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436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  <c r="CA42" s="436"/>
      <c r="CB42" s="436"/>
      <c r="CC42" s="436"/>
      <c r="CD42" s="436"/>
      <c r="CE42" s="436"/>
      <c r="CF42" s="436"/>
      <c r="CG42" s="436"/>
      <c r="CH42" s="436"/>
      <c r="CI42" s="436"/>
      <c r="CJ42" s="436"/>
      <c r="CK42" s="436"/>
      <c r="CL42" s="436"/>
      <c r="CM42" s="436"/>
      <c r="CN42" s="436"/>
      <c r="CO42" s="436"/>
      <c r="CP42" s="436"/>
      <c r="CQ42" s="436"/>
      <c r="CR42" s="436"/>
      <c r="CS42" s="436"/>
      <c r="CT42" s="436"/>
      <c r="CU42" s="436"/>
      <c r="CV42" s="436"/>
      <c r="CW42" s="436"/>
      <c r="CX42" s="436"/>
      <c r="CY42" s="436"/>
      <c r="CZ42" s="436"/>
      <c r="DA42" s="436"/>
      <c r="DB42" s="436"/>
      <c r="DC42" s="436"/>
    </row>
    <row r="43" spans="1:107" s="437" customFormat="1" ht="12.75">
      <c r="A43" s="442" t="s">
        <v>195</v>
      </c>
      <c r="B43" s="27">
        <v>10849457</v>
      </c>
      <c r="C43" s="27">
        <v>761662</v>
      </c>
      <c r="D43" s="639">
        <f t="shared" si="1"/>
        <v>7.020277604676436</v>
      </c>
      <c r="E43" s="27">
        <v>9882457</v>
      </c>
      <c r="F43" s="27"/>
      <c r="G43" s="639">
        <f t="shared" si="2"/>
        <v>0</v>
      </c>
      <c r="H43" s="27">
        <v>67534464</v>
      </c>
      <c r="I43" s="27"/>
      <c r="J43" s="639">
        <f t="shared" si="6"/>
        <v>0</v>
      </c>
      <c r="K43" s="442" t="s">
        <v>195</v>
      </c>
      <c r="L43" s="27">
        <f t="shared" si="25"/>
        <v>10849</v>
      </c>
      <c r="M43" s="27">
        <f>ROUND(C43/1000,0)</f>
        <v>762</v>
      </c>
      <c r="N43" s="639">
        <f t="shared" si="4"/>
        <v>7.023688819246013</v>
      </c>
      <c r="O43" s="27">
        <f t="shared" si="26"/>
        <v>9882</v>
      </c>
      <c r="P43" s="27">
        <f>ROUND(F43/1000,0)</f>
        <v>0</v>
      </c>
      <c r="Q43" s="639">
        <f t="shared" si="5"/>
        <v>0</v>
      </c>
      <c r="R43" s="27">
        <f>ROUND(H43/1000,0)</f>
        <v>67534</v>
      </c>
      <c r="S43" s="27">
        <f>ROUND(I43/1000,0)</f>
        <v>0</v>
      </c>
      <c r="T43" s="639">
        <f t="shared" si="7"/>
        <v>0</v>
      </c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</row>
    <row r="44" spans="1:107" s="437" customFormat="1" ht="12.75">
      <c r="A44" s="442" t="s">
        <v>578</v>
      </c>
      <c r="B44" s="27">
        <v>249235</v>
      </c>
      <c r="C44" s="27"/>
      <c r="D44" s="639">
        <f t="shared" si="1"/>
        <v>0</v>
      </c>
      <c r="E44" s="27">
        <v>145838</v>
      </c>
      <c r="F44" s="27"/>
      <c r="G44" s="639">
        <f t="shared" si="2"/>
        <v>0</v>
      </c>
      <c r="H44" s="27"/>
      <c r="I44" s="27"/>
      <c r="J44" s="639" t="e">
        <f t="shared" si="6"/>
        <v>#DIV/0!</v>
      </c>
      <c r="K44" s="442" t="s">
        <v>578</v>
      </c>
      <c r="L44" s="27">
        <f t="shared" si="25"/>
        <v>249</v>
      </c>
      <c r="M44" s="27">
        <f t="shared" si="25"/>
        <v>0</v>
      </c>
      <c r="N44" s="639">
        <f t="shared" si="4"/>
        <v>0</v>
      </c>
      <c r="O44" s="27">
        <f t="shared" si="26"/>
        <v>146</v>
      </c>
      <c r="P44" s="27">
        <f t="shared" si="26"/>
        <v>0</v>
      </c>
      <c r="Q44" s="639">
        <f t="shared" si="5"/>
        <v>0</v>
      </c>
      <c r="R44" s="27"/>
      <c r="S44" s="27"/>
      <c r="T44" s="639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  <c r="CA44" s="436"/>
      <c r="CB44" s="436"/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436"/>
      <c r="CT44" s="436"/>
      <c r="CU44" s="436"/>
      <c r="CV44" s="436"/>
      <c r="CW44" s="436"/>
      <c r="CX44" s="436"/>
      <c r="CY44" s="436"/>
      <c r="CZ44" s="436"/>
      <c r="DA44" s="436"/>
      <c r="DB44" s="436"/>
      <c r="DC44" s="436"/>
    </row>
    <row r="45" spans="1:107" s="437" customFormat="1" ht="12.75">
      <c r="A45" s="442" t="s">
        <v>579</v>
      </c>
      <c r="B45" s="27">
        <v>2848800</v>
      </c>
      <c r="C45" s="27"/>
      <c r="D45" s="639">
        <f t="shared" si="1"/>
        <v>0</v>
      </c>
      <c r="E45" s="27">
        <v>1507500</v>
      </c>
      <c r="F45" s="27"/>
      <c r="G45" s="639">
        <f t="shared" si="2"/>
        <v>0</v>
      </c>
      <c r="H45" s="27">
        <v>4042100</v>
      </c>
      <c r="I45" s="27"/>
      <c r="J45" s="639">
        <f t="shared" si="6"/>
        <v>0</v>
      </c>
      <c r="K45" s="442" t="s">
        <v>579</v>
      </c>
      <c r="L45" s="27">
        <f>ROUND(B45/1000,0)</f>
        <v>2849</v>
      </c>
      <c r="M45" s="27">
        <f>ROUND(C45/1000,0)</f>
        <v>0</v>
      </c>
      <c r="N45" s="639">
        <f>M45/L45*100</f>
        <v>0</v>
      </c>
      <c r="O45" s="27">
        <f>ROUND(E45/1000,0)</f>
        <v>1508</v>
      </c>
      <c r="P45" s="27">
        <f>ROUND(F45/1000,0)</f>
        <v>0</v>
      </c>
      <c r="Q45" s="639">
        <f>P45/O45*100</f>
        <v>0</v>
      </c>
      <c r="R45" s="27">
        <f>ROUND(H45/1000,0)</f>
        <v>4042</v>
      </c>
      <c r="S45" s="27">
        <f>ROUND(I45/1000,0)</f>
        <v>0</v>
      </c>
      <c r="T45" s="639">
        <f>S45/R45*100</f>
        <v>0</v>
      </c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</row>
    <row r="46" spans="1:20" ht="12.75">
      <c r="A46" s="74" t="s">
        <v>897</v>
      </c>
      <c r="B46" s="440">
        <f>SUM(B47:B50)</f>
        <v>9394198</v>
      </c>
      <c r="C46" s="440">
        <f>SUM(C47:C50)</f>
        <v>0</v>
      </c>
      <c r="D46" s="638">
        <f t="shared" si="1"/>
        <v>0</v>
      </c>
      <c r="E46" s="440">
        <f>SUM(E47:E50)</f>
        <v>6755677</v>
      </c>
      <c r="F46" s="440">
        <f>SUM(F47:F50)</f>
        <v>0</v>
      </c>
      <c r="G46" s="638">
        <f t="shared" si="2"/>
        <v>0</v>
      </c>
      <c r="H46" s="440">
        <f>SUM(H47:H50)</f>
        <v>22381290</v>
      </c>
      <c r="I46" s="440">
        <f>SUM(I47:I50)</f>
        <v>0</v>
      </c>
      <c r="J46" s="638">
        <f t="shared" si="6"/>
        <v>0</v>
      </c>
      <c r="K46" s="74" t="s">
        <v>897</v>
      </c>
      <c r="L46" s="440">
        <f>SUM(L47:L50)</f>
        <v>9394</v>
      </c>
      <c r="M46" s="440">
        <f>SUM(M47:M50)</f>
        <v>0</v>
      </c>
      <c r="N46" s="638">
        <f t="shared" si="4"/>
        <v>0</v>
      </c>
      <c r="O46" s="440">
        <f>SUM(O47:O50)</f>
        <v>6755</v>
      </c>
      <c r="P46" s="440">
        <f>SUM(P47:P50)</f>
        <v>0</v>
      </c>
      <c r="Q46" s="638">
        <f t="shared" si="5"/>
        <v>0</v>
      </c>
      <c r="R46" s="440">
        <f>SUM(R47:R50)</f>
        <v>22381</v>
      </c>
      <c r="S46" s="440">
        <f>SUM(S47:S50)</f>
        <v>0</v>
      </c>
      <c r="T46" s="638">
        <f t="shared" si="7"/>
        <v>0</v>
      </c>
    </row>
    <row r="47" spans="1:107" s="437" customFormat="1" ht="12.75">
      <c r="A47" s="442" t="s">
        <v>577</v>
      </c>
      <c r="B47" s="27">
        <v>2873860</v>
      </c>
      <c r="C47" s="27"/>
      <c r="D47" s="639">
        <f t="shared" si="1"/>
        <v>0</v>
      </c>
      <c r="E47" s="27">
        <v>1813595</v>
      </c>
      <c r="F47" s="27"/>
      <c r="G47" s="639">
        <f t="shared" si="2"/>
        <v>0</v>
      </c>
      <c r="H47" s="27">
        <v>5623290</v>
      </c>
      <c r="I47" s="27"/>
      <c r="J47" s="639">
        <f t="shared" si="6"/>
        <v>0</v>
      </c>
      <c r="K47" s="442" t="s">
        <v>577</v>
      </c>
      <c r="L47" s="27">
        <f aca="true" t="shared" si="27" ref="L47:M50">ROUND(B47/1000,0)</f>
        <v>2874</v>
      </c>
      <c r="M47" s="27">
        <f t="shared" si="27"/>
        <v>0</v>
      </c>
      <c r="N47" s="639">
        <f t="shared" si="4"/>
        <v>0</v>
      </c>
      <c r="O47" s="27">
        <f>ROUND(E47/1000,0)-1</f>
        <v>1813</v>
      </c>
      <c r="P47" s="27">
        <f aca="true" t="shared" si="28" ref="O47:P49">ROUND(F47/1000,0)</f>
        <v>0</v>
      </c>
      <c r="Q47" s="639">
        <f t="shared" si="5"/>
        <v>0</v>
      </c>
      <c r="R47" s="27">
        <f>ROUND(H47/1000,0)</f>
        <v>5623</v>
      </c>
      <c r="S47" s="27">
        <f>ROUND(I47/1000,0)</f>
        <v>0</v>
      </c>
      <c r="T47" s="639">
        <f t="shared" si="7"/>
        <v>0</v>
      </c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  <c r="DA47" s="436"/>
      <c r="DB47" s="436"/>
      <c r="DC47" s="436"/>
    </row>
    <row r="48" spans="1:107" s="437" customFormat="1" ht="12.75">
      <c r="A48" s="442" t="s">
        <v>195</v>
      </c>
      <c r="B48" s="27">
        <v>6484820</v>
      </c>
      <c r="C48" s="27"/>
      <c r="D48" s="639">
        <f t="shared" si="1"/>
        <v>0</v>
      </c>
      <c r="E48" s="27">
        <v>4940820</v>
      </c>
      <c r="F48" s="27"/>
      <c r="G48" s="639">
        <f t="shared" si="2"/>
        <v>0</v>
      </c>
      <c r="H48" s="27">
        <v>16758000</v>
      </c>
      <c r="I48" s="27"/>
      <c r="J48" s="639">
        <f t="shared" si="6"/>
        <v>0</v>
      </c>
      <c r="K48" s="442" t="s">
        <v>195</v>
      </c>
      <c r="L48" s="27">
        <f t="shared" si="27"/>
        <v>6485</v>
      </c>
      <c r="M48" s="27">
        <f t="shared" si="27"/>
        <v>0</v>
      </c>
      <c r="N48" s="639">
        <f t="shared" si="4"/>
        <v>0</v>
      </c>
      <c r="O48" s="27">
        <f t="shared" si="28"/>
        <v>4941</v>
      </c>
      <c r="P48" s="27">
        <f t="shared" si="28"/>
        <v>0</v>
      </c>
      <c r="Q48" s="639">
        <f t="shared" si="5"/>
        <v>0</v>
      </c>
      <c r="R48" s="27">
        <f>ROUND(H48/1000,0)</f>
        <v>16758</v>
      </c>
      <c r="S48" s="27">
        <f>ROUND(I48/1000,0)</f>
        <v>0</v>
      </c>
      <c r="T48" s="639">
        <f t="shared" si="7"/>
        <v>0</v>
      </c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6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/>
      <c r="CX48" s="436"/>
      <c r="CY48" s="436"/>
      <c r="CZ48" s="436"/>
      <c r="DA48" s="436"/>
      <c r="DB48" s="436"/>
      <c r="DC48" s="436"/>
    </row>
    <row r="49" spans="1:107" s="437" customFormat="1" ht="12.75">
      <c r="A49" s="442" t="s">
        <v>578</v>
      </c>
      <c r="B49" s="27">
        <v>18269</v>
      </c>
      <c r="C49" s="27"/>
      <c r="D49" s="639">
        <f t="shared" si="1"/>
        <v>0</v>
      </c>
      <c r="E49" s="27">
        <v>1262</v>
      </c>
      <c r="F49" s="27"/>
      <c r="G49" s="639">
        <f t="shared" si="2"/>
        <v>0</v>
      </c>
      <c r="H49" s="27"/>
      <c r="I49" s="27"/>
      <c r="J49" s="639" t="e">
        <f t="shared" si="6"/>
        <v>#DIV/0!</v>
      </c>
      <c r="K49" s="442" t="s">
        <v>578</v>
      </c>
      <c r="L49" s="27">
        <f t="shared" si="27"/>
        <v>18</v>
      </c>
      <c r="M49" s="27">
        <f t="shared" si="27"/>
        <v>0</v>
      </c>
      <c r="N49" s="639">
        <f t="shared" si="4"/>
        <v>0</v>
      </c>
      <c r="O49" s="27">
        <f t="shared" si="28"/>
        <v>1</v>
      </c>
      <c r="P49" s="27">
        <f t="shared" si="28"/>
        <v>0</v>
      </c>
      <c r="Q49" s="639">
        <f t="shared" si="5"/>
        <v>0</v>
      </c>
      <c r="R49" s="27"/>
      <c r="S49" s="27"/>
      <c r="T49" s="639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6"/>
      <c r="BW49" s="436"/>
      <c r="BX49" s="436"/>
      <c r="BY49" s="436"/>
      <c r="BZ49" s="436"/>
      <c r="CA49" s="436"/>
      <c r="CB49" s="436"/>
      <c r="CC49" s="436"/>
      <c r="CD49" s="436"/>
      <c r="CE49" s="436"/>
      <c r="CF49" s="436"/>
      <c r="CG49" s="436"/>
      <c r="CH49" s="436"/>
      <c r="CI49" s="436"/>
      <c r="CJ49" s="436"/>
      <c r="CK49" s="436"/>
      <c r="CL49" s="436"/>
      <c r="CM49" s="436"/>
      <c r="CN49" s="436"/>
      <c r="CO49" s="436"/>
      <c r="CP49" s="436"/>
      <c r="CQ49" s="436"/>
      <c r="CR49" s="436"/>
      <c r="CS49" s="436"/>
      <c r="CT49" s="436"/>
      <c r="CU49" s="436"/>
      <c r="CV49" s="436"/>
      <c r="CW49" s="436"/>
      <c r="CX49" s="436"/>
      <c r="CY49" s="436"/>
      <c r="CZ49" s="436"/>
      <c r="DA49" s="436"/>
      <c r="DB49" s="436"/>
      <c r="DC49" s="436"/>
    </row>
    <row r="50" spans="1:107" s="437" customFormat="1" ht="12.75">
      <c r="A50" s="442" t="s">
        <v>579</v>
      </c>
      <c r="B50" s="27">
        <v>17249</v>
      </c>
      <c r="C50" s="27"/>
      <c r="D50" s="639">
        <f t="shared" si="1"/>
        <v>0</v>
      </c>
      <c r="E50" s="27"/>
      <c r="F50" s="27"/>
      <c r="G50" s="639" t="e">
        <f t="shared" si="2"/>
        <v>#DIV/0!</v>
      </c>
      <c r="H50" s="27"/>
      <c r="I50" s="27"/>
      <c r="J50" s="639"/>
      <c r="K50" s="442" t="s">
        <v>579</v>
      </c>
      <c r="L50" s="27">
        <f t="shared" si="27"/>
        <v>17</v>
      </c>
      <c r="M50" s="27">
        <f t="shared" si="27"/>
        <v>0</v>
      </c>
      <c r="N50" s="639">
        <f t="shared" si="4"/>
        <v>0</v>
      </c>
      <c r="O50" s="27"/>
      <c r="P50" s="27"/>
      <c r="Q50" s="639"/>
      <c r="R50" s="27"/>
      <c r="S50" s="27"/>
      <c r="T50" s="639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6"/>
      <c r="BV50" s="436"/>
      <c r="BW50" s="436"/>
      <c r="BX50" s="436"/>
      <c r="BY50" s="436"/>
      <c r="BZ50" s="436"/>
      <c r="CA50" s="436"/>
      <c r="CB50" s="436"/>
      <c r="CC50" s="436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6"/>
      <c r="CO50" s="436"/>
      <c r="CP50" s="436"/>
      <c r="CQ50" s="436"/>
      <c r="CR50" s="436"/>
      <c r="CS50" s="436"/>
      <c r="CT50" s="436"/>
      <c r="CU50" s="436"/>
      <c r="CV50" s="436"/>
      <c r="CW50" s="436"/>
      <c r="CX50" s="436"/>
      <c r="CY50" s="436"/>
      <c r="CZ50" s="436"/>
      <c r="DA50" s="436"/>
      <c r="DB50" s="436"/>
      <c r="DC50" s="436"/>
    </row>
    <row r="51" spans="1:20" ht="12.75">
      <c r="A51" s="74" t="s">
        <v>899</v>
      </c>
      <c r="B51" s="440">
        <f>SUM(B52:B55)</f>
        <v>2137309</v>
      </c>
      <c r="C51" s="440">
        <f>SUM(C52:C55)</f>
        <v>0</v>
      </c>
      <c r="D51" s="638">
        <f t="shared" si="1"/>
        <v>0</v>
      </c>
      <c r="E51" s="440">
        <f>SUM(E52:E55)</f>
        <v>2105430</v>
      </c>
      <c r="F51" s="440">
        <f>SUM(F52:F55)</f>
        <v>0</v>
      </c>
      <c r="G51" s="638">
        <f t="shared" si="2"/>
        <v>0</v>
      </c>
      <c r="H51" s="440">
        <f>SUM(H52:H55)</f>
        <v>16732560</v>
      </c>
      <c r="I51" s="440">
        <f>SUM(I52:I55)</f>
        <v>0</v>
      </c>
      <c r="J51" s="638">
        <f t="shared" si="6"/>
        <v>0</v>
      </c>
      <c r="K51" s="74" t="s">
        <v>899</v>
      </c>
      <c r="L51" s="440">
        <f>SUM(L52:L55)</f>
        <v>2137</v>
      </c>
      <c r="M51" s="440">
        <f>SUM(M52:M55)</f>
        <v>0</v>
      </c>
      <c r="N51" s="638">
        <f t="shared" si="4"/>
        <v>0</v>
      </c>
      <c r="O51" s="440">
        <f>SUM(O52:O55)</f>
        <v>2105</v>
      </c>
      <c r="P51" s="440">
        <f>SUM(P52:P55)</f>
        <v>0</v>
      </c>
      <c r="Q51" s="638">
        <f t="shared" si="5"/>
        <v>0</v>
      </c>
      <c r="R51" s="440">
        <f>SUM(R52:R55)</f>
        <v>16734</v>
      </c>
      <c r="S51" s="440">
        <f>SUM(S52:S55)</f>
        <v>0</v>
      </c>
      <c r="T51" s="638">
        <f t="shared" si="7"/>
        <v>0</v>
      </c>
    </row>
    <row r="52" spans="1:107" s="437" customFormat="1" ht="12.75">
      <c r="A52" s="442" t="s">
        <v>576</v>
      </c>
      <c r="B52" s="27">
        <v>43888</v>
      </c>
      <c r="C52" s="27"/>
      <c r="D52" s="639">
        <f t="shared" si="1"/>
        <v>0</v>
      </c>
      <c r="E52" s="27">
        <v>40288</v>
      </c>
      <c r="F52" s="27"/>
      <c r="G52" s="639">
        <f t="shared" si="2"/>
        <v>0</v>
      </c>
      <c r="H52" s="27">
        <v>37522</v>
      </c>
      <c r="I52" s="27"/>
      <c r="J52" s="639">
        <f t="shared" si="6"/>
        <v>0</v>
      </c>
      <c r="K52" s="442" t="s">
        <v>576</v>
      </c>
      <c r="L52" s="27">
        <f>ROUND(B52/1000,0)</f>
        <v>44</v>
      </c>
      <c r="M52" s="27">
        <f>ROUND(C52/1000,0)</f>
        <v>0</v>
      </c>
      <c r="N52" s="639">
        <f t="shared" si="4"/>
        <v>0</v>
      </c>
      <c r="O52" s="27">
        <f>ROUND(E52/1000,0)</f>
        <v>40</v>
      </c>
      <c r="P52" s="27">
        <f>ROUND(F52/1000,0)</f>
        <v>0</v>
      </c>
      <c r="Q52" s="639">
        <f t="shared" si="5"/>
        <v>0</v>
      </c>
      <c r="R52" s="27">
        <f>ROUND(H52/1000,0)</f>
        <v>38</v>
      </c>
      <c r="S52" s="27">
        <f>ROUND(I52/1000,0)</f>
        <v>0</v>
      </c>
      <c r="T52" s="639">
        <f t="shared" si="7"/>
        <v>0</v>
      </c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436"/>
      <c r="BS52" s="436"/>
      <c r="BT52" s="436"/>
      <c r="BU52" s="436"/>
      <c r="BV52" s="436"/>
      <c r="BW52" s="436"/>
      <c r="BX52" s="436"/>
      <c r="BY52" s="436"/>
      <c r="BZ52" s="436"/>
      <c r="CA52" s="436"/>
      <c r="CB52" s="436"/>
      <c r="CC52" s="436"/>
      <c r="CD52" s="436"/>
      <c r="CE52" s="436"/>
      <c r="CF52" s="436"/>
      <c r="CG52" s="436"/>
      <c r="CH52" s="436"/>
      <c r="CI52" s="436"/>
      <c r="CJ52" s="436"/>
      <c r="CK52" s="436"/>
      <c r="CL52" s="436"/>
      <c r="CM52" s="436"/>
      <c r="CN52" s="436"/>
      <c r="CO52" s="436"/>
      <c r="CP52" s="436"/>
      <c r="CQ52" s="436"/>
      <c r="CR52" s="436"/>
      <c r="CS52" s="436"/>
      <c r="CT52" s="436"/>
      <c r="CU52" s="436"/>
      <c r="CV52" s="436"/>
      <c r="CW52" s="436"/>
      <c r="CX52" s="436"/>
      <c r="CY52" s="436"/>
      <c r="CZ52" s="436"/>
      <c r="DA52" s="436"/>
      <c r="DB52" s="436"/>
      <c r="DC52" s="436"/>
    </row>
    <row r="53" spans="1:107" s="437" customFormat="1" ht="12.75">
      <c r="A53" s="442" t="s">
        <v>959</v>
      </c>
      <c r="B53" s="27">
        <v>29487</v>
      </c>
      <c r="C53" s="27"/>
      <c r="D53" s="639">
        <f t="shared" si="1"/>
        <v>0</v>
      </c>
      <c r="E53" s="27">
        <v>28208</v>
      </c>
      <c r="F53" s="27"/>
      <c r="G53" s="639">
        <f t="shared" si="2"/>
        <v>0</v>
      </c>
      <c r="H53" s="27">
        <v>40008</v>
      </c>
      <c r="I53" s="27"/>
      <c r="J53" s="639">
        <f t="shared" si="6"/>
        <v>0</v>
      </c>
      <c r="K53" s="442" t="s">
        <v>959</v>
      </c>
      <c r="L53" s="27">
        <f>ROUND(B53/1000,0)</f>
        <v>29</v>
      </c>
      <c r="M53" s="27">
        <f>ROUND(C53/1000,0)</f>
        <v>0</v>
      </c>
      <c r="N53" s="639">
        <f t="shared" si="4"/>
        <v>0</v>
      </c>
      <c r="O53" s="27">
        <f aca="true" t="shared" si="29" ref="O53:P55">ROUND(E53/1000,0)</f>
        <v>28</v>
      </c>
      <c r="P53" s="27">
        <f t="shared" si="29"/>
        <v>0</v>
      </c>
      <c r="Q53" s="639">
        <f t="shared" si="5"/>
        <v>0</v>
      </c>
      <c r="R53" s="27">
        <f aca="true" t="shared" si="30" ref="R53:S55">ROUND(H53/1000,0)</f>
        <v>40</v>
      </c>
      <c r="S53" s="27">
        <f t="shared" si="30"/>
        <v>0</v>
      </c>
      <c r="T53" s="639">
        <f t="shared" si="7"/>
        <v>0</v>
      </c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CP53" s="436"/>
      <c r="CQ53" s="436"/>
      <c r="CR53" s="436"/>
      <c r="CS53" s="436"/>
      <c r="CT53" s="436"/>
      <c r="CU53" s="436"/>
      <c r="CV53" s="436"/>
      <c r="CW53" s="436"/>
      <c r="CX53" s="436"/>
      <c r="CY53" s="436"/>
      <c r="CZ53" s="436"/>
      <c r="DA53" s="436"/>
      <c r="DB53" s="436"/>
      <c r="DC53" s="436"/>
    </row>
    <row r="54" spans="1:107" s="437" customFormat="1" ht="12.75">
      <c r="A54" s="442" t="s">
        <v>577</v>
      </c>
      <c r="B54" s="27">
        <v>242510</v>
      </c>
      <c r="C54" s="27"/>
      <c r="D54" s="639">
        <f t="shared" si="1"/>
        <v>0</v>
      </c>
      <c r="E54" s="27">
        <v>242510</v>
      </c>
      <c r="F54" s="27"/>
      <c r="G54" s="639">
        <f t="shared" si="2"/>
        <v>0</v>
      </c>
      <c r="H54" s="27">
        <v>727530</v>
      </c>
      <c r="I54" s="27"/>
      <c r="J54" s="639">
        <f t="shared" si="6"/>
        <v>0</v>
      </c>
      <c r="K54" s="442" t="s">
        <v>577</v>
      </c>
      <c r="L54" s="27">
        <f>ROUND(B54/1000,0)-1</f>
        <v>242</v>
      </c>
      <c r="M54" s="27">
        <f>ROUND(C54/1000,0)</f>
        <v>0</v>
      </c>
      <c r="N54" s="639">
        <f t="shared" si="4"/>
        <v>0</v>
      </c>
      <c r="O54" s="27">
        <f>ROUND(E54/1000,0)-1</f>
        <v>242</v>
      </c>
      <c r="P54" s="27">
        <f t="shared" si="29"/>
        <v>0</v>
      </c>
      <c r="Q54" s="639">
        <f t="shared" si="5"/>
        <v>0</v>
      </c>
      <c r="R54" s="27">
        <f>ROUND(H54/1000,0)</f>
        <v>728</v>
      </c>
      <c r="S54" s="27">
        <f t="shared" si="30"/>
        <v>0</v>
      </c>
      <c r="T54" s="639">
        <f t="shared" si="7"/>
        <v>0</v>
      </c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  <c r="CA54" s="436"/>
      <c r="CB54" s="436"/>
      <c r="CC54" s="436"/>
      <c r="CD54" s="436"/>
      <c r="CE54" s="436"/>
      <c r="CF54" s="436"/>
      <c r="CG54" s="436"/>
      <c r="CH54" s="436"/>
      <c r="CI54" s="436"/>
      <c r="CJ54" s="436"/>
      <c r="CK54" s="436"/>
      <c r="CL54" s="436"/>
      <c r="CM54" s="436"/>
      <c r="CN54" s="436"/>
      <c r="CO54" s="436"/>
      <c r="CP54" s="436"/>
      <c r="CQ54" s="436"/>
      <c r="CR54" s="436"/>
      <c r="CS54" s="436"/>
      <c r="CT54" s="436"/>
      <c r="CU54" s="436"/>
      <c r="CV54" s="436"/>
      <c r="CW54" s="436"/>
      <c r="CX54" s="436"/>
      <c r="CY54" s="436"/>
      <c r="CZ54" s="436"/>
      <c r="DA54" s="436"/>
      <c r="DB54" s="436"/>
      <c r="DC54" s="436"/>
    </row>
    <row r="55" spans="1:107" s="437" customFormat="1" ht="12.75">
      <c r="A55" s="442" t="s">
        <v>195</v>
      </c>
      <c r="B55" s="27">
        <v>1821424</v>
      </c>
      <c r="C55" s="27"/>
      <c r="D55" s="639">
        <f t="shared" si="1"/>
        <v>0</v>
      </c>
      <c r="E55" s="27">
        <v>1794424</v>
      </c>
      <c r="F55" s="27"/>
      <c r="G55" s="639">
        <f t="shared" si="2"/>
        <v>0</v>
      </c>
      <c r="H55" s="27">
        <v>15927500</v>
      </c>
      <c r="I55" s="27"/>
      <c r="J55" s="639">
        <f t="shared" si="6"/>
        <v>0</v>
      </c>
      <c r="K55" s="442" t="s">
        <v>195</v>
      </c>
      <c r="L55" s="27">
        <f>ROUND(B55/1000,0)+1</f>
        <v>1822</v>
      </c>
      <c r="M55" s="27">
        <f>ROUND(C55/1000,0)</f>
        <v>0</v>
      </c>
      <c r="N55" s="639">
        <f t="shared" si="4"/>
        <v>0</v>
      </c>
      <c r="O55" s="27">
        <f>ROUND(E55/1000,0)+1</f>
        <v>1795</v>
      </c>
      <c r="P55" s="27">
        <f t="shared" si="29"/>
        <v>0</v>
      </c>
      <c r="Q55" s="639">
        <f t="shared" si="5"/>
        <v>0</v>
      </c>
      <c r="R55" s="27">
        <f t="shared" si="30"/>
        <v>15928</v>
      </c>
      <c r="S55" s="27">
        <f t="shared" si="30"/>
        <v>0</v>
      </c>
      <c r="T55" s="639">
        <f t="shared" si="7"/>
        <v>0</v>
      </c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</row>
    <row r="56" spans="1:20" ht="12.75">
      <c r="A56" s="74" t="s">
        <v>901</v>
      </c>
      <c r="B56" s="440">
        <f>SUM(B57:B58)</f>
        <v>4420580</v>
      </c>
      <c r="C56" s="440">
        <f aca="true" t="shared" si="31" ref="C56:I56">SUM(C57:C58)</f>
        <v>0</v>
      </c>
      <c r="D56" s="638">
        <f t="shared" si="1"/>
        <v>0</v>
      </c>
      <c r="E56" s="440">
        <f t="shared" si="31"/>
        <v>4151580</v>
      </c>
      <c r="F56" s="440">
        <f t="shared" si="31"/>
        <v>0</v>
      </c>
      <c r="G56" s="638">
        <f t="shared" si="2"/>
        <v>0</v>
      </c>
      <c r="H56" s="440">
        <f t="shared" si="31"/>
        <v>17784580</v>
      </c>
      <c r="I56" s="440">
        <f t="shared" si="31"/>
        <v>0</v>
      </c>
      <c r="J56" s="638">
        <f t="shared" si="6"/>
        <v>0</v>
      </c>
      <c r="K56" s="74" t="s">
        <v>901</v>
      </c>
      <c r="L56" s="440">
        <f aca="true" t="shared" si="32" ref="L56:S56">SUM(L57:L58)</f>
        <v>4421</v>
      </c>
      <c r="M56" s="440">
        <f t="shared" si="32"/>
        <v>0</v>
      </c>
      <c r="N56" s="638">
        <f t="shared" si="4"/>
        <v>0</v>
      </c>
      <c r="O56" s="440">
        <f t="shared" si="32"/>
        <v>4151</v>
      </c>
      <c r="P56" s="440">
        <f t="shared" si="32"/>
        <v>0</v>
      </c>
      <c r="Q56" s="638">
        <f t="shared" si="5"/>
        <v>0</v>
      </c>
      <c r="R56" s="440">
        <f t="shared" si="32"/>
        <v>17785</v>
      </c>
      <c r="S56" s="440">
        <f t="shared" si="32"/>
        <v>0</v>
      </c>
      <c r="T56" s="638">
        <f t="shared" si="7"/>
        <v>0</v>
      </c>
    </row>
    <row r="57" spans="1:107" s="437" customFormat="1" ht="12.75">
      <c r="A57" s="442" t="s">
        <v>577</v>
      </c>
      <c r="B57" s="27">
        <v>75580</v>
      </c>
      <c r="C57" s="27"/>
      <c r="D57" s="639">
        <f t="shared" si="1"/>
        <v>0</v>
      </c>
      <c r="E57" s="27">
        <v>75580</v>
      </c>
      <c r="F57" s="27"/>
      <c r="G57" s="639">
        <f t="shared" si="2"/>
        <v>0</v>
      </c>
      <c r="H57" s="27">
        <v>75580</v>
      </c>
      <c r="I57" s="27"/>
      <c r="J57" s="639">
        <f t="shared" si="6"/>
        <v>0</v>
      </c>
      <c r="K57" s="442" t="s">
        <v>577</v>
      </c>
      <c r="L57" s="27">
        <f>ROUND(B57/1000,0)</f>
        <v>76</v>
      </c>
      <c r="M57" s="27">
        <f>ROUND(C57/1000,0)</f>
        <v>0</v>
      </c>
      <c r="N57" s="639">
        <f t="shared" si="4"/>
        <v>0</v>
      </c>
      <c r="O57" s="27">
        <f>ROUND(E57/1000,0)-1</f>
        <v>75</v>
      </c>
      <c r="P57" s="27">
        <f>ROUND(F57/1000,0)</f>
        <v>0</v>
      </c>
      <c r="Q57" s="639">
        <f t="shared" si="5"/>
        <v>0</v>
      </c>
      <c r="R57" s="27">
        <f>ROUND(H57/1000,0)</f>
        <v>76</v>
      </c>
      <c r="S57" s="27">
        <f>ROUND(I57/1000,0)</f>
        <v>0</v>
      </c>
      <c r="T57" s="639">
        <f t="shared" si="7"/>
        <v>0</v>
      </c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6"/>
    </row>
    <row r="58" spans="1:107" s="437" customFormat="1" ht="12.75">
      <c r="A58" s="442" t="s">
        <v>195</v>
      </c>
      <c r="B58" s="27">
        <v>4345000</v>
      </c>
      <c r="C58" s="27"/>
      <c r="D58" s="639">
        <f t="shared" si="1"/>
        <v>0</v>
      </c>
      <c r="E58" s="27">
        <v>4076000</v>
      </c>
      <c r="F58" s="27"/>
      <c r="G58" s="639">
        <f t="shared" si="2"/>
        <v>0</v>
      </c>
      <c r="H58" s="27">
        <v>17709000</v>
      </c>
      <c r="I58" s="27"/>
      <c r="J58" s="639">
        <f t="shared" si="6"/>
        <v>0</v>
      </c>
      <c r="K58" s="442" t="s">
        <v>195</v>
      </c>
      <c r="L58" s="27">
        <f>ROUND(B58/1000,0)</f>
        <v>4345</v>
      </c>
      <c r="M58" s="27">
        <f>ROUND(C58/1000,0)</f>
        <v>0</v>
      </c>
      <c r="N58" s="639">
        <f t="shared" si="4"/>
        <v>0</v>
      </c>
      <c r="O58" s="27">
        <f>ROUND(E58/1000,0)</f>
        <v>4076</v>
      </c>
      <c r="P58" s="27">
        <f>ROUND(F58/1000,0)</f>
        <v>0</v>
      </c>
      <c r="Q58" s="639">
        <f t="shared" si="5"/>
        <v>0</v>
      </c>
      <c r="R58" s="27">
        <f>ROUND(H58/1000,0)</f>
        <v>17709</v>
      </c>
      <c r="S58" s="27">
        <f>ROUND(I58/1000,0)</f>
        <v>0</v>
      </c>
      <c r="T58" s="639">
        <f t="shared" si="7"/>
        <v>0</v>
      </c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  <c r="DB58" s="436"/>
      <c r="DC58" s="436"/>
    </row>
    <row r="59" spans="1:20" ht="12.75">
      <c r="A59" s="74" t="s">
        <v>903</v>
      </c>
      <c r="B59" s="440">
        <f>SUM(B60:B62)</f>
        <v>1930383</v>
      </c>
      <c r="C59" s="440">
        <f aca="true" t="shared" si="33" ref="C59:I59">SUM(C60:C62)</f>
        <v>33983</v>
      </c>
      <c r="D59" s="638">
        <f t="shared" si="1"/>
        <v>1.760427852918307</v>
      </c>
      <c r="E59" s="440">
        <f t="shared" si="33"/>
        <v>3176974</v>
      </c>
      <c r="F59" s="440">
        <f t="shared" si="33"/>
        <v>38774</v>
      </c>
      <c r="G59" s="638">
        <f t="shared" si="2"/>
        <v>1.2204695411419797</v>
      </c>
      <c r="H59" s="440">
        <f t="shared" si="33"/>
        <v>973330</v>
      </c>
      <c r="I59" s="440">
        <f t="shared" si="33"/>
        <v>72330</v>
      </c>
      <c r="J59" s="638">
        <f t="shared" si="6"/>
        <v>7.431189832841893</v>
      </c>
      <c r="K59" s="74" t="s">
        <v>903</v>
      </c>
      <c r="L59" s="440">
        <f aca="true" t="shared" si="34" ref="L59:S59">SUM(L60:L62)</f>
        <v>1930</v>
      </c>
      <c r="M59" s="440">
        <f t="shared" si="34"/>
        <v>34</v>
      </c>
      <c r="N59" s="638">
        <f t="shared" si="4"/>
        <v>1.7616580310880827</v>
      </c>
      <c r="O59" s="440">
        <f t="shared" si="34"/>
        <v>3177</v>
      </c>
      <c r="P59" s="440">
        <f t="shared" si="34"/>
        <v>39</v>
      </c>
      <c r="Q59" s="638">
        <f t="shared" si="5"/>
        <v>1.2275731822474032</v>
      </c>
      <c r="R59" s="440">
        <f t="shared" si="34"/>
        <v>973</v>
      </c>
      <c r="S59" s="440">
        <f t="shared" si="34"/>
        <v>72</v>
      </c>
      <c r="T59" s="638">
        <f t="shared" si="7"/>
        <v>7.399794450154163</v>
      </c>
    </row>
    <row r="60" spans="1:107" s="437" customFormat="1" ht="12.75">
      <c r="A60" s="442" t="s">
        <v>959</v>
      </c>
      <c r="B60" s="27">
        <v>33983</v>
      </c>
      <c r="C60" s="27">
        <v>33983</v>
      </c>
      <c r="D60" s="639">
        <f t="shared" si="1"/>
        <v>100</v>
      </c>
      <c r="E60" s="27">
        <v>38774</v>
      </c>
      <c r="F60" s="27">
        <v>38774</v>
      </c>
      <c r="G60" s="639">
        <f t="shared" si="2"/>
        <v>100</v>
      </c>
      <c r="H60" s="27">
        <v>72330</v>
      </c>
      <c r="I60" s="27">
        <v>72330</v>
      </c>
      <c r="J60" s="639">
        <f t="shared" si="6"/>
        <v>100</v>
      </c>
      <c r="K60" s="442" t="s">
        <v>959</v>
      </c>
      <c r="L60" s="27">
        <f aca="true" t="shared" si="35" ref="L60:M62">ROUND(B60/1000,0)</f>
        <v>34</v>
      </c>
      <c r="M60" s="27">
        <f t="shared" si="35"/>
        <v>34</v>
      </c>
      <c r="N60" s="639">
        <f t="shared" si="4"/>
        <v>100</v>
      </c>
      <c r="O60" s="27">
        <f aca="true" t="shared" si="36" ref="O60:P62">ROUND(E60/1000,0)</f>
        <v>39</v>
      </c>
      <c r="P60" s="27">
        <f>ROUND(F60/1000,0)</f>
        <v>39</v>
      </c>
      <c r="Q60" s="639">
        <f t="shared" si="5"/>
        <v>100</v>
      </c>
      <c r="R60" s="27">
        <f aca="true" t="shared" si="37" ref="R60:S62">ROUND(H60/1000,0)</f>
        <v>72</v>
      </c>
      <c r="S60" s="27">
        <f t="shared" si="37"/>
        <v>72</v>
      </c>
      <c r="T60" s="639">
        <f t="shared" si="7"/>
        <v>100</v>
      </c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6"/>
      <c r="AW60" s="436"/>
      <c r="AX60" s="436"/>
      <c r="AY60" s="436"/>
      <c r="AZ60" s="436"/>
      <c r="BA60" s="436"/>
      <c r="BB60" s="436"/>
      <c r="BC60" s="436"/>
      <c r="BD60" s="436"/>
      <c r="BE60" s="436"/>
      <c r="BF60" s="436"/>
      <c r="BG60" s="436"/>
      <c r="BH60" s="436"/>
      <c r="BI60" s="436"/>
      <c r="BJ60" s="436"/>
      <c r="BK60" s="436"/>
      <c r="BL60" s="436"/>
      <c r="BM60" s="436"/>
      <c r="BN60" s="436"/>
      <c r="BO60" s="436"/>
      <c r="BP60" s="436"/>
      <c r="BQ60" s="436"/>
      <c r="BR60" s="436"/>
      <c r="BS60" s="436"/>
      <c r="BT60" s="436"/>
      <c r="BU60" s="436"/>
      <c r="BV60" s="436"/>
      <c r="BW60" s="436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6"/>
      <c r="CW60" s="436"/>
      <c r="CX60" s="436"/>
      <c r="CY60" s="436"/>
      <c r="CZ60" s="436"/>
      <c r="DA60" s="436"/>
      <c r="DB60" s="436"/>
      <c r="DC60" s="436"/>
    </row>
    <row r="61" spans="1:107" s="437" customFormat="1" ht="12.75">
      <c r="A61" s="442" t="s">
        <v>577</v>
      </c>
      <c r="B61" s="27">
        <v>514400</v>
      </c>
      <c r="C61" s="27"/>
      <c r="D61" s="639">
        <f t="shared" si="1"/>
        <v>0</v>
      </c>
      <c r="E61" s="27">
        <v>514400</v>
      </c>
      <c r="F61" s="27"/>
      <c r="G61" s="639">
        <f t="shared" si="2"/>
        <v>0</v>
      </c>
      <c r="H61" s="27"/>
      <c r="I61" s="27"/>
      <c r="J61" s="639" t="e">
        <f t="shared" si="6"/>
        <v>#DIV/0!</v>
      </c>
      <c r="K61" s="442" t="s">
        <v>577</v>
      </c>
      <c r="L61" s="27">
        <f t="shared" si="35"/>
        <v>514</v>
      </c>
      <c r="M61" s="27">
        <f t="shared" si="35"/>
        <v>0</v>
      </c>
      <c r="N61" s="639">
        <f t="shared" si="4"/>
        <v>0</v>
      </c>
      <c r="O61" s="27">
        <f t="shared" si="36"/>
        <v>514</v>
      </c>
      <c r="P61" s="27">
        <f t="shared" si="36"/>
        <v>0</v>
      </c>
      <c r="Q61" s="639">
        <f t="shared" si="5"/>
        <v>0</v>
      </c>
      <c r="R61" s="27"/>
      <c r="S61" s="27"/>
      <c r="T61" s="639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  <c r="AW61" s="436"/>
      <c r="AX61" s="436"/>
      <c r="AY61" s="436"/>
      <c r="AZ61" s="436"/>
      <c r="BA61" s="436"/>
      <c r="BB61" s="436"/>
      <c r="BC61" s="436"/>
      <c r="BD61" s="436"/>
      <c r="BE61" s="436"/>
      <c r="BF61" s="436"/>
      <c r="BG61" s="436"/>
      <c r="BH61" s="436"/>
      <c r="BI61" s="436"/>
      <c r="BJ61" s="436"/>
      <c r="BK61" s="436"/>
      <c r="BL61" s="436"/>
      <c r="BM61" s="436"/>
      <c r="BN61" s="436"/>
      <c r="BO61" s="436"/>
      <c r="BP61" s="436"/>
      <c r="BQ61" s="436"/>
      <c r="BR61" s="436"/>
      <c r="BS61" s="436"/>
      <c r="BT61" s="436"/>
      <c r="BU61" s="436"/>
      <c r="BV61" s="436"/>
      <c r="BW61" s="436"/>
      <c r="BX61" s="436"/>
      <c r="BY61" s="436"/>
      <c r="BZ61" s="436"/>
      <c r="CA61" s="436"/>
      <c r="CB61" s="436"/>
      <c r="CC61" s="436"/>
      <c r="CD61" s="436"/>
      <c r="CE61" s="436"/>
      <c r="CF61" s="436"/>
      <c r="CG61" s="436"/>
      <c r="CH61" s="436"/>
      <c r="CI61" s="436"/>
      <c r="CJ61" s="436"/>
      <c r="CK61" s="436"/>
      <c r="CL61" s="436"/>
      <c r="CM61" s="436"/>
      <c r="CN61" s="436"/>
      <c r="CO61" s="436"/>
      <c r="CP61" s="436"/>
      <c r="CQ61" s="436"/>
      <c r="CR61" s="436"/>
      <c r="CS61" s="436"/>
      <c r="CT61" s="436"/>
      <c r="CU61" s="436"/>
      <c r="CV61" s="436"/>
      <c r="CW61" s="436"/>
      <c r="CX61" s="436"/>
      <c r="CY61" s="436"/>
      <c r="CZ61" s="436"/>
      <c r="DA61" s="436"/>
      <c r="DB61" s="436"/>
      <c r="DC61" s="436"/>
    </row>
    <row r="62" spans="1:107" s="437" customFormat="1" ht="12.75">
      <c r="A62" s="442" t="s">
        <v>195</v>
      </c>
      <c r="B62" s="27">
        <v>1382000</v>
      </c>
      <c r="C62" s="27"/>
      <c r="D62" s="639">
        <f t="shared" si="1"/>
        <v>0</v>
      </c>
      <c r="E62" s="27">
        <v>2623800</v>
      </c>
      <c r="F62" s="27"/>
      <c r="G62" s="639">
        <f t="shared" si="2"/>
        <v>0</v>
      </c>
      <c r="H62" s="27">
        <v>901000</v>
      </c>
      <c r="I62" s="27"/>
      <c r="J62" s="639">
        <f t="shared" si="6"/>
        <v>0</v>
      </c>
      <c r="K62" s="442" t="s">
        <v>195</v>
      </c>
      <c r="L62" s="27">
        <f t="shared" si="35"/>
        <v>1382</v>
      </c>
      <c r="M62" s="27">
        <f t="shared" si="35"/>
        <v>0</v>
      </c>
      <c r="N62" s="639">
        <f t="shared" si="4"/>
        <v>0</v>
      </c>
      <c r="O62" s="27">
        <f t="shared" si="36"/>
        <v>2624</v>
      </c>
      <c r="P62" s="27">
        <f t="shared" si="36"/>
        <v>0</v>
      </c>
      <c r="Q62" s="639">
        <f t="shared" si="5"/>
        <v>0</v>
      </c>
      <c r="R62" s="27">
        <f t="shared" si="37"/>
        <v>901</v>
      </c>
      <c r="S62" s="27">
        <f t="shared" si="37"/>
        <v>0</v>
      </c>
      <c r="T62" s="639">
        <f t="shared" si="7"/>
        <v>0</v>
      </c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6"/>
      <c r="AW62" s="436"/>
      <c r="AX62" s="436"/>
      <c r="AY62" s="436"/>
      <c r="AZ62" s="436"/>
      <c r="BA62" s="436"/>
      <c r="BB62" s="436"/>
      <c r="BC62" s="436"/>
      <c r="BD62" s="436"/>
      <c r="BE62" s="436"/>
      <c r="BF62" s="436"/>
      <c r="BG62" s="436"/>
      <c r="BH62" s="436"/>
      <c r="BI62" s="436"/>
      <c r="BJ62" s="436"/>
      <c r="BK62" s="436"/>
      <c r="BL62" s="436"/>
      <c r="BM62" s="436"/>
      <c r="BN62" s="436"/>
      <c r="BO62" s="436"/>
      <c r="BP62" s="436"/>
      <c r="BQ62" s="436"/>
      <c r="BR62" s="436"/>
      <c r="BS62" s="436"/>
      <c r="BT62" s="436"/>
      <c r="BU62" s="436"/>
      <c r="BV62" s="436"/>
      <c r="BW62" s="436"/>
      <c r="BX62" s="436"/>
      <c r="BY62" s="436"/>
      <c r="BZ62" s="436"/>
      <c r="CA62" s="436"/>
      <c r="CB62" s="436"/>
      <c r="CC62" s="436"/>
      <c r="CD62" s="436"/>
      <c r="CE62" s="436"/>
      <c r="CF62" s="436"/>
      <c r="CG62" s="436"/>
      <c r="CH62" s="436"/>
      <c r="CI62" s="436"/>
      <c r="CJ62" s="436"/>
      <c r="CK62" s="436"/>
      <c r="CL62" s="436"/>
      <c r="CM62" s="436"/>
      <c r="CN62" s="436"/>
      <c r="CO62" s="436"/>
      <c r="CP62" s="436"/>
      <c r="CQ62" s="436"/>
      <c r="CR62" s="436"/>
      <c r="CS62" s="436"/>
      <c r="CT62" s="436"/>
      <c r="CU62" s="436"/>
      <c r="CV62" s="436"/>
      <c r="CW62" s="436"/>
      <c r="CX62" s="436"/>
      <c r="CY62" s="436"/>
      <c r="CZ62" s="436"/>
      <c r="DA62" s="436"/>
      <c r="DB62" s="436"/>
      <c r="DC62" s="436"/>
    </row>
    <row r="63" spans="1:20" ht="12.75">
      <c r="A63" s="74" t="s">
        <v>219</v>
      </c>
      <c r="B63" s="440">
        <f>SUM(B64:B65)</f>
        <v>2884000</v>
      </c>
      <c r="C63" s="440">
        <f aca="true" t="shared" si="38" ref="C63:H63">SUM(C64:C65)</f>
        <v>975000</v>
      </c>
      <c r="D63" s="638">
        <f t="shared" si="1"/>
        <v>33.80721220527046</v>
      </c>
      <c r="E63" s="440">
        <f t="shared" si="38"/>
        <v>1642000</v>
      </c>
      <c r="F63" s="440">
        <f t="shared" si="38"/>
        <v>872000</v>
      </c>
      <c r="G63" s="638">
        <f t="shared" si="2"/>
        <v>53.10596833130329</v>
      </c>
      <c r="H63" s="440">
        <f t="shared" si="38"/>
        <v>2880000</v>
      </c>
      <c r="I63" s="440">
        <f>SUM(I64:I65)</f>
        <v>1745000</v>
      </c>
      <c r="J63" s="638">
        <f t="shared" si="6"/>
        <v>60.59027777777778</v>
      </c>
      <c r="K63" s="74" t="s">
        <v>219</v>
      </c>
      <c r="L63" s="440">
        <f aca="true" t="shared" si="39" ref="L63:S63">SUM(L64:L65)</f>
        <v>2884</v>
      </c>
      <c r="M63" s="440">
        <f t="shared" si="39"/>
        <v>975</v>
      </c>
      <c r="N63" s="638">
        <f t="shared" si="4"/>
        <v>33.80721220527046</v>
      </c>
      <c r="O63" s="440">
        <f t="shared" si="39"/>
        <v>1642</v>
      </c>
      <c r="P63" s="440">
        <f t="shared" si="39"/>
        <v>872</v>
      </c>
      <c r="Q63" s="638">
        <f t="shared" si="5"/>
        <v>53.10596833130329</v>
      </c>
      <c r="R63" s="440">
        <f t="shared" si="39"/>
        <v>2880</v>
      </c>
      <c r="S63" s="440">
        <f t="shared" si="39"/>
        <v>1745</v>
      </c>
      <c r="T63" s="638">
        <f t="shared" si="7"/>
        <v>60.59027777777778</v>
      </c>
    </row>
    <row r="64" spans="1:107" s="437" customFormat="1" ht="12.75">
      <c r="A64" s="442" t="s">
        <v>577</v>
      </c>
      <c r="B64" s="27">
        <v>10000</v>
      </c>
      <c r="C64" s="27">
        <v>10000</v>
      </c>
      <c r="D64" s="639">
        <f t="shared" si="1"/>
        <v>100</v>
      </c>
      <c r="E64" s="27">
        <v>10000</v>
      </c>
      <c r="F64" s="27">
        <v>10000</v>
      </c>
      <c r="G64" s="639">
        <f t="shared" si="2"/>
        <v>100</v>
      </c>
      <c r="H64" s="27">
        <v>50000</v>
      </c>
      <c r="I64" s="27">
        <v>50000</v>
      </c>
      <c r="J64" s="639">
        <f t="shared" si="6"/>
        <v>100</v>
      </c>
      <c r="K64" s="442" t="s">
        <v>577</v>
      </c>
      <c r="L64" s="27">
        <f>ROUND(B64/1000,0)</f>
        <v>10</v>
      </c>
      <c r="M64" s="27">
        <f>ROUND(C64/1000,0)</f>
        <v>10</v>
      </c>
      <c r="N64" s="639">
        <f t="shared" si="4"/>
        <v>100</v>
      </c>
      <c r="O64" s="27">
        <f>ROUND(E64/1000,0)</f>
        <v>10</v>
      </c>
      <c r="P64" s="27">
        <f>ROUND(F64/1000,0)</f>
        <v>10</v>
      </c>
      <c r="Q64" s="639">
        <f t="shared" si="5"/>
        <v>100</v>
      </c>
      <c r="R64" s="27">
        <f>ROUND(H64/1000,0)</f>
        <v>50</v>
      </c>
      <c r="S64" s="27">
        <f>ROUND(I64/1000,0)</f>
        <v>50</v>
      </c>
      <c r="T64" s="639">
        <f t="shared" si="7"/>
        <v>100</v>
      </c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6"/>
      <c r="BD64" s="436"/>
      <c r="BE64" s="436"/>
      <c r="BF64" s="436"/>
      <c r="BG64" s="436"/>
      <c r="BH64" s="436"/>
      <c r="BI64" s="436"/>
      <c r="BJ64" s="436"/>
      <c r="BK64" s="436"/>
      <c r="BL64" s="436"/>
      <c r="BM64" s="436"/>
      <c r="BN64" s="436"/>
      <c r="BO64" s="436"/>
      <c r="BP64" s="436"/>
      <c r="BQ64" s="436"/>
      <c r="BR64" s="436"/>
      <c r="BS64" s="436"/>
      <c r="BT64" s="436"/>
      <c r="BU64" s="436"/>
      <c r="BV64" s="436"/>
      <c r="BW64" s="436"/>
      <c r="BX64" s="436"/>
      <c r="BY64" s="436"/>
      <c r="BZ64" s="436"/>
      <c r="CA64" s="436"/>
      <c r="CB64" s="436"/>
      <c r="CC64" s="436"/>
      <c r="CD64" s="436"/>
      <c r="CE64" s="436"/>
      <c r="CF64" s="436"/>
      <c r="CG64" s="436"/>
      <c r="CH64" s="436"/>
      <c r="CI64" s="436"/>
      <c r="CJ64" s="436"/>
      <c r="CK64" s="436"/>
      <c r="CL64" s="436"/>
      <c r="CM64" s="436"/>
      <c r="CN64" s="436"/>
      <c r="CO64" s="436"/>
      <c r="CP64" s="436"/>
      <c r="CQ64" s="436"/>
      <c r="CR64" s="436"/>
      <c r="CS64" s="436"/>
      <c r="CT64" s="436"/>
      <c r="CU64" s="436"/>
      <c r="CV64" s="436"/>
      <c r="CW64" s="436"/>
      <c r="CX64" s="436"/>
      <c r="CY64" s="436"/>
      <c r="CZ64" s="436"/>
      <c r="DA64" s="436"/>
      <c r="DB64" s="436"/>
      <c r="DC64" s="436"/>
    </row>
    <row r="65" spans="1:107" s="437" customFormat="1" ht="12.75">
      <c r="A65" s="442" t="s">
        <v>195</v>
      </c>
      <c r="B65" s="27">
        <v>2874000</v>
      </c>
      <c r="C65" s="27">
        <f>800000+165000</f>
        <v>965000</v>
      </c>
      <c r="D65" s="639">
        <f t="shared" si="1"/>
        <v>33.57689631176061</v>
      </c>
      <c r="E65" s="27">
        <v>1632000</v>
      </c>
      <c r="F65" s="27">
        <f>800000+62000</f>
        <v>862000</v>
      </c>
      <c r="G65" s="639">
        <f t="shared" si="2"/>
        <v>52.818627450980394</v>
      </c>
      <c r="H65" s="27">
        <v>2830000</v>
      </c>
      <c r="I65" s="27">
        <f>1695000</f>
        <v>1695000</v>
      </c>
      <c r="J65" s="639">
        <f t="shared" si="6"/>
        <v>59.8939929328622</v>
      </c>
      <c r="K65" s="442" t="s">
        <v>195</v>
      </c>
      <c r="L65" s="27">
        <f>ROUND(B65/1000,0)</f>
        <v>2874</v>
      </c>
      <c r="M65" s="27">
        <f>ROUND(C65/1000,0)</f>
        <v>965</v>
      </c>
      <c r="N65" s="639">
        <f t="shared" si="4"/>
        <v>33.57689631176061</v>
      </c>
      <c r="O65" s="27">
        <f>ROUND(E65/1000,0)</f>
        <v>1632</v>
      </c>
      <c r="P65" s="27">
        <f>ROUND(F65/1000,0)</f>
        <v>862</v>
      </c>
      <c r="Q65" s="639">
        <f t="shared" si="5"/>
        <v>52.818627450980394</v>
      </c>
      <c r="R65" s="27">
        <f>ROUND(H65/1000,0)</f>
        <v>2830</v>
      </c>
      <c r="S65" s="27">
        <f>ROUND(I65/1000,0)</f>
        <v>1695</v>
      </c>
      <c r="T65" s="639">
        <f t="shared" si="7"/>
        <v>59.8939929328622</v>
      </c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/>
      <c r="BH65" s="436"/>
      <c r="BI65" s="436"/>
      <c r="BJ65" s="436"/>
      <c r="BK65" s="436"/>
      <c r="BL65" s="436"/>
      <c r="BM65" s="436"/>
      <c r="BN65" s="436"/>
      <c r="BO65" s="436"/>
      <c r="BP65" s="436"/>
      <c r="BQ65" s="436"/>
      <c r="BR65" s="436"/>
      <c r="BS65" s="436"/>
      <c r="BT65" s="436"/>
      <c r="BU65" s="436"/>
      <c r="BV65" s="436"/>
      <c r="BW65" s="436"/>
      <c r="BX65" s="436"/>
      <c r="BY65" s="436"/>
      <c r="BZ65" s="436"/>
      <c r="CA65" s="436"/>
      <c r="CB65" s="436"/>
      <c r="CC65" s="436"/>
      <c r="CD65" s="436"/>
      <c r="CE65" s="436"/>
      <c r="CF65" s="436"/>
      <c r="CG65" s="436"/>
      <c r="CH65" s="436"/>
      <c r="CI65" s="436"/>
      <c r="CJ65" s="436"/>
      <c r="CK65" s="436"/>
      <c r="CL65" s="436"/>
      <c r="CM65" s="436"/>
      <c r="CN65" s="436"/>
      <c r="CO65" s="436"/>
      <c r="CP65" s="436"/>
      <c r="CQ65" s="436"/>
      <c r="CR65" s="436"/>
      <c r="CS65" s="436"/>
      <c r="CT65" s="436"/>
      <c r="CU65" s="436"/>
      <c r="CV65" s="436"/>
      <c r="CW65" s="436"/>
      <c r="CX65" s="436"/>
      <c r="CY65" s="436"/>
      <c r="CZ65" s="436"/>
      <c r="DA65" s="436"/>
      <c r="DB65" s="436"/>
      <c r="DC65" s="436"/>
    </row>
    <row r="66" spans="1:20" ht="12.75">
      <c r="A66" s="74" t="s">
        <v>907</v>
      </c>
      <c r="B66" s="440">
        <f>SUM(B67:B68)</f>
        <v>2105510</v>
      </c>
      <c r="C66" s="440">
        <f aca="true" t="shared" si="40" ref="C66:H66">SUM(C67:C68)</f>
        <v>0</v>
      </c>
      <c r="D66" s="638">
        <f t="shared" si="1"/>
        <v>0</v>
      </c>
      <c r="E66" s="440">
        <f t="shared" si="40"/>
        <v>888660</v>
      </c>
      <c r="F66" s="440">
        <f t="shared" si="40"/>
        <v>0</v>
      </c>
      <c r="G66" s="638">
        <f t="shared" si="2"/>
        <v>0</v>
      </c>
      <c r="H66" s="440">
        <f t="shared" si="40"/>
        <v>618660</v>
      </c>
      <c r="I66" s="440">
        <f>SUM(I67:I68)</f>
        <v>0</v>
      </c>
      <c r="J66" s="638">
        <f t="shared" si="6"/>
        <v>0</v>
      </c>
      <c r="K66" s="74" t="s">
        <v>907</v>
      </c>
      <c r="L66" s="440">
        <f aca="true" t="shared" si="41" ref="L66:S66">SUM(L67:L68)</f>
        <v>2105</v>
      </c>
      <c r="M66" s="440">
        <f t="shared" si="41"/>
        <v>0</v>
      </c>
      <c r="N66" s="638">
        <f t="shared" si="4"/>
        <v>0</v>
      </c>
      <c r="O66" s="440">
        <f t="shared" si="41"/>
        <v>889</v>
      </c>
      <c r="P66" s="440">
        <f t="shared" si="41"/>
        <v>0</v>
      </c>
      <c r="Q66" s="638">
        <f t="shared" si="5"/>
        <v>0</v>
      </c>
      <c r="R66" s="440">
        <f t="shared" si="41"/>
        <v>619</v>
      </c>
      <c r="S66" s="440">
        <f t="shared" si="41"/>
        <v>0</v>
      </c>
      <c r="T66" s="638">
        <f t="shared" si="7"/>
        <v>0</v>
      </c>
    </row>
    <row r="67" spans="1:107" s="437" customFormat="1" ht="12.75">
      <c r="A67" s="442" t="s">
        <v>577</v>
      </c>
      <c r="B67" s="27">
        <v>390510</v>
      </c>
      <c r="C67" s="27"/>
      <c r="D67" s="639">
        <f t="shared" si="1"/>
        <v>0</v>
      </c>
      <c r="E67" s="27">
        <v>558660</v>
      </c>
      <c r="F67" s="27"/>
      <c r="G67" s="639">
        <f t="shared" si="2"/>
        <v>0</v>
      </c>
      <c r="H67" s="27">
        <v>558660</v>
      </c>
      <c r="I67" s="27"/>
      <c r="J67" s="639">
        <f t="shared" si="6"/>
        <v>0</v>
      </c>
      <c r="K67" s="442" t="s">
        <v>577</v>
      </c>
      <c r="L67" s="27">
        <f>ROUND(B67/1000,0)-1</f>
        <v>390</v>
      </c>
      <c r="M67" s="27">
        <f>ROUND(C67/1000,0)</f>
        <v>0</v>
      </c>
      <c r="N67" s="639">
        <f t="shared" si="4"/>
        <v>0</v>
      </c>
      <c r="O67" s="27">
        <f>ROUND(E67/1000,0)</f>
        <v>559</v>
      </c>
      <c r="P67" s="27">
        <f>ROUND(F67/1000,0)</f>
        <v>0</v>
      </c>
      <c r="Q67" s="639">
        <f t="shared" si="5"/>
        <v>0</v>
      </c>
      <c r="R67" s="27">
        <f>ROUND(H67/1000,0)</f>
        <v>559</v>
      </c>
      <c r="S67" s="27">
        <f>ROUND(I67/1000,0)</f>
        <v>0</v>
      </c>
      <c r="T67" s="639">
        <f t="shared" si="7"/>
        <v>0</v>
      </c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  <c r="CA67" s="436"/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/>
      <c r="CU67" s="436"/>
      <c r="CV67" s="436"/>
      <c r="CW67" s="436"/>
      <c r="CX67" s="436"/>
      <c r="CY67" s="436"/>
      <c r="CZ67" s="436"/>
      <c r="DA67" s="436"/>
      <c r="DB67" s="436"/>
      <c r="DC67" s="436"/>
    </row>
    <row r="68" spans="1:107" s="437" customFormat="1" ht="12.75">
      <c r="A68" s="442" t="s">
        <v>195</v>
      </c>
      <c r="B68" s="27">
        <v>1715000</v>
      </c>
      <c r="C68" s="27"/>
      <c r="D68" s="639">
        <f t="shared" si="1"/>
        <v>0</v>
      </c>
      <c r="E68" s="27">
        <v>330000</v>
      </c>
      <c r="F68" s="27"/>
      <c r="G68" s="639">
        <f t="shared" si="2"/>
        <v>0</v>
      </c>
      <c r="H68" s="27">
        <v>60000</v>
      </c>
      <c r="I68" s="27"/>
      <c r="J68" s="639">
        <f t="shared" si="6"/>
        <v>0</v>
      </c>
      <c r="K68" s="442" t="s">
        <v>195</v>
      </c>
      <c r="L68" s="27">
        <f>ROUND(B68/1000,0)</f>
        <v>1715</v>
      </c>
      <c r="M68" s="27">
        <f>ROUND(C68/1000,0)</f>
        <v>0</v>
      </c>
      <c r="N68" s="639">
        <f t="shared" si="4"/>
        <v>0</v>
      </c>
      <c r="O68" s="27">
        <f>ROUND(E68/1000,0)</f>
        <v>330</v>
      </c>
      <c r="P68" s="27">
        <f>ROUND(F68/1000,0)</f>
        <v>0</v>
      </c>
      <c r="Q68" s="639">
        <f t="shared" si="5"/>
        <v>0</v>
      </c>
      <c r="R68" s="27">
        <f>ROUND(H68/1000,0)</f>
        <v>60</v>
      </c>
      <c r="S68" s="27">
        <f>ROUND(I68/1000,0)</f>
        <v>0</v>
      </c>
      <c r="T68" s="639">
        <f t="shared" si="7"/>
        <v>0</v>
      </c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</row>
    <row r="69" spans="1:20" ht="12.75">
      <c r="A69" s="74" t="s">
        <v>580</v>
      </c>
      <c r="B69" s="440">
        <f>SUM(B70:B71)</f>
        <v>429090</v>
      </c>
      <c r="C69" s="440">
        <f aca="true" t="shared" si="42" ref="C69:I69">SUM(C70:C71)</f>
        <v>0</v>
      </c>
      <c r="D69" s="638">
        <f t="shared" si="1"/>
        <v>0</v>
      </c>
      <c r="E69" s="440">
        <f t="shared" si="42"/>
        <v>429090</v>
      </c>
      <c r="F69" s="440">
        <f t="shared" si="42"/>
        <v>0</v>
      </c>
      <c r="G69" s="638">
        <f t="shared" si="2"/>
        <v>0</v>
      </c>
      <c r="H69" s="440">
        <f t="shared" si="42"/>
        <v>1853180</v>
      </c>
      <c r="I69" s="440">
        <f t="shared" si="42"/>
        <v>0</v>
      </c>
      <c r="J69" s="638"/>
      <c r="K69" s="74" t="s">
        <v>580</v>
      </c>
      <c r="L69" s="440">
        <f aca="true" t="shared" si="43" ref="L69:S69">SUM(L70:L71)</f>
        <v>429</v>
      </c>
      <c r="M69" s="440">
        <f t="shared" si="43"/>
        <v>0</v>
      </c>
      <c r="N69" s="638">
        <f t="shared" si="4"/>
        <v>0</v>
      </c>
      <c r="O69" s="440">
        <f t="shared" si="43"/>
        <v>429</v>
      </c>
      <c r="P69" s="440">
        <f t="shared" si="43"/>
        <v>0</v>
      </c>
      <c r="Q69" s="638">
        <f t="shared" si="5"/>
        <v>0</v>
      </c>
      <c r="R69" s="440">
        <f t="shared" si="43"/>
        <v>1853</v>
      </c>
      <c r="S69" s="440">
        <f t="shared" si="43"/>
        <v>0</v>
      </c>
      <c r="T69" s="638">
        <f t="shared" si="7"/>
        <v>0</v>
      </c>
    </row>
    <row r="70" spans="1:107" s="437" customFormat="1" ht="12.75">
      <c r="A70" s="442" t="s">
        <v>577</v>
      </c>
      <c r="B70" s="27">
        <v>61090</v>
      </c>
      <c r="C70" s="27"/>
      <c r="D70" s="639">
        <f t="shared" si="1"/>
        <v>0</v>
      </c>
      <c r="E70" s="27">
        <v>61090</v>
      </c>
      <c r="F70" s="27"/>
      <c r="G70" s="639">
        <f t="shared" si="2"/>
        <v>0</v>
      </c>
      <c r="H70" s="27">
        <v>242180</v>
      </c>
      <c r="I70" s="27"/>
      <c r="J70" s="639"/>
      <c r="K70" s="442" t="s">
        <v>577</v>
      </c>
      <c r="L70" s="27">
        <f>ROUND(B70/1000,0)</f>
        <v>61</v>
      </c>
      <c r="M70" s="27">
        <f>ROUND(C70/1000,0)</f>
        <v>0</v>
      </c>
      <c r="N70" s="639">
        <f t="shared" si="4"/>
        <v>0</v>
      </c>
      <c r="O70" s="27">
        <f>ROUND(E70/1000,0)</f>
        <v>61</v>
      </c>
      <c r="P70" s="27">
        <f>ROUND(F70/1000,0)</f>
        <v>0</v>
      </c>
      <c r="Q70" s="639">
        <f t="shared" si="5"/>
        <v>0</v>
      </c>
      <c r="R70" s="27">
        <f>ROUND(H70/1000,0)</f>
        <v>242</v>
      </c>
      <c r="S70" s="27">
        <f>ROUND(I70/1000,0)</f>
        <v>0</v>
      </c>
      <c r="T70" s="639">
        <f t="shared" si="7"/>
        <v>0</v>
      </c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436"/>
      <c r="BQ70" s="436"/>
      <c r="BR70" s="436"/>
      <c r="BS70" s="436"/>
      <c r="BT70" s="436"/>
      <c r="BU70" s="436"/>
      <c r="BV70" s="436"/>
      <c r="BW70" s="436"/>
      <c r="BX70" s="436"/>
      <c r="BY70" s="436"/>
      <c r="BZ70" s="436"/>
      <c r="CA70" s="436"/>
      <c r="CB70" s="436"/>
      <c r="CC70" s="436"/>
      <c r="CD70" s="436"/>
      <c r="CE70" s="436"/>
      <c r="CF70" s="436"/>
      <c r="CG70" s="436"/>
      <c r="CH70" s="436"/>
      <c r="CI70" s="436"/>
      <c r="CJ70" s="436"/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/>
      <c r="CX70" s="436"/>
      <c r="CY70" s="436"/>
      <c r="CZ70" s="436"/>
      <c r="DA70" s="436"/>
      <c r="DB70" s="436"/>
      <c r="DC70" s="436"/>
    </row>
    <row r="71" spans="1:107" s="437" customFormat="1" ht="12.75">
      <c r="A71" s="442" t="s">
        <v>195</v>
      </c>
      <c r="B71" s="27">
        <v>368000</v>
      </c>
      <c r="C71" s="27"/>
      <c r="D71" s="639">
        <f t="shared" si="1"/>
        <v>0</v>
      </c>
      <c r="E71" s="27">
        <v>368000</v>
      </c>
      <c r="F71" s="27"/>
      <c r="G71" s="639">
        <f t="shared" si="2"/>
        <v>0</v>
      </c>
      <c r="H71" s="27">
        <v>1611000</v>
      </c>
      <c r="I71" s="27"/>
      <c r="J71" s="639"/>
      <c r="K71" s="442" t="s">
        <v>195</v>
      </c>
      <c r="L71" s="27">
        <f>ROUND(B71/1000,0)</f>
        <v>368</v>
      </c>
      <c r="M71" s="27">
        <f>ROUND(C71/1000,0)</f>
        <v>0</v>
      </c>
      <c r="N71" s="639">
        <f t="shared" si="4"/>
        <v>0</v>
      </c>
      <c r="O71" s="27">
        <f>ROUND(E71/1000,0)</f>
        <v>368</v>
      </c>
      <c r="P71" s="27">
        <f>ROUND(F71/1000,0)</f>
        <v>0</v>
      </c>
      <c r="Q71" s="639">
        <f t="shared" si="5"/>
        <v>0</v>
      </c>
      <c r="R71" s="27">
        <f>ROUND(H71/1000,0)</f>
        <v>1611</v>
      </c>
      <c r="S71" s="27">
        <f>ROUND(I71/1000,0)</f>
        <v>0</v>
      </c>
      <c r="T71" s="639">
        <f t="shared" si="7"/>
        <v>0</v>
      </c>
      <c r="U71" s="436"/>
      <c r="V71" s="436"/>
      <c r="W71" s="436"/>
      <c r="X71" s="436"/>
      <c r="Y71" s="436"/>
      <c r="Z71" s="436"/>
      <c r="AA71" s="436"/>
      <c r="AB71" s="436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6"/>
      <c r="BR71" s="436"/>
      <c r="BS71" s="436"/>
      <c r="BT71" s="436"/>
      <c r="BU71" s="436"/>
      <c r="BV71" s="436"/>
      <c r="BW71" s="436"/>
      <c r="BX71" s="436"/>
      <c r="BY71" s="436"/>
      <c r="BZ71" s="436"/>
      <c r="CA71" s="436"/>
      <c r="CB71" s="436"/>
      <c r="CC71" s="436"/>
      <c r="CD71" s="436"/>
      <c r="CE71" s="436"/>
      <c r="CF71" s="436"/>
      <c r="CG71" s="436"/>
      <c r="CH71" s="436"/>
      <c r="CI71" s="436"/>
      <c r="CJ71" s="436"/>
      <c r="CK71" s="436"/>
      <c r="CL71" s="436"/>
      <c r="CM71" s="436"/>
      <c r="CN71" s="436"/>
      <c r="CO71" s="436"/>
      <c r="CP71" s="436"/>
      <c r="CQ71" s="436"/>
      <c r="CR71" s="436"/>
      <c r="CS71" s="436"/>
      <c r="CT71" s="436"/>
      <c r="CU71" s="436"/>
      <c r="CV71" s="436"/>
      <c r="CW71" s="436"/>
      <c r="CX71" s="436"/>
      <c r="CY71" s="436"/>
      <c r="CZ71" s="436"/>
      <c r="DA71" s="436"/>
      <c r="DB71" s="436"/>
      <c r="DC71" s="436"/>
    </row>
    <row r="72" spans="1:20" ht="12.75">
      <c r="A72" s="74" t="s">
        <v>911</v>
      </c>
      <c r="B72" s="440">
        <f>SUM(B73:B76)</f>
        <v>174585</v>
      </c>
      <c r="C72" s="440">
        <f>SUM(C73:C76)</f>
        <v>0</v>
      </c>
      <c r="D72" s="638">
        <f t="shared" si="1"/>
        <v>0</v>
      </c>
      <c r="E72" s="440">
        <f>SUM(E73:E76)</f>
        <v>159876</v>
      </c>
      <c r="F72" s="440">
        <f>SUM(F73:F76)</f>
        <v>0</v>
      </c>
      <c r="G72" s="638">
        <f t="shared" si="2"/>
        <v>0</v>
      </c>
      <c r="H72" s="440">
        <f>SUM(H73:H76)</f>
        <v>1268784</v>
      </c>
      <c r="I72" s="440">
        <f>SUM(I73:I76)</f>
        <v>0</v>
      </c>
      <c r="J72" s="638">
        <f t="shared" si="6"/>
        <v>0</v>
      </c>
      <c r="K72" s="74" t="s">
        <v>911</v>
      </c>
      <c r="L72" s="440">
        <f>SUM(L73:L76)</f>
        <v>174</v>
      </c>
      <c r="M72" s="440">
        <f>SUM(M73:M76)</f>
        <v>0</v>
      </c>
      <c r="N72" s="638">
        <f t="shared" si="4"/>
        <v>0</v>
      </c>
      <c r="O72" s="440">
        <f>SUM(O73:O76)</f>
        <v>159</v>
      </c>
      <c r="P72" s="440">
        <f>SUM(P73:P76)</f>
        <v>0</v>
      </c>
      <c r="Q72" s="638">
        <f t="shared" si="5"/>
        <v>0</v>
      </c>
      <c r="R72" s="440">
        <f>SUM(R73:R76)</f>
        <v>1268</v>
      </c>
      <c r="S72" s="440">
        <f>SUM(S73:S76)</f>
        <v>0</v>
      </c>
      <c r="T72" s="638">
        <f t="shared" si="7"/>
        <v>0</v>
      </c>
    </row>
    <row r="73" spans="1:107" s="437" customFormat="1" ht="12.75">
      <c r="A73" s="442" t="s">
        <v>576</v>
      </c>
      <c r="B73" s="27">
        <v>103272</v>
      </c>
      <c r="C73" s="27"/>
      <c r="D73" s="639">
        <f t="shared" si="1"/>
        <v>0</v>
      </c>
      <c r="E73" s="27">
        <v>103272</v>
      </c>
      <c r="F73" s="27"/>
      <c r="G73" s="639">
        <f t="shared" si="2"/>
        <v>0</v>
      </c>
      <c r="H73" s="27">
        <v>820548</v>
      </c>
      <c r="I73" s="27"/>
      <c r="J73" s="639">
        <f t="shared" si="6"/>
        <v>0</v>
      </c>
      <c r="K73" s="442" t="s">
        <v>576</v>
      </c>
      <c r="L73" s="27">
        <f>ROUND(B73/1000,0)</f>
        <v>103</v>
      </c>
      <c r="M73" s="27">
        <f>ROUND(C73/1000,0)</f>
        <v>0</v>
      </c>
      <c r="N73" s="639">
        <f>M73/L73*100</f>
        <v>0</v>
      </c>
      <c r="O73" s="27">
        <f>ROUND(E73/1000,0)</f>
        <v>103</v>
      </c>
      <c r="P73" s="27">
        <f>ROUND(F73/1000,0)</f>
        <v>0</v>
      </c>
      <c r="Q73" s="639">
        <f>P73/O73*100</f>
        <v>0</v>
      </c>
      <c r="R73" s="27">
        <f>ROUND(H73/1000,0)-1</f>
        <v>820</v>
      </c>
      <c r="S73" s="27">
        <f>ROUND(I73/1000,0)</f>
        <v>0</v>
      </c>
      <c r="T73" s="639">
        <f>S73/R73*100</f>
        <v>0</v>
      </c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36"/>
      <c r="BQ73" s="436"/>
      <c r="BR73" s="436"/>
      <c r="BS73" s="436"/>
      <c r="BT73" s="436"/>
      <c r="BU73" s="436"/>
      <c r="BV73" s="436"/>
      <c r="BW73" s="436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6"/>
      <c r="CW73" s="436"/>
      <c r="CX73" s="436"/>
      <c r="CY73" s="436"/>
      <c r="CZ73" s="436"/>
      <c r="DA73" s="436"/>
      <c r="DB73" s="436"/>
      <c r="DC73" s="436"/>
    </row>
    <row r="74" spans="1:107" s="437" customFormat="1" ht="12.75">
      <c r="A74" s="442" t="s">
        <v>959</v>
      </c>
      <c r="B74" s="27">
        <v>58103</v>
      </c>
      <c r="C74" s="27"/>
      <c r="D74" s="639">
        <f t="shared" si="1"/>
        <v>0</v>
      </c>
      <c r="E74" s="27">
        <v>54394</v>
      </c>
      <c r="F74" s="27"/>
      <c r="G74" s="639">
        <f t="shared" si="2"/>
        <v>0</v>
      </c>
      <c r="H74" s="27">
        <v>437186</v>
      </c>
      <c r="I74" s="27"/>
      <c r="J74" s="639">
        <f t="shared" si="6"/>
        <v>0</v>
      </c>
      <c r="K74" s="442" t="s">
        <v>959</v>
      </c>
      <c r="L74" s="27">
        <f>ROUND(B74/1000,0)</f>
        <v>58</v>
      </c>
      <c r="M74" s="27">
        <f aca="true" t="shared" si="44" ref="M74:S76">ROUND(C74/1000,0)</f>
        <v>0</v>
      </c>
      <c r="N74" s="639">
        <f t="shared" si="4"/>
        <v>0</v>
      </c>
      <c r="O74" s="27">
        <f>ROUND(E74/1000,0)</f>
        <v>54</v>
      </c>
      <c r="P74" s="27">
        <f t="shared" si="44"/>
        <v>0</v>
      </c>
      <c r="Q74" s="639">
        <f t="shared" si="5"/>
        <v>0</v>
      </c>
      <c r="R74" s="27">
        <f t="shared" si="44"/>
        <v>437</v>
      </c>
      <c r="S74" s="27">
        <f t="shared" si="44"/>
        <v>0</v>
      </c>
      <c r="T74" s="639">
        <f t="shared" si="7"/>
        <v>0</v>
      </c>
      <c r="U74" s="436"/>
      <c r="V74" s="436"/>
      <c r="W74" s="436"/>
      <c r="X74" s="436"/>
      <c r="Y74" s="436"/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  <c r="AW74" s="436"/>
      <c r="AX74" s="436"/>
      <c r="AY74" s="436"/>
      <c r="AZ74" s="436"/>
      <c r="BA74" s="436"/>
      <c r="BB74" s="436"/>
      <c r="BC74" s="436"/>
      <c r="BD74" s="436"/>
      <c r="BE74" s="436"/>
      <c r="BF74" s="436"/>
      <c r="BG74" s="436"/>
      <c r="BH74" s="436"/>
      <c r="BI74" s="436"/>
      <c r="BJ74" s="436"/>
      <c r="BK74" s="436"/>
      <c r="BL74" s="436"/>
      <c r="BM74" s="436"/>
      <c r="BN74" s="436"/>
      <c r="BO74" s="436"/>
      <c r="BP74" s="436"/>
      <c r="BQ74" s="436"/>
      <c r="BR74" s="436"/>
      <c r="BS74" s="436"/>
      <c r="BT74" s="436"/>
      <c r="BU74" s="436"/>
      <c r="BV74" s="436"/>
      <c r="BW74" s="436"/>
      <c r="BX74" s="436"/>
      <c r="BY74" s="436"/>
      <c r="BZ74" s="436"/>
      <c r="CA74" s="436"/>
      <c r="CB74" s="436"/>
      <c r="CC74" s="436"/>
      <c r="CD74" s="436"/>
      <c r="CE74" s="436"/>
      <c r="CF74" s="436"/>
      <c r="CG74" s="436"/>
      <c r="CH74" s="436"/>
      <c r="CI74" s="436"/>
      <c r="CJ74" s="436"/>
      <c r="CK74" s="436"/>
      <c r="CL74" s="436"/>
      <c r="CM74" s="436"/>
      <c r="CN74" s="436"/>
      <c r="CO74" s="436"/>
      <c r="CP74" s="436"/>
      <c r="CQ74" s="436"/>
      <c r="CR74" s="436"/>
      <c r="CS74" s="436"/>
      <c r="CT74" s="436"/>
      <c r="CU74" s="436"/>
      <c r="CV74" s="436"/>
      <c r="CW74" s="436"/>
      <c r="CX74" s="436"/>
      <c r="CY74" s="436"/>
      <c r="CZ74" s="436"/>
      <c r="DA74" s="436"/>
      <c r="DB74" s="436"/>
      <c r="DC74" s="436"/>
    </row>
    <row r="75" spans="1:107" s="437" customFormat="1" ht="12.75">
      <c r="A75" s="442" t="s">
        <v>577</v>
      </c>
      <c r="B75" s="27">
        <v>2210</v>
      </c>
      <c r="C75" s="27"/>
      <c r="D75" s="639">
        <f t="shared" si="1"/>
        <v>0</v>
      </c>
      <c r="E75" s="27">
        <v>2210</v>
      </c>
      <c r="F75" s="27"/>
      <c r="G75" s="639">
        <f t="shared" si="2"/>
        <v>0</v>
      </c>
      <c r="H75" s="27">
        <v>11050</v>
      </c>
      <c r="I75" s="27"/>
      <c r="J75" s="639">
        <f t="shared" si="6"/>
        <v>0</v>
      </c>
      <c r="K75" s="442" t="s">
        <v>577</v>
      </c>
      <c r="L75" s="27">
        <f>ROUND(B75/1000,0)</f>
        <v>2</v>
      </c>
      <c r="M75" s="27">
        <f t="shared" si="44"/>
        <v>0</v>
      </c>
      <c r="N75" s="639">
        <f t="shared" si="4"/>
        <v>0</v>
      </c>
      <c r="O75" s="27">
        <f t="shared" si="44"/>
        <v>2</v>
      </c>
      <c r="P75" s="27">
        <f t="shared" si="44"/>
        <v>0</v>
      </c>
      <c r="Q75" s="639">
        <f t="shared" si="5"/>
        <v>0</v>
      </c>
      <c r="R75" s="27">
        <f t="shared" si="44"/>
        <v>11</v>
      </c>
      <c r="S75" s="27">
        <f t="shared" si="44"/>
        <v>0</v>
      </c>
      <c r="T75" s="639">
        <f t="shared" si="7"/>
        <v>0</v>
      </c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436"/>
      <c r="BW75" s="436"/>
      <c r="BX75" s="436"/>
      <c r="BY75" s="436"/>
      <c r="BZ75" s="436"/>
      <c r="CA75" s="436"/>
      <c r="CB75" s="436"/>
      <c r="CC75" s="436"/>
      <c r="CD75" s="436"/>
      <c r="CE75" s="436"/>
      <c r="CF75" s="436"/>
      <c r="CG75" s="436"/>
      <c r="CH75" s="436"/>
      <c r="CI75" s="436"/>
      <c r="CJ75" s="436"/>
      <c r="CK75" s="436"/>
      <c r="CL75" s="436"/>
      <c r="CM75" s="436"/>
      <c r="CN75" s="436"/>
      <c r="CO75" s="436"/>
      <c r="CP75" s="436"/>
      <c r="CQ75" s="436"/>
      <c r="CR75" s="436"/>
      <c r="CS75" s="436"/>
      <c r="CT75" s="436"/>
      <c r="CU75" s="436"/>
      <c r="CV75" s="436"/>
      <c r="CW75" s="436"/>
      <c r="CX75" s="436"/>
      <c r="CY75" s="436"/>
      <c r="CZ75" s="436"/>
      <c r="DA75" s="436"/>
      <c r="DB75" s="436"/>
      <c r="DC75" s="436"/>
    </row>
    <row r="76" spans="1:107" s="437" customFormat="1" ht="12.75">
      <c r="A76" s="442" t="s">
        <v>195</v>
      </c>
      <c r="B76" s="27">
        <v>11000</v>
      </c>
      <c r="C76" s="27"/>
      <c r="D76" s="639">
        <f aca="true" t="shared" si="45" ref="D76:D86">C76/B76*100</f>
        <v>0</v>
      </c>
      <c r="E76" s="27"/>
      <c r="F76" s="27"/>
      <c r="G76" s="639"/>
      <c r="H76" s="27"/>
      <c r="I76" s="27"/>
      <c r="J76" s="639"/>
      <c r="K76" s="442" t="s">
        <v>195</v>
      </c>
      <c r="L76" s="27">
        <f>ROUND(B76/1000,0)</f>
        <v>11</v>
      </c>
      <c r="M76" s="27">
        <f t="shared" si="44"/>
        <v>0</v>
      </c>
      <c r="N76" s="639">
        <f aca="true" t="shared" si="46" ref="N76:N86">M76/L76*100</f>
        <v>0</v>
      </c>
      <c r="O76" s="27"/>
      <c r="P76" s="27"/>
      <c r="Q76" s="639"/>
      <c r="R76" s="27"/>
      <c r="S76" s="27"/>
      <c r="T76" s="639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436"/>
      <c r="AZ76" s="436"/>
      <c r="BA76" s="436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6"/>
      <c r="BW76" s="436"/>
      <c r="BX76" s="436"/>
      <c r="BY76" s="436"/>
      <c r="BZ76" s="436"/>
      <c r="CA76" s="436"/>
      <c r="CB76" s="436"/>
      <c r="CC76" s="436"/>
      <c r="CD76" s="436"/>
      <c r="CE76" s="436"/>
      <c r="CF76" s="436"/>
      <c r="CG76" s="436"/>
      <c r="CH76" s="436"/>
      <c r="CI76" s="436"/>
      <c r="CJ76" s="436"/>
      <c r="CK76" s="436"/>
      <c r="CL76" s="436"/>
      <c r="CM76" s="436"/>
      <c r="CN76" s="436"/>
      <c r="CO76" s="436"/>
      <c r="CP76" s="436"/>
      <c r="CQ76" s="436"/>
      <c r="CR76" s="436"/>
      <c r="CS76" s="436"/>
      <c r="CT76" s="436"/>
      <c r="CU76" s="436"/>
      <c r="CV76" s="436"/>
      <c r="CW76" s="436"/>
      <c r="CX76" s="436"/>
      <c r="CY76" s="436"/>
      <c r="CZ76" s="436"/>
      <c r="DA76" s="436"/>
      <c r="DB76" s="436"/>
      <c r="DC76" s="436"/>
    </row>
    <row r="77" spans="1:20" ht="12.75">
      <c r="A77" s="74" t="s">
        <v>913</v>
      </c>
      <c r="B77" s="440">
        <f>SUM(B78)</f>
        <v>500</v>
      </c>
      <c r="C77" s="440">
        <f aca="true" t="shared" si="47" ref="C77:I77">SUM(C78)</f>
        <v>0</v>
      </c>
      <c r="D77" s="638">
        <f t="shared" si="45"/>
        <v>0</v>
      </c>
      <c r="E77" s="440">
        <f t="shared" si="47"/>
        <v>500</v>
      </c>
      <c r="F77" s="440">
        <f t="shared" si="47"/>
        <v>0</v>
      </c>
      <c r="G77" s="638">
        <f aca="true" t="shared" si="48" ref="G77:G86">F77/E77*100</f>
        <v>0</v>
      </c>
      <c r="H77" s="440">
        <f t="shared" si="47"/>
        <v>1000</v>
      </c>
      <c r="I77" s="440">
        <f t="shared" si="47"/>
        <v>0</v>
      </c>
      <c r="J77" s="638">
        <f aca="true" t="shared" si="49" ref="J77:J86">I77/H77*100</f>
        <v>0</v>
      </c>
      <c r="K77" s="74" t="s">
        <v>913</v>
      </c>
      <c r="L77" s="440">
        <f aca="true" t="shared" si="50" ref="L77:S77">SUM(L78)</f>
        <v>1</v>
      </c>
      <c r="M77" s="440">
        <f t="shared" si="50"/>
        <v>0</v>
      </c>
      <c r="N77" s="638">
        <f t="shared" si="46"/>
        <v>0</v>
      </c>
      <c r="O77" s="440">
        <f t="shared" si="50"/>
        <v>1</v>
      </c>
      <c r="P77" s="440">
        <f t="shared" si="50"/>
        <v>0</v>
      </c>
      <c r="Q77" s="638">
        <f aca="true" t="shared" si="51" ref="Q77:Q86">P77/O77*100</f>
        <v>0</v>
      </c>
      <c r="R77" s="440">
        <f t="shared" si="50"/>
        <v>1</v>
      </c>
      <c r="S77" s="440">
        <f t="shared" si="50"/>
        <v>0</v>
      </c>
      <c r="T77" s="638">
        <f aca="true" t="shared" si="52" ref="T77:T84">S77/R77*100</f>
        <v>0</v>
      </c>
    </row>
    <row r="78" spans="1:107" s="437" customFormat="1" ht="12.75">
      <c r="A78" s="442" t="s">
        <v>577</v>
      </c>
      <c r="B78" s="27">
        <v>500</v>
      </c>
      <c r="C78" s="27"/>
      <c r="D78" s="639">
        <f t="shared" si="45"/>
        <v>0</v>
      </c>
      <c r="E78" s="27">
        <v>500</v>
      </c>
      <c r="F78" s="27"/>
      <c r="G78" s="639">
        <f t="shared" si="48"/>
        <v>0</v>
      </c>
      <c r="H78" s="27">
        <v>1000</v>
      </c>
      <c r="I78" s="27"/>
      <c r="J78" s="639">
        <f t="shared" si="49"/>
        <v>0</v>
      </c>
      <c r="K78" s="442" t="s">
        <v>577</v>
      </c>
      <c r="L78" s="27">
        <f aca="true" t="shared" si="53" ref="L78:S78">ROUND(B78/1000,0)</f>
        <v>1</v>
      </c>
      <c r="M78" s="27">
        <f t="shared" si="53"/>
        <v>0</v>
      </c>
      <c r="N78" s="639">
        <f t="shared" si="46"/>
        <v>0</v>
      </c>
      <c r="O78" s="27">
        <f t="shared" si="53"/>
        <v>1</v>
      </c>
      <c r="P78" s="27">
        <f t="shared" si="53"/>
        <v>0</v>
      </c>
      <c r="Q78" s="639">
        <f t="shared" si="51"/>
        <v>0</v>
      </c>
      <c r="R78" s="27">
        <f t="shared" si="53"/>
        <v>1</v>
      </c>
      <c r="S78" s="27">
        <f t="shared" si="53"/>
        <v>0</v>
      </c>
      <c r="T78" s="639">
        <f t="shared" si="52"/>
        <v>0</v>
      </c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36"/>
      <c r="BF78" s="436"/>
      <c r="BG78" s="436"/>
      <c r="BH78" s="436"/>
      <c r="BI78" s="436"/>
      <c r="BJ78" s="436"/>
      <c r="BK78" s="436"/>
      <c r="BL78" s="436"/>
      <c r="BM78" s="436"/>
      <c r="BN78" s="436"/>
      <c r="BO78" s="436"/>
      <c r="BP78" s="436"/>
      <c r="BQ78" s="436"/>
      <c r="BR78" s="436"/>
      <c r="BS78" s="436"/>
      <c r="BT78" s="436"/>
      <c r="BU78" s="436"/>
      <c r="BV78" s="436"/>
      <c r="BW78" s="436"/>
      <c r="BX78" s="436"/>
      <c r="BY78" s="436"/>
      <c r="BZ78" s="436"/>
      <c r="CA78" s="436"/>
      <c r="CB78" s="436"/>
      <c r="CC78" s="436"/>
      <c r="CD78" s="436"/>
      <c r="CE78" s="436"/>
      <c r="CF78" s="436"/>
      <c r="CG78" s="436"/>
      <c r="CH78" s="436"/>
      <c r="CI78" s="436"/>
      <c r="CJ78" s="436"/>
      <c r="CK78" s="436"/>
      <c r="CL78" s="436"/>
      <c r="CM78" s="436"/>
      <c r="CN78" s="436"/>
      <c r="CO78" s="436"/>
      <c r="CP78" s="436"/>
      <c r="CQ78" s="436"/>
      <c r="CR78" s="436"/>
      <c r="CS78" s="436"/>
      <c r="CT78" s="436"/>
      <c r="CU78" s="436"/>
      <c r="CV78" s="436"/>
      <c r="CW78" s="436"/>
      <c r="CX78" s="436"/>
      <c r="CY78" s="436"/>
      <c r="CZ78" s="436"/>
      <c r="DA78" s="436"/>
      <c r="DB78" s="436"/>
      <c r="DC78" s="436"/>
    </row>
    <row r="79" spans="1:20" ht="12.75">
      <c r="A79" s="74" t="s">
        <v>921</v>
      </c>
      <c r="B79" s="440">
        <f>SUM(B80)</f>
        <v>600</v>
      </c>
      <c r="C79" s="440">
        <f>SUM(C80)</f>
        <v>0</v>
      </c>
      <c r="D79" s="638">
        <f t="shared" si="45"/>
        <v>0</v>
      </c>
      <c r="E79" s="440">
        <f>SUM(E80)</f>
        <v>600</v>
      </c>
      <c r="F79" s="440">
        <f>SUM(F80)</f>
        <v>0</v>
      </c>
      <c r="G79" s="638">
        <f t="shared" si="48"/>
        <v>0</v>
      </c>
      <c r="H79" s="440">
        <f>SUM(H80)</f>
        <v>0</v>
      </c>
      <c r="I79" s="440">
        <f>SUM(I80)</f>
        <v>0</v>
      </c>
      <c r="J79" s="639" t="e">
        <f t="shared" si="49"/>
        <v>#DIV/0!</v>
      </c>
      <c r="K79" s="74" t="s">
        <v>921</v>
      </c>
      <c r="L79" s="440">
        <f>SUM(L80)</f>
        <v>1</v>
      </c>
      <c r="M79" s="440">
        <f>SUM(M80)</f>
        <v>0</v>
      </c>
      <c r="N79" s="638">
        <f t="shared" si="46"/>
        <v>0</v>
      </c>
      <c r="O79" s="440">
        <f>SUM(O80)</f>
        <v>1</v>
      </c>
      <c r="P79" s="440">
        <f>SUM(P80)</f>
        <v>0</v>
      </c>
      <c r="Q79" s="638">
        <f t="shared" si="51"/>
        <v>0</v>
      </c>
      <c r="R79" s="440"/>
      <c r="S79" s="440"/>
      <c r="T79" s="638"/>
    </row>
    <row r="80" spans="1:107" s="437" customFormat="1" ht="12.75">
      <c r="A80" s="442" t="s">
        <v>577</v>
      </c>
      <c r="B80" s="27">
        <v>600</v>
      </c>
      <c r="C80" s="27"/>
      <c r="D80" s="639">
        <f t="shared" si="45"/>
        <v>0</v>
      </c>
      <c r="E80" s="27">
        <v>600</v>
      </c>
      <c r="F80" s="27"/>
      <c r="G80" s="639">
        <f t="shared" si="48"/>
        <v>0</v>
      </c>
      <c r="H80" s="27"/>
      <c r="I80" s="27"/>
      <c r="J80" s="639" t="e">
        <f t="shared" si="49"/>
        <v>#DIV/0!</v>
      </c>
      <c r="K80" s="442" t="s">
        <v>577</v>
      </c>
      <c r="L80" s="27">
        <f>ROUND(B80/1000,0)</f>
        <v>1</v>
      </c>
      <c r="M80" s="27">
        <f>ROUND(C80/1000,0)</f>
        <v>0</v>
      </c>
      <c r="N80" s="639">
        <f t="shared" si="46"/>
        <v>0</v>
      </c>
      <c r="O80" s="27">
        <f>ROUND(E80/1000,0)</f>
        <v>1</v>
      </c>
      <c r="P80" s="27">
        <f>ROUND(F80/1000,0)</f>
        <v>0</v>
      </c>
      <c r="Q80" s="639">
        <f t="shared" si="51"/>
        <v>0</v>
      </c>
      <c r="R80" s="27"/>
      <c r="S80" s="27"/>
      <c r="T80" s="639"/>
      <c r="U80" s="436"/>
      <c r="V80" s="436"/>
      <c r="W80" s="436"/>
      <c r="X80" s="436"/>
      <c r="Y80" s="436"/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  <c r="AW80" s="436"/>
      <c r="AX80" s="436"/>
      <c r="AY80" s="436"/>
      <c r="AZ80" s="436"/>
      <c r="BA80" s="436"/>
      <c r="BB80" s="436"/>
      <c r="BC80" s="436"/>
      <c r="BD80" s="436"/>
      <c r="BE80" s="436"/>
      <c r="BF80" s="436"/>
      <c r="BG80" s="436"/>
      <c r="BH80" s="436"/>
      <c r="BI80" s="436"/>
      <c r="BJ80" s="436"/>
      <c r="BK80" s="436"/>
      <c r="BL80" s="436"/>
      <c r="BM80" s="436"/>
      <c r="BN80" s="436"/>
      <c r="BO80" s="436"/>
      <c r="BP80" s="436"/>
      <c r="BQ80" s="436"/>
      <c r="BR80" s="436"/>
      <c r="BS80" s="436"/>
      <c r="BT80" s="436"/>
      <c r="BU80" s="436"/>
      <c r="BV80" s="436"/>
      <c r="BW80" s="436"/>
      <c r="BX80" s="436"/>
      <c r="BY80" s="436"/>
      <c r="BZ80" s="436"/>
      <c r="CA80" s="436"/>
      <c r="CB80" s="436"/>
      <c r="CC80" s="436"/>
      <c r="CD80" s="436"/>
      <c r="CE80" s="436"/>
      <c r="CF80" s="436"/>
      <c r="CG80" s="436"/>
      <c r="CH80" s="436"/>
      <c r="CI80" s="436"/>
      <c r="CJ80" s="436"/>
      <c r="CK80" s="436"/>
      <c r="CL80" s="436"/>
      <c r="CM80" s="436"/>
      <c r="CN80" s="436"/>
      <c r="CO80" s="436"/>
      <c r="CP80" s="436"/>
      <c r="CQ80" s="436"/>
      <c r="CR80" s="436"/>
      <c r="CS80" s="436"/>
      <c r="CT80" s="436"/>
      <c r="CU80" s="436"/>
      <c r="CV80" s="436"/>
      <c r="CW80" s="436"/>
      <c r="CX80" s="436"/>
      <c r="CY80" s="436"/>
      <c r="CZ80" s="436"/>
      <c r="DA80" s="436"/>
      <c r="DB80" s="436"/>
      <c r="DC80" s="436"/>
    </row>
    <row r="81" spans="1:20" ht="12.75">
      <c r="A81" s="74" t="s">
        <v>925</v>
      </c>
      <c r="B81" s="440">
        <f>B82</f>
        <v>143476</v>
      </c>
      <c r="C81" s="440">
        <f aca="true" t="shared" si="54" ref="C81:I81">C82</f>
        <v>0</v>
      </c>
      <c r="D81" s="638">
        <f t="shared" si="45"/>
        <v>0</v>
      </c>
      <c r="E81" s="440">
        <f t="shared" si="54"/>
        <v>190356</v>
      </c>
      <c r="F81" s="440">
        <f t="shared" si="54"/>
        <v>0</v>
      </c>
      <c r="G81" s="638">
        <f t="shared" si="48"/>
        <v>0</v>
      </c>
      <c r="H81" s="440">
        <f t="shared" si="54"/>
        <v>190356</v>
      </c>
      <c r="I81" s="440">
        <f t="shared" si="54"/>
        <v>0</v>
      </c>
      <c r="J81" s="639">
        <f t="shared" si="49"/>
        <v>0</v>
      </c>
      <c r="K81" s="74" t="s">
        <v>925</v>
      </c>
      <c r="L81" s="440">
        <f>L82</f>
        <v>144</v>
      </c>
      <c r="M81" s="440">
        <f>M82</f>
        <v>0</v>
      </c>
      <c r="N81" s="638">
        <f t="shared" si="46"/>
        <v>0</v>
      </c>
      <c r="O81" s="440">
        <f>O82</f>
        <v>190</v>
      </c>
      <c r="P81" s="440">
        <f>P82</f>
        <v>0</v>
      </c>
      <c r="Q81" s="638">
        <f t="shared" si="51"/>
        <v>0</v>
      </c>
      <c r="R81" s="440">
        <f>R82</f>
        <v>190</v>
      </c>
      <c r="S81" s="440">
        <f>S82</f>
        <v>0</v>
      </c>
      <c r="T81" s="638">
        <f t="shared" si="52"/>
        <v>0</v>
      </c>
    </row>
    <row r="82" spans="1:107" s="437" customFormat="1" ht="12.75">
      <c r="A82" s="442" t="s">
        <v>579</v>
      </c>
      <c r="B82" s="27">
        <v>143476</v>
      </c>
      <c r="C82" s="27"/>
      <c r="D82" s="639">
        <f t="shared" si="45"/>
        <v>0</v>
      </c>
      <c r="E82" s="27">
        <v>190356</v>
      </c>
      <c r="F82" s="27"/>
      <c r="G82" s="639">
        <f t="shared" si="48"/>
        <v>0</v>
      </c>
      <c r="H82" s="27">
        <v>190356</v>
      </c>
      <c r="I82" s="27"/>
      <c r="J82" s="639">
        <f t="shared" si="49"/>
        <v>0</v>
      </c>
      <c r="K82" s="442" t="s">
        <v>579</v>
      </c>
      <c r="L82" s="27">
        <f>ROUND(B82/1000,0)+1</f>
        <v>144</v>
      </c>
      <c r="M82" s="27">
        <f>ROUND(C82/1000,0)</f>
        <v>0</v>
      </c>
      <c r="N82" s="639">
        <f t="shared" si="46"/>
        <v>0</v>
      </c>
      <c r="O82" s="27">
        <f aca="true" t="shared" si="55" ref="O82:P84">ROUND(E82/1000,0)</f>
        <v>190</v>
      </c>
      <c r="P82" s="27">
        <f t="shared" si="55"/>
        <v>0</v>
      </c>
      <c r="Q82" s="639">
        <f t="shared" si="51"/>
        <v>0</v>
      </c>
      <c r="R82" s="27">
        <f aca="true" t="shared" si="56" ref="R82:S84">ROUND(H82/1000,0)</f>
        <v>190</v>
      </c>
      <c r="S82" s="27">
        <f t="shared" si="56"/>
        <v>0</v>
      </c>
      <c r="T82" s="639">
        <f t="shared" si="52"/>
        <v>0</v>
      </c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  <c r="BH82" s="436"/>
      <c r="BI82" s="436"/>
      <c r="BJ82" s="436"/>
      <c r="BK82" s="436"/>
      <c r="BL82" s="436"/>
      <c r="BM82" s="436"/>
      <c r="BN82" s="436"/>
      <c r="BO82" s="436"/>
      <c r="BP82" s="436"/>
      <c r="BQ82" s="436"/>
      <c r="BR82" s="436"/>
      <c r="BS82" s="436"/>
      <c r="BT82" s="436"/>
      <c r="BU82" s="436"/>
      <c r="BV82" s="436"/>
      <c r="BW82" s="436"/>
      <c r="BX82" s="436"/>
      <c r="BY82" s="436"/>
      <c r="BZ82" s="436"/>
      <c r="CA82" s="436"/>
      <c r="CB82" s="436"/>
      <c r="CC82" s="436"/>
      <c r="CD82" s="436"/>
      <c r="CE82" s="436"/>
      <c r="CF82" s="436"/>
      <c r="CG82" s="436"/>
      <c r="CH82" s="436"/>
      <c r="CI82" s="436"/>
      <c r="CJ82" s="436"/>
      <c r="CK82" s="436"/>
      <c r="CL82" s="436"/>
      <c r="CM82" s="436"/>
      <c r="CN82" s="436"/>
      <c r="CO82" s="436"/>
      <c r="CP82" s="436"/>
      <c r="CQ82" s="436"/>
      <c r="CR82" s="436"/>
      <c r="CS82" s="436"/>
      <c r="CT82" s="436"/>
      <c r="CU82" s="436"/>
      <c r="CV82" s="436"/>
      <c r="CW82" s="436"/>
      <c r="CX82" s="436"/>
      <c r="CY82" s="436"/>
      <c r="CZ82" s="436"/>
      <c r="DA82" s="436"/>
      <c r="DB82" s="436"/>
      <c r="DC82" s="436"/>
    </row>
    <row r="83" spans="1:20" ht="12.75">
      <c r="A83" s="74" t="s">
        <v>926</v>
      </c>
      <c r="B83" s="440">
        <f>SUM(B84)</f>
        <v>216000</v>
      </c>
      <c r="C83" s="440">
        <f aca="true" t="shared" si="57" ref="C83:I83">SUM(C84)</f>
        <v>0</v>
      </c>
      <c r="D83" s="638">
        <f t="shared" si="45"/>
        <v>0</v>
      </c>
      <c r="E83" s="440">
        <f t="shared" si="57"/>
        <v>200000</v>
      </c>
      <c r="F83" s="440">
        <f t="shared" si="57"/>
        <v>0</v>
      </c>
      <c r="G83" s="638">
        <f t="shared" si="48"/>
        <v>0</v>
      </c>
      <c r="H83" s="440">
        <f t="shared" si="57"/>
        <v>400000</v>
      </c>
      <c r="I83" s="440">
        <f t="shared" si="57"/>
        <v>0</v>
      </c>
      <c r="J83" s="639">
        <f t="shared" si="49"/>
        <v>0</v>
      </c>
      <c r="K83" s="74" t="s">
        <v>926</v>
      </c>
      <c r="L83" s="440">
        <f>SUM(L84)</f>
        <v>216</v>
      </c>
      <c r="M83" s="440">
        <f>ROUND(C83/1000,0)</f>
        <v>0</v>
      </c>
      <c r="N83" s="638">
        <f t="shared" si="46"/>
        <v>0</v>
      </c>
      <c r="O83" s="440">
        <f t="shared" si="55"/>
        <v>200</v>
      </c>
      <c r="P83" s="440">
        <f t="shared" si="55"/>
        <v>0</v>
      </c>
      <c r="Q83" s="638">
        <f t="shared" si="51"/>
        <v>0</v>
      </c>
      <c r="R83" s="440">
        <f t="shared" si="56"/>
        <v>400</v>
      </c>
      <c r="S83" s="440">
        <f t="shared" si="56"/>
        <v>0</v>
      </c>
      <c r="T83" s="638">
        <f t="shared" si="52"/>
        <v>0</v>
      </c>
    </row>
    <row r="84" spans="1:107" s="437" customFormat="1" ht="12.75">
      <c r="A84" s="442" t="s">
        <v>195</v>
      </c>
      <c r="B84" s="27">
        <v>216000</v>
      </c>
      <c r="C84" s="27"/>
      <c r="D84" s="639">
        <f t="shared" si="45"/>
        <v>0</v>
      </c>
      <c r="E84" s="27">
        <v>200000</v>
      </c>
      <c r="F84" s="27"/>
      <c r="G84" s="639">
        <f t="shared" si="48"/>
        <v>0</v>
      </c>
      <c r="H84" s="27">
        <v>400000</v>
      </c>
      <c r="I84" s="27"/>
      <c r="J84" s="639">
        <f t="shared" si="49"/>
        <v>0</v>
      </c>
      <c r="K84" s="442" t="s">
        <v>195</v>
      </c>
      <c r="L84" s="27">
        <f>ROUND(B84/1000,0)</f>
        <v>216</v>
      </c>
      <c r="M84" s="27">
        <f>ROUND(C84/1000,0)</f>
        <v>0</v>
      </c>
      <c r="N84" s="639">
        <f t="shared" si="46"/>
        <v>0</v>
      </c>
      <c r="O84" s="27">
        <f t="shared" si="55"/>
        <v>200</v>
      </c>
      <c r="P84" s="27">
        <f t="shared" si="55"/>
        <v>0</v>
      </c>
      <c r="Q84" s="639">
        <f t="shared" si="51"/>
        <v>0</v>
      </c>
      <c r="R84" s="27">
        <f t="shared" si="56"/>
        <v>400</v>
      </c>
      <c r="S84" s="27">
        <f t="shared" si="56"/>
        <v>0</v>
      </c>
      <c r="T84" s="639">
        <f t="shared" si="52"/>
        <v>0</v>
      </c>
      <c r="U84" s="436"/>
      <c r="V84" s="436"/>
      <c r="W84" s="436"/>
      <c r="X84" s="436"/>
      <c r="Y84" s="436"/>
      <c r="Z84" s="436"/>
      <c r="AA84" s="436"/>
      <c r="AB84" s="436"/>
      <c r="AC84" s="436"/>
      <c r="AD84" s="436"/>
      <c r="AE84" s="436"/>
      <c r="AF84" s="436"/>
      <c r="AG84" s="436"/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  <c r="AW84" s="436"/>
      <c r="AX84" s="436"/>
      <c r="AY84" s="436"/>
      <c r="AZ84" s="436"/>
      <c r="BA84" s="436"/>
      <c r="BB84" s="436"/>
      <c r="BC84" s="436"/>
      <c r="BD84" s="436"/>
      <c r="BE84" s="436"/>
      <c r="BF84" s="436"/>
      <c r="BG84" s="436"/>
      <c r="BH84" s="436"/>
      <c r="BI84" s="436"/>
      <c r="BJ84" s="436"/>
      <c r="BK84" s="436"/>
      <c r="BL84" s="436"/>
      <c r="BM84" s="436"/>
      <c r="BN84" s="436"/>
      <c r="BO84" s="436"/>
      <c r="BP84" s="436"/>
      <c r="BQ84" s="436"/>
      <c r="BR84" s="436"/>
      <c r="BS84" s="436"/>
      <c r="BT84" s="436"/>
      <c r="BU84" s="436"/>
      <c r="BV84" s="436"/>
      <c r="BW84" s="436"/>
      <c r="BX84" s="436"/>
      <c r="BY84" s="436"/>
      <c r="BZ84" s="436"/>
      <c r="CA84" s="436"/>
      <c r="CB84" s="436"/>
      <c r="CC84" s="436"/>
      <c r="CD84" s="436"/>
      <c r="CE84" s="436"/>
      <c r="CF84" s="436"/>
      <c r="CG84" s="436"/>
      <c r="CH84" s="436"/>
      <c r="CI84" s="436"/>
      <c r="CJ84" s="436"/>
      <c r="CK84" s="436"/>
      <c r="CL84" s="436"/>
      <c r="CM84" s="436"/>
      <c r="CN84" s="436"/>
      <c r="CO84" s="436"/>
      <c r="CP84" s="436"/>
      <c r="CQ84" s="436"/>
      <c r="CR84" s="436"/>
      <c r="CS84" s="436"/>
      <c r="CT84" s="436"/>
      <c r="CU84" s="436"/>
      <c r="CV84" s="436"/>
      <c r="CW84" s="436"/>
      <c r="CX84" s="436"/>
      <c r="CY84" s="436"/>
      <c r="CZ84" s="436"/>
      <c r="DA84" s="436"/>
      <c r="DB84" s="436"/>
      <c r="DC84" s="436"/>
    </row>
    <row r="85" spans="1:20" ht="24">
      <c r="A85" s="74" t="s">
        <v>581</v>
      </c>
      <c r="B85" s="440">
        <f>B86</f>
        <v>540000</v>
      </c>
      <c r="C85" s="440">
        <f aca="true" t="shared" si="58" ref="C85:I85">C86</f>
        <v>0</v>
      </c>
      <c r="D85" s="638">
        <f t="shared" si="45"/>
        <v>0</v>
      </c>
      <c r="E85" s="440">
        <f t="shared" si="58"/>
        <v>110000</v>
      </c>
      <c r="F85" s="440">
        <f t="shared" si="58"/>
        <v>0</v>
      </c>
      <c r="G85" s="638">
        <f t="shared" si="48"/>
        <v>0</v>
      </c>
      <c r="H85" s="440">
        <f t="shared" si="58"/>
        <v>0</v>
      </c>
      <c r="I85" s="440">
        <f t="shared" si="58"/>
        <v>0</v>
      </c>
      <c r="J85" s="638" t="e">
        <f t="shared" si="49"/>
        <v>#DIV/0!</v>
      </c>
      <c r="K85" s="59" t="s">
        <v>581</v>
      </c>
      <c r="L85" s="440">
        <f>L86</f>
        <v>540</v>
      </c>
      <c r="M85" s="440">
        <f>M86</f>
        <v>0</v>
      </c>
      <c r="N85" s="638">
        <f t="shared" si="46"/>
        <v>0</v>
      </c>
      <c r="O85" s="440">
        <f>O86</f>
        <v>110</v>
      </c>
      <c r="P85" s="440">
        <f>P86</f>
        <v>0</v>
      </c>
      <c r="Q85" s="638">
        <f t="shared" si="51"/>
        <v>0</v>
      </c>
      <c r="R85" s="440"/>
      <c r="S85" s="440"/>
      <c r="T85" s="638"/>
    </row>
    <row r="86" spans="1:107" s="437" customFormat="1" ht="12.75">
      <c r="A86" s="442" t="s">
        <v>195</v>
      </c>
      <c r="B86" s="27">
        <v>540000</v>
      </c>
      <c r="C86" s="27"/>
      <c r="D86" s="639">
        <f t="shared" si="45"/>
        <v>0</v>
      </c>
      <c r="E86" s="27">
        <v>110000</v>
      </c>
      <c r="F86" s="27"/>
      <c r="G86" s="639">
        <f t="shared" si="48"/>
        <v>0</v>
      </c>
      <c r="H86" s="27"/>
      <c r="I86" s="27"/>
      <c r="J86" s="639" t="e">
        <f t="shared" si="49"/>
        <v>#DIV/0!</v>
      </c>
      <c r="K86" s="442" t="s">
        <v>195</v>
      </c>
      <c r="L86" s="27">
        <f>ROUND(B86/1000,0)</f>
        <v>540</v>
      </c>
      <c r="M86" s="27">
        <f>ROUND(C86/1000,0)</f>
        <v>0</v>
      </c>
      <c r="N86" s="639">
        <f t="shared" si="46"/>
        <v>0</v>
      </c>
      <c r="O86" s="27">
        <f>ROUND(E86/1000,0)</f>
        <v>110</v>
      </c>
      <c r="P86" s="27">
        <f>ROUND(F86/1000,0)</f>
        <v>0</v>
      </c>
      <c r="Q86" s="639">
        <f t="shared" si="51"/>
        <v>0</v>
      </c>
      <c r="R86" s="27"/>
      <c r="S86" s="27"/>
      <c r="T86" s="639"/>
      <c r="U86" s="436"/>
      <c r="V86" s="436"/>
      <c r="W86" s="436"/>
      <c r="X86" s="436"/>
      <c r="Y86" s="436"/>
      <c r="Z86" s="436"/>
      <c r="AA86" s="436"/>
      <c r="AB86" s="436"/>
      <c r="AC86" s="436"/>
      <c r="AD86" s="436"/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6"/>
      <c r="BE86" s="436"/>
      <c r="BF86" s="436"/>
      <c r="BG86" s="436"/>
      <c r="BH86" s="436"/>
      <c r="BI86" s="436"/>
      <c r="BJ86" s="436"/>
      <c r="BK86" s="436"/>
      <c r="BL86" s="436"/>
      <c r="BM86" s="436"/>
      <c r="BN86" s="436"/>
      <c r="BO86" s="436"/>
      <c r="BP86" s="436"/>
      <c r="BQ86" s="436"/>
      <c r="BR86" s="436"/>
      <c r="BS86" s="436"/>
      <c r="BT86" s="436"/>
      <c r="BU86" s="436"/>
      <c r="BV86" s="436"/>
      <c r="BW86" s="436"/>
      <c r="BX86" s="436"/>
      <c r="BY86" s="436"/>
      <c r="BZ86" s="436"/>
      <c r="CA86" s="436"/>
      <c r="CB86" s="436"/>
      <c r="CC86" s="436"/>
      <c r="CD86" s="436"/>
      <c r="CE86" s="436"/>
      <c r="CF86" s="436"/>
      <c r="CG86" s="436"/>
      <c r="CH86" s="436"/>
      <c r="CI86" s="436"/>
      <c r="CJ86" s="436"/>
      <c r="CK86" s="436"/>
      <c r="CL86" s="436"/>
      <c r="CM86" s="436"/>
      <c r="CN86" s="436"/>
      <c r="CO86" s="436"/>
      <c r="CP86" s="436"/>
      <c r="CQ86" s="436"/>
      <c r="CR86" s="436"/>
      <c r="CS86" s="436"/>
      <c r="CT86" s="436"/>
      <c r="CU86" s="436"/>
      <c r="CV86" s="436"/>
      <c r="CW86" s="436"/>
      <c r="CX86" s="436"/>
      <c r="CY86" s="436"/>
      <c r="CZ86" s="436"/>
      <c r="DA86" s="436"/>
      <c r="DB86" s="436"/>
      <c r="DC86" s="436"/>
    </row>
    <row r="90" spans="1:20" ht="12.75">
      <c r="A90" s="1"/>
      <c r="B90" s="580"/>
      <c r="C90" s="595"/>
      <c r="D90" s="595"/>
      <c r="E90" s="644"/>
      <c r="F90" s="645"/>
      <c r="G90" s="645"/>
      <c r="H90" s="645"/>
      <c r="I90" s="645"/>
      <c r="J90" s="1"/>
      <c r="K90" s="841" t="s">
        <v>471</v>
      </c>
      <c r="L90" s="841"/>
      <c r="M90" s="841"/>
      <c r="N90" s="841"/>
      <c r="O90" s="841"/>
      <c r="P90" s="841"/>
      <c r="Q90" s="841"/>
      <c r="R90" s="841"/>
      <c r="S90" s="841"/>
      <c r="T90" s="84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="38" customFormat="1" ht="11.25">
      <c r="K95" s="38" t="s">
        <v>823</v>
      </c>
    </row>
    <row r="96" spans="10:20" ht="12.75">
      <c r="J96" s="1"/>
      <c r="K96" s="38" t="s">
        <v>143</v>
      </c>
      <c r="T96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K106" s="1"/>
      <c r="T106" s="1"/>
    </row>
    <row r="107" spans="10:20" ht="12.75">
      <c r="J107" s="1"/>
      <c r="K107" s="1"/>
      <c r="T107" s="1"/>
    </row>
    <row r="108" spans="10:20" ht="12.75">
      <c r="J108" s="1"/>
      <c r="K108" s="1"/>
      <c r="T108" s="1"/>
    </row>
    <row r="109" spans="10:20" ht="12.75">
      <c r="J109" s="1"/>
      <c r="K109" s="1"/>
      <c r="T109" s="1"/>
    </row>
    <row r="110" spans="10:20" ht="12.75">
      <c r="J110" s="1"/>
      <c r="K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0:20" ht="12.75">
      <c r="J127" s="1"/>
      <c r="T127" s="1"/>
    </row>
    <row r="128" spans="10:20" ht="12.75">
      <c r="J128" s="1"/>
      <c r="T128" s="1"/>
    </row>
    <row r="129" spans="10:20" ht="12.75">
      <c r="J129" s="1"/>
      <c r="T129" s="1"/>
    </row>
    <row r="130" spans="10:20" ht="12.75">
      <c r="J130" s="1"/>
      <c r="T130" s="1"/>
    </row>
    <row r="131" spans="10:20" ht="12.75">
      <c r="J131" s="1"/>
      <c r="T131" s="1"/>
    </row>
    <row r="132" spans="10:20" ht="12.75">
      <c r="J132" s="1"/>
      <c r="T132" s="1"/>
    </row>
    <row r="133" spans="10:20" ht="12.75">
      <c r="J133" s="1"/>
      <c r="T133" s="1"/>
    </row>
    <row r="134" spans="10:20" ht="12.75">
      <c r="J134" s="1"/>
      <c r="T134" s="1"/>
    </row>
    <row r="135" spans="10:20" ht="12.75">
      <c r="J135" s="1"/>
      <c r="T135" s="1"/>
    </row>
    <row r="136" spans="10:20" ht="12.75">
      <c r="J136" s="1"/>
      <c r="T136" s="1"/>
    </row>
    <row r="137" spans="10:20" ht="12.75">
      <c r="J137" s="1"/>
      <c r="T137" s="1"/>
    </row>
    <row r="138" spans="10:20" ht="12.75">
      <c r="J138" s="1"/>
      <c r="T138" s="1"/>
    </row>
    <row r="139" spans="10:20" ht="12.75">
      <c r="J139" s="1"/>
      <c r="T139" s="1"/>
    </row>
    <row r="140" spans="10:20" ht="12.75">
      <c r="J140" s="1"/>
      <c r="T140" s="1"/>
    </row>
    <row r="141" spans="10:20" ht="12.75">
      <c r="J141" s="1"/>
      <c r="T141" s="1"/>
    </row>
    <row r="142" spans="10:20" ht="12.75">
      <c r="J142" s="1"/>
      <c r="T142" s="1"/>
    </row>
    <row r="143" spans="10:20" ht="12.75">
      <c r="J143" s="1"/>
      <c r="T143" s="1"/>
    </row>
    <row r="144" spans="10:20" ht="12.75">
      <c r="J144" s="1"/>
      <c r="T144" s="1"/>
    </row>
    <row r="145" spans="10:20" ht="12.75">
      <c r="J145" s="1"/>
      <c r="T145" s="1"/>
    </row>
    <row r="146" spans="10:20" ht="12.75">
      <c r="J146" s="1"/>
      <c r="T146" s="1"/>
    </row>
    <row r="147" spans="10:20" ht="12.75">
      <c r="J147" s="1"/>
      <c r="T147" s="1"/>
    </row>
    <row r="148" spans="10:20" ht="12.75">
      <c r="J148" s="1"/>
      <c r="T148" s="1"/>
    </row>
    <row r="149" spans="10:20" ht="12.75">
      <c r="J149" s="1"/>
      <c r="T149" s="1"/>
    </row>
    <row r="150" spans="10:20" ht="12.75">
      <c r="J150" s="1"/>
      <c r="T150" s="1"/>
    </row>
    <row r="151" spans="10:20" ht="12.75">
      <c r="J151" s="1"/>
      <c r="T151" s="1"/>
    </row>
    <row r="152" spans="10:20" ht="12.75">
      <c r="J152" s="1"/>
      <c r="T152" s="1"/>
    </row>
    <row r="153" spans="10:20" ht="12.75">
      <c r="J153" s="1"/>
      <c r="T153" s="1"/>
    </row>
    <row r="154" spans="10:20" ht="12.75">
      <c r="J154" s="1"/>
      <c r="T154" s="1"/>
    </row>
    <row r="155" spans="10:20" ht="12.75">
      <c r="J155" s="1"/>
      <c r="T155" s="1"/>
    </row>
    <row r="156" spans="10:20" ht="12.75">
      <c r="J156" s="1"/>
      <c r="T156" s="1"/>
    </row>
    <row r="157" spans="10:20" ht="12.75">
      <c r="J157" s="1"/>
      <c r="T157" s="1"/>
    </row>
    <row r="158" spans="10:20" ht="12.75">
      <c r="J158" s="1"/>
      <c r="T158" s="1"/>
    </row>
    <row r="159" spans="10:20" ht="12.75">
      <c r="J159" s="1"/>
      <c r="T159" s="1"/>
    </row>
    <row r="160" spans="10:20" ht="12.75">
      <c r="J160" s="1"/>
      <c r="T160" s="1"/>
    </row>
    <row r="161" spans="10:20" ht="12.75">
      <c r="J161" s="1"/>
      <c r="T161" s="1"/>
    </row>
    <row r="162" spans="10:20" ht="12.75">
      <c r="J162" s="1"/>
      <c r="T162" s="1"/>
    </row>
    <row r="163" spans="10:20" ht="12.75">
      <c r="J163" s="1"/>
      <c r="T163" s="1"/>
    </row>
    <row r="164" spans="10:20" ht="12.75">
      <c r="J164" s="1"/>
      <c r="T164" s="1"/>
    </row>
    <row r="165" spans="10:20" ht="12.75">
      <c r="J165" s="1"/>
      <c r="T165" s="1"/>
    </row>
    <row r="166" spans="10:20" ht="12.75">
      <c r="J166" s="1"/>
      <c r="T166" s="1"/>
    </row>
    <row r="167" spans="10:20" ht="12.75">
      <c r="J167" s="1"/>
      <c r="T167" s="1"/>
    </row>
    <row r="168" spans="10:20" ht="12.75">
      <c r="J168" s="1"/>
      <c r="T168" s="1"/>
    </row>
    <row r="169" spans="10:20" ht="12.75">
      <c r="J169" s="1"/>
      <c r="T169" s="1"/>
    </row>
    <row r="170" spans="10:20" ht="12.75">
      <c r="J170" s="1"/>
      <c r="T170" s="1"/>
    </row>
    <row r="171" spans="10:20" ht="12.75">
      <c r="J171" s="1"/>
      <c r="T171" s="1"/>
    </row>
    <row r="172" spans="10:20" ht="12.75">
      <c r="J172" s="1"/>
      <c r="T172" s="1"/>
    </row>
    <row r="173" spans="10:20" ht="12.75">
      <c r="J173" s="1"/>
      <c r="T173" s="1"/>
    </row>
    <row r="174" spans="10:20" ht="12.75">
      <c r="J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</sheetData>
  <mergeCells count="13">
    <mergeCell ref="A6:J6"/>
    <mergeCell ref="K6:T6"/>
    <mergeCell ref="B9:D9"/>
    <mergeCell ref="E9:G9"/>
    <mergeCell ref="H9:J9"/>
    <mergeCell ref="A4:J4"/>
    <mergeCell ref="K4:T4"/>
    <mergeCell ref="A5:J5"/>
    <mergeCell ref="K5:T5"/>
    <mergeCell ref="L9:N9"/>
    <mergeCell ref="O9:Q9"/>
    <mergeCell ref="R9:T9"/>
    <mergeCell ref="K90:T90"/>
  </mergeCells>
  <printOptions/>
  <pageMargins left="0.75" right="0.75" top="0.18" bottom="0.26" header="0.23" footer="0.26"/>
  <pageSetup firstPageNumber="51" useFirstPageNumber="1" horizontalDpi="600" verticalDpi="600" orientation="landscape" paperSize="9" r:id="rId1"/>
  <headerFooter alignWithMargins="0">
    <oddFooter>&amp;R&amp;9&amp;P</oddFooter>
  </headerFooter>
  <rowBreaks count="2" manualBreakCount="2">
    <brk id="29" min="10" max="19" man="1"/>
    <brk id="60" min="10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K6" sqref="K6:T6"/>
    </sheetView>
  </sheetViews>
  <sheetFormatPr defaultColWidth="9.140625" defaultRowHeight="12.75"/>
  <cols>
    <col min="1" max="1" width="43.00390625" style="49" hidden="1" customWidth="1"/>
    <col min="2" max="2" width="9.57421875" style="49" hidden="1" customWidth="1"/>
    <col min="3" max="3" width="8.140625" style="49" hidden="1" customWidth="1"/>
    <col min="4" max="4" width="6.140625" style="49" hidden="1" customWidth="1"/>
    <col min="5" max="5" width="9.57421875" style="49" hidden="1" customWidth="1"/>
    <col min="6" max="6" width="7.421875" style="49" hidden="1" customWidth="1"/>
    <col min="7" max="7" width="6.140625" style="49" hidden="1" customWidth="1"/>
    <col min="8" max="8" width="9.57421875" style="49" hidden="1" customWidth="1"/>
    <col min="9" max="9" width="8.140625" style="49" hidden="1" customWidth="1"/>
    <col min="10" max="10" width="6.57421875" style="49" hidden="1" customWidth="1"/>
    <col min="11" max="11" width="46.421875" style="49" customWidth="1"/>
    <col min="12" max="12" width="10.00390625" style="49" customWidth="1"/>
    <col min="13" max="13" width="9.140625" style="49" customWidth="1"/>
    <col min="14" max="14" width="8.421875" style="49" customWidth="1"/>
    <col min="15" max="15" width="9.8515625" style="49" customWidth="1"/>
    <col min="16" max="16" width="9.00390625" style="49" customWidth="1"/>
    <col min="17" max="17" width="7.8515625" style="49" customWidth="1"/>
    <col min="18" max="18" width="10.00390625" style="49" customWidth="1"/>
    <col min="19" max="19" width="8.5742187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49" t="s">
        <v>582</v>
      </c>
    </row>
    <row r="2" spans="1:19" ht="17.25" customHeight="1">
      <c r="A2" s="51" t="s">
        <v>862</v>
      </c>
      <c r="B2" s="51"/>
      <c r="C2" s="174"/>
      <c r="D2" s="51"/>
      <c r="E2" s="51"/>
      <c r="F2" s="174"/>
      <c r="G2" s="174"/>
      <c r="H2" s="174"/>
      <c r="I2" s="174"/>
      <c r="K2" s="51" t="s">
        <v>862</v>
      </c>
      <c r="L2" s="51"/>
      <c r="M2" s="174"/>
      <c r="N2" s="51"/>
      <c r="O2" s="51"/>
      <c r="P2" s="174"/>
      <c r="Q2" s="174"/>
      <c r="R2" s="174"/>
      <c r="S2" s="174"/>
    </row>
    <row r="3" spans="1:20" ht="12.75">
      <c r="A3" s="51"/>
      <c r="B3" s="51"/>
      <c r="C3" s="174"/>
      <c r="D3" s="51"/>
      <c r="E3" s="51"/>
      <c r="F3" s="174"/>
      <c r="G3" s="174"/>
      <c r="H3" s="174"/>
      <c r="I3" s="174"/>
      <c r="J3" s="1"/>
      <c r="K3" s="51"/>
      <c r="L3" s="51"/>
      <c r="M3" s="174"/>
      <c r="N3" s="51"/>
      <c r="O3" s="51"/>
      <c r="P3" s="174"/>
      <c r="Q3" s="174"/>
      <c r="R3" s="174"/>
      <c r="S3" s="174"/>
      <c r="T3" s="1"/>
    </row>
    <row r="4" spans="1:20" ht="18.75" customHeight="1">
      <c r="A4" s="847" t="s">
        <v>567</v>
      </c>
      <c r="B4" s="847"/>
      <c r="C4" s="847"/>
      <c r="D4" s="847"/>
      <c r="E4" s="847"/>
      <c r="F4" s="847"/>
      <c r="G4" s="847"/>
      <c r="H4" s="847"/>
      <c r="I4" s="847"/>
      <c r="J4" s="847"/>
      <c r="K4" s="847" t="s">
        <v>566</v>
      </c>
      <c r="L4" s="847"/>
      <c r="M4" s="847"/>
      <c r="N4" s="847"/>
      <c r="O4" s="847"/>
      <c r="P4" s="847"/>
      <c r="Q4" s="847"/>
      <c r="R4" s="847"/>
      <c r="S4" s="847"/>
      <c r="T4" s="847"/>
    </row>
    <row r="5" spans="1:20" ht="18.75" customHeight="1">
      <c r="A5" s="847" t="s">
        <v>583</v>
      </c>
      <c r="B5" s="847"/>
      <c r="C5" s="847"/>
      <c r="D5" s="847"/>
      <c r="E5" s="847"/>
      <c r="F5" s="847"/>
      <c r="G5" s="847"/>
      <c r="H5" s="847"/>
      <c r="I5" s="847"/>
      <c r="J5" s="847"/>
      <c r="K5" s="847" t="s">
        <v>583</v>
      </c>
      <c r="L5" s="847"/>
      <c r="M5" s="847"/>
      <c r="N5" s="847"/>
      <c r="O5" s="847"/>
      <c r="P5" s="847"/>
      <c r="Q5" s="847"/>
      <c r="R5" s="847"/>
      <c r="S5" s="847"/>
      <c r="T5" s="847"/>
    </row>
    <row r="6" spans="1:20" ht="19.5" customHeight="1">
      <c r="A6" s="847" t="s">
        <v>142</v>
      </c>
      <c r="B6" s="847"/>
      <c r="C6" s="847"/>
      <c r="D6" s="847"/>
      <c r="E6" s="847"/>
      <c r="F6" s="847"/>
      <c r="G6" s="847"/>
      <c r="H6" s="847"/>
      <c r="I6" s="847"/>
      <c r="J6" s="847"/>
      <c r="K6" s="856" t="s">
        <v>132</v>
      </c>
      <c r="L6" s="856"/>
      <c r="M6" s="856"/>
      <c r="N6" s="856"/>
      <c r="O6" s="856"/>
      <c r="P6" s="856"/>
      <c r="Q6" s="856"/>
      <c r="R6" s="856"/>
      <c r="S6" s="856"/>
      <c r="T6" s="856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210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749</v>
      </c>
    </row>
    <row r="9" spans="1:20" s="38" customFormat="1" ht="24" customHeight="1">
      <c r="A9" s="632"/>
      <c r="B9" s="895" t="s">
        <v>569</v>
      </c>
      <c r="C9" s="896"/>
      <c r="D9" s="897"/>
      <c r="E9" s="895" t="s">
        <v>570</v>
      </c>
      <c r="F9" s="896"/>
      <c r="G9" s="897"/>
      <c r="H9" s="898" t="s">
        <v>571</v>
      </c>
      <c r="I9" s="899"/>
      <c r="J9" s="900"/>
      <c r="K9" s="632"/>
      <c r="L9" s="895" t="s">
        <v>569</v>
      </c>
      <c r="M9" s="896"/>
      <c r="N9" s="897"/>
      <c r="O9" s="895" t="s">
        <v>570</v>
      </c>
      <c r="P9" s="896"/>
      <c r="Q9" s="897"/>
      <c r="R9" s="898" t="s">
        <v>571</v>
      </c>
      <c r="S9" s="899"/>
      <c r="T9" s="900"/>
    </row>
    <row r="10" spans="1:20" ht="56.25">
      <c r="A10" s="550" t="s">
        <v>644</v>
      </c>
      <c r="B10" s="633" t="s">
        <v>572</v>
      </c>
      <c r="C10" s="9" t="s">
        <v>573</v>
      </c>
      <c r="D10" s="9" t="s">
        <v>281</v>
      </c>
      <c r="E10" s="9" t="s">
        <v>572</v>
      </c>
      <c r="F10" s="9" t="s">
        <v>573</v>
      </c>
      <c r="G10" s="9" t="s">
        <v>574</v>
      </c>
      <c r="H10" s="9" t="s">
        <v>572</v>
      </c>
      <c r="I10" s="9" t="s">
        <v>573</v>
      </c>
      <c r="J10" s="9" t="s">
        <v>575</v>
      </c>
      <c r="K10" s="550" t="s">
        <v>644</v>
      </c>
      <c r="L10" s="633" t="s">
        <v>572</v>
      </c>
      <c r="M10" s="9" t="s">
        <v>573</v>
      </c>
      <c r="N10" s="9" t="s">
        <v>281</v>
      </c>
      <c r="O10" s="9" t="s">
        <v>572</v>
      </c>
      <c r="P10" s="9" t="s">
        <v>573</v>
      </c>
      <c r="Q10" s="9" t="s">
        <v>574</v>
      </c>
      <c r="R10" s="9" t="s">
        <v>572</v>
      </c>
      <c r="S10" s="9" t="s">
        <v>573</v>
      </c>
      <c r="T10" s="9" t="s">
        <v>575</v>
      </c>
    </row>
    <row r="11" spans="1:20" ht="12.75">
      <c r="A11" s="55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50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26" t="s">
        <v>487</v>
      </c>
      <c r="B12" s="361">
        <f>B17+B20+B22+B27+B31+B34</f>
        <v>29100897</v>
      </c>
      <c r="C12" s="361">
        <f>C17+C20+C22+C27+C31+C34</f>
        <v>0</v>
      </c>
      <c r="D12" s="634">
        <f>C12/B12*100</f>
        <v>0</v>
      </c>
      <c r="E12" s="361">
        <f>E17+E20+E22+E27+E31+E34</f>
        <v>24232058</v>
      </c>
      <c r="F12" s="361">
        <f>F17+F20+F22+F27+F31+F34</f>
        <v>0</v>
      </c>
      <c r="G12" s="634">
        <f>F12/E12*100</f>
        <v>0</v>
      </c>
      <c r="H12" s="361">
        <f>H17+H20+H22+H27+H31+H34</f>
        <v>73638787</v>
      </c>
      <c r="I12" s="361">
        <f>I17+I20+I22+I27+I31+I34</f>
        <v>0</v>
      </c>
      <c r="J12" s="634">
        <f>I12/H12*100</f>
        <v>0</v>
      </c>
      <c r="K12" s="92" t="s">
        <v>487</v>
      </c>
      <c r="L12" s="361">
        <f>L17+L20+L22+L27+L31+L34</f>
        <v>29101</v>
      </c>
      <c r="M12" s="361">
        <f>M17+M20+M22+M27+M31+M34</f>
        <v>0</v>
      </c>
      <c r="N12" s="634">
        <f>M12/L12*100</f>
        <v>0</v>
      </c>
      <c r="O12" s="361">
        <f>O17+O20+O22+O27+O31+O34</f>
        <v>24232</v>
      </c>
      <c r="P12" s="361">
        <f>P17+P20+P22+P27+P31+P34</f>
        <v>0</v>
      </c>
      <c r="Q12" s="634">
        <f>P12/O12*100</f>
        <v>0</v>
      </c>
      <c r="R12" s="361">
        <f>R17+R20+R22+R27+R31+R34</f>
        <v>73639</v>
      </c>
      <c r="S12" s="361">
        <f>S17+S20+S22+S27+S31+S34</f>
        <v>0</v>
      </c>
      <c r="T12" s="634">
        <f>S12/R12*100</f>
        <v>0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37" customFormat="1" ht="15" customHeight="1">
      <c r="A13" s="650" t="s">
        <v>576</v>
      </c>
      <c r="B13" s="438">
        <f>B18+B23+B28+B35</f>
        <v>5956047</v>
      </c>
      <c r="C13" s="438">
        <f>C18+C23+C28+C35</f>
        <v>0</v>
      </c>
      <c r="D13" s="528">
        <f aca="true" t="shared" si="0" ref="D13:D36">C13/B13*100</f>
        <v>0</v>
      </c>
      <c r="E13" s="438">
        <f>E18+E23+E28+E35</f>
        <v>7448246</v>
      </c>
      <c r="F13" s="438">
        <f>F18+F23+F28+F35</f>
        <v>0</v>
      </c>
      <c r="G13" s="528">
        <f aca="true" t="shared" si="1" ref="G13:G36">F13/E13*100</f>
        <v>0</v>
      </c>
      <c r="H13" s="438">
        <f>H18+H23+H28+H35</f>
        <v>40690398</v>
      </c>
      <c r="I13" s="438">
        <f>I18+I23+I28+I35</f>
        <v>0</v>
      </c>
      <c r="J13" s="528">
        <f>I13/H13*100</f>
        <v>0</v>
      </c>
      <c r="K13" s="650" t="s">
        <v>576</v>
      </c>
      <c r="L13" s="438">
        <f>L18+L23+L28+L35</f>
        <v>5956</v>
      </c>
      <c r="M13" s="438">
        <f>M18+M23+M28+M35</f>
        <v>0</v>
      </c>
      <c r="N13" s="528">
        <f aca="true" t="shared" si="2" ref="N13:N36">M13/L13*100</f>
        <v>0</v>
      </c>
      <c r="O13" s="438">
        <f>O18+O23+O28+O35</f>
        <v>7448</v>
      </c>
      <c r="P13" s="438">
        <f>P18+P23+P28+P35</f>
        <v>0</v>
      </c>
      <c r="Q13" s="528">
        <f aca="true" t="shared" si="3" ref="Q13:Q36">P13/O13*100</f>
        <v>0</v>
      </c>
      <c r="R13" s="438">
        <f>R18+R23+R28+R35</f>
        <v>40690</v>
      </c>
      <c r="S13" s="438">
        <f>S18+S23+S28+S35</f>
        <v>0</v>
      </c>
      <c r="T13" s="528">
        <f>S13/R13*100</f>
        <v>0</v>
      </c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6"/>
      <c r="BA13" s="636"/>
      <c r="BB13" s="636"/>
      <c r="BC13" s="636"/>
      <c r="BD13" s="636"/>
      <c r="BE13" s="636"/>
      <c r="BF13" s="636"/>
      <c r="BG13" s="636"/>
      <c r="BH13" s="636"/>
      <c r="BI13" s="636"/>
      <c r="BJ13" s="636"/>
      <c r="BK13" s="636"/>
      <c r="BL13" s="636"/>
      <c r="BM13" s="636"/>
      <c r="BN13" s="636"/>
      <c r="BO13" s="636"/>
      <c r="BP13" s="636"/>
      <c r="BQ13" s="636"/>
      <c r="BR13" s="636"/>
      <c r="BS13" s="636"/>
      <c r="BT13" s="636"/>
      <c r="BU13" s="636"/>
      <c r="BV13" s="636"/>
      <c r="BW13" s="636"/>
      <c r="BX13" s="636"/>
      <c r="BY13" s="636"/>
      <c r="BZ13" s="636"/>
      <c r="CA13" s="636"/>
      <c r="CB13" s="636"/>
      <c r="CC13" s="636"/>
      <c r="CD13" s="636"/>
      <c r="CE13" s="636"/>
      <c r="CF13" s="636"/>
      <c r="CG13" s="636"/>
      <c r="CH13" s="636"/>
      <c r="CI13" s="636"/>
      <c r="CJ13" s="636"/>
      <c r="CK13" s="636"/>
      <c r="CL13" s="636"/>
      <c r="CM13" s="636"/>
      <c r="CN13" s="636"/>
      <c r="CO13" s="636"/>
      <c r="CP13" s="636"/>
      <c r="CQ13" s="636"/>
      <c r="CR13" s="636"/>
      <c r="CS13" s="636"/>
      <c r="CT13" s="636"/>
      <c r="CU13" s="636"/>
      <c r="CV13" s="636"/>
      <c r="CW13" s="636"/>
      <c r="CX13" s="636"/>
      <c r="CY13" s="636"/>
      <c r="CZ13" s="636"/>
      <c r="DA13" s="636"/>
      <c r="DB13" s="636"/>
      <c r="DC13" s="636"/>
    </row>
    <row r="14" spans="1:107" s="74" customFormat="1" ht="13.5" customHeight="1">
      <c r="A14" s="635" t="s">
        <v>959</v>
      </c>
      <c r="B14" s="438">
        <f>B19+B24+B29+B36</f>
        <v>4068582</v>
      </c>
      <c r="C14" s="438">
        <f>C19+C24+C29+C36</f>
        <v>0</v>
      </c>
      <c r="D14" s="528">
        <f t="shared" si="0"/>
        <v>0</v>
      </c>
      <c r="E14" s="438">
        <f>E19+E24+E29+E36</f>
        <v>3809994</v>
      </c>
      <c r="F14" s="438">
        <f>F19+F24+F29+F36</f>
        <v>0</v>
      </c>
      <c r="G14" s="528">
        <f t="shared" si="1"/>
        <v>0</v>
      </c>
      <c r="H14" s="438">
        <f>H19+H24+H29+H36</f>
        <v>7614289</v>
      </c>
      <c r="I14" s="438">
        <f>I19+I24+I29+I36</f>
        <v>0</v>
      </c>
      <c r="J14" s="528">
        <f>I14/H14*100</f>
        <v>0</v>
      </c>
      <c r="K14" s="635" t="s">
        <v>959</v>
      </c>
      <c r="L14" s="438">
        <f>L19+L24+L29+L36</f>
        <v>4068</v>
      </c>
      <c r="M14" s="438">
        <f>M19+M24+M29+M36</f>
        <v>0</v>
      </c>
      <c r="N14" s="528">
        <f t="shared" si="2"/>
        <v>0</v>
      </c>
      <c r="O14" s="438">
        <f>O19+O24+O29+O36</f>
        <v>3810</v>
      </c>
      <c r="P14" s="438">
        <f>P19+P24+P29+P36</f>
        <v>0</v>
      </c>
      <c r="Q14" s="528">
        <f t="shared" si="3"/>
        <v>0</v>
      </c>
      <c r="R14" s="438">
        <f>R19+R24+R29+R36</f>
        <v>7615</v>
      </c>
      <c r="S14" s="438">
        <f>S19+S24+S29+S36</f>
        <v>0</v>
      </c>
      <c r="T14" s="528">
        <f>S14/R14*100</f>
        <v>0</v>
      </c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6"/>
      <c r="AW14" s="636"/>
      <c r="AX14" s="636"/>
      <c r="AY14" s="636"/>
      <c r="AZ14" s="636"/>
      <c r="BA14" s="636"/>
      <c r="BB14" s="636"/>
      <c r="BC14" s="636"/>
      <c r="BD14" s="636"/>
      <c r="BE14" s="636"/>
      <c r="BF14" s="636"/>
      <c r="BG14" s="636"/>
      <c r="BH14" s="636"/>
      <c r="BI14" s="636"/>
      <c r="BJ14" s="636"/>
      <c r="BK14" s="636"/>
      <c r="BL14" s="636"/>
      <c r="BM14" s="636"/>
      <c r="BN14" s="636"/>
      <c r="BO14" s="636"/>
      <c r="BP14" s="636"/>
      <c r="BQ14" s="636"/>
      <c r="BR14" s="636"/>
      <c r="BS14" s="636"/>
      <c r="BT14" s="636"/>
      <c r="BU14" s="636"/>
      <c r="BV14" s="636"/>
      <c r="BW14" s="636"/>
      <c r="BX14" s="636"/>
      <c r="BY14" s="636"/>
      <c r="BZ14" s="636"/>
      <c r="CA14" s="636"/>
      <c r="CB14" s="636"/>
      <c r="CC14" s="636"/>
      <c r="CD14" s="636"/>
      <c r="CE14" s="636"/>
      <c r="CF14" s="636"/>
      <c r="CG14" s="636"/>
      <c r="CH14" s="636"/>
      <c r="CI14" s="636"/>
      <c r="CJ14" s="636"/>
      <c r="CK14" s="636"/>
      <c r="CL14" s="636"/>
      <c r="CM14" s="636"/>
      <c r="CN14" s="636"/>
      <c r="CO14" s="636"/>
      <c r="CP14" s="636"/>
      <c r="CQ14" s="636"/>
      <c r="CR14" s="636"/>
      <c r="CS14" s="636"/>
      <c r="CT14" s="636"/>
      <c r="CU14" s="636"/>
      <c r="CV14" s="636"/>
      <c r="CW14" s="636"/>
      <c r="CX14" s="636"/>
      <c r="CY14" s="636"/>
      <c r="CZ14" s="636"/>
      <c r="DA14" s="636"/>
      <c r="DB14" s="636"/>
      <c r="DC14" s="636"/>
    </row>
    <row r="15" spans="1:107" s="74" customFormat="1" ht="14.25" customHeight="1">
      <c r="A15" s="434" t="s">
        <v>577</v>
      </c>
      <c r="B15" s="438">
        <f>B25+B32</f>
        <v>93700</v>
      </c>
      <c r="C15" s="438">
        <f>C25+C32</f>
        <v>0</v>
      </c>
      <c r="D15" s="528">
        <f t="shared" si="0"/>
        <v>0</v>
      </c>
      <c r="E15" s="438">
        <f>E25+E32</f>
        <v>102550</v>
      </c>
      <c r="F15" s="438">
        <f>F25+F32</f>
        <v>0</v>
      </c>
      <c r="G15" s="528">
        <f t="shared" si="1"/>
        <v>0</v>
      </c>
      <c r="H15" s="438">
        <f>H25+H32</f>
        <v>129100</v>
      </c>
      <c r="I15" s="438">
        <f>I25+I32</f>
        <v>0</v>
      </c>
      <c r="J15" s="528">
        <f>I15/H15*100</f>
        <v>0</v>
      </c>
      <c r="K15" s="434" t="s">
        <v>577</v>
      </c>
      <c r="L15" s="438">
        <f>L25+L32</f>
        <v>94</v>
      </c>
      <c r="M15" s="438">
        <f>M25+M32</f>
        <v>0</v>
      </c>
      <c r="N15" s="528">
        <f t="shared" si="2"/>
        <v>0</v>
      </c>
      <c r="O15" s="438">
        <f>O25+O32</f>
        <v>103</v>
      </c>
      <c r="P15" s="438">
        <f>P25+P32</f>
        <v>0</v>
      </c>
      <c r="Q15" s="528">
        <f t="shared" si="3"/>
        <v>0</v>
      </c>
      <c r="R15" s="438">
        <f>R25+R32</f>
        <v>129</v>
      </c>
      <c r="S15" s="438">
        <f>S25+S32</f>
        <v>0</v>
      </c>
      <c r="T15" s="528">
        <f>S15/R15*100</f>
        <v>0</v>
      </c>
      <c r="U15" s="636"/>
      <c r="V15" s="636"/>
      <c r="W15" s="636"/>
      <c r="X15" s="636"/>
      <c r="Y15" s="636"/>
      <c r="Z15" s="636"/>
      <c r="AA15" s="636"/>
      <c r="AB15" s="636"/>
      <c r="AC15" s="636"/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  <c r="BD15" s="636"/>
      <c r="BE15" s="636"/>
      <c r="BF15" s="636"/>
      <c r="BG15" s="636"/>
      <c r="BH15" s="636"/>
      <c r="BI15" s="636"/>
      <c r="BJ15" s="636"/>
      <c r="BK15" s="636"/>
      <c r="BL15" s="636"/>
      <c r="BM15" s="636"/>
      <c r="BN15" s="636"/>
      <c r="BO15" s="636"/>
      <c r="BP15" s="636"/>
      <c r="BQ15" s="636"/>
      <c r="BR15" s="636"/>
      <c r="BS15" s="636"/>
      <c r="BT15" s="636"/>
      <c r="BU15" s="636"/>
      <c r="BV15" s="636"/>
      <c r="BW15" s="636"/>
      <c r="BX15" s="636"/>
      <c r="BY15" s="636"/>
      <c r="BZ15" s="636"/>
      <c r="CA15" s="636"/>
      <c r="CB15" s="636"/>
      <c r="CC15" s="636"/>
      <c r="CD15" s="636"/>
      <c r="CE15" s="636"/>
      <c r="CF15" s="636"/>
      <c r="CG15" s="636"/>
      <c r="CH15" s="636"/>
      <c r="CI15" s="636"/>
      <c r="CJ15" s="636"/>
      <c r="CK15" s="636"/>
      <c r="CL15" s="636"/>
      <c r="CM15" s="636"/>
      <c r="CN15" s="636"/>
      <c r="CO15" s="636"/>
      <c r="CP15" s="636"/>
      <c r="CQ15" s="636"/>
      <c r="CR15" s="636"/>
      <c r="CS15" s="636"/>
      <c r="CT15" s="636"/>
      <c r="CU15" s="636"/>
      <c r="CV15" s="636"/>
      <c r="CW15" s="636"/>
      <c r="CX15" s="636"/>
      <c r="CY15" s="636"/>
      <c r="CZ15" s="636"/>
      <c r="DA15" s="636"/>
      <c r="DB15" s="636"/>
      <c r="DC15" s="636"/>
    </row>
    <row r="16" spans="1:107" s="74" customFormat="1" ht="14.25" customHeight="1">
      <c r="A16" s="434" t="s">
        <v>195</v>
      </c>
      <c r="B16" s="438">
        <f>B21+B26+B30+B33</f>
        <v>18982568</v>
      </c>
      <c r="C16" s="438">
        <f aca="true" t="shared" si="4" ref="C16:I16">C21+C26+C30+C33</f>
        <v>0</v>
      </c>
      <c r="D16" s="528">
        <f t="shared" si="0"/>
        <v>0</v>
      </c>
      <c r="E16" s="438">
        <f t="shared" si="4"/>
        <v>12871268</v>
      </c>
      <c r="F16" s="438">
        <f t="shared" si="4"/>
        <v>0</v>
      </c>
      <c r="G16" s="528">
        <f t="shared" si="1"/>
        <v>0</v>
      </c>
      <c r="H16" s="438">
        <f t="shared" si="4"/>
        <v>25205000</v>
      </c>
      <c r="I16" s="438">
        <f t="shared" si="4"/>
        <v>0</v>
      </c>
      <c r="J16" s="528">
        <f aca="true" t="shared" si="5" ref="J16:J36">I16/H16*100</f>
        <v>0</v>
      </c>
      <c r="K16" s="434" t="s">
        <v>195</v>
      </c>
      <c r="L16" s="438">
        <f>L21+L26+L30+L33</f>
        <v>18983</v>
      </c>
      <c r="M16" s="438">
        <f aca="true" t="shared" si="6" ref="M16:S16">M21+M26+M30+M33</f>
        <v>0</v>
      </c>
      <c r="N16" s="528">
        <f t="shared" si="2"/>
        <v>0</v>
      </c>
      <c r="O16" s="438">
        <f t="shared" si="6"/>
        <v>12871</v>
      </c>
      <c r="P16" s="438">
        <f t="shared" si="6"/>
        <v>0</v>
      </c>
      <c r="Q16" s="528">
        <f t="shared" si="3"/>
        <v>0</v>
      </c>
      <c r="R16" s="438">
        <f t="shared" si="6"/>
        <v>25205</v>
      </c>
      <c r="S16" s="438">
        <f t="shared" si="6"/>
        <v>0</v>
      </c>
      <c r="T16" s="528">
        <f aca="true" t="shared" si="7" ref="T16:T36">S16/R16*100</f>
        <v>0</v>
      </c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6"/>
      <c r="AU16" s="636"/>
      <c r="AV16" s="636"/>
      <c r="AW16" s="636"/>
      <c r="AX16" s="636"/>
      <c r="AY16" s="636"/>
      <c r="AZ16" s="636"/>
      <c r="BA16" s="636"/>
      <c r="BB16" s="636"/>
      <c r="BC16" s="636"/>
      <c r="BD16" s="636"/>
      <c r="BE16" s="636"/>
      <c r="BF16" s="636"/>
      <c r="BG16" s="636"/>
      <c r="BH16" s="636"/>
      <c r="BI16" s="636"/>
      <c r="BJ16" s="636"/>
      <c r="BK16" s="636"/>
      <c r="BL16" s="636"/>
      <c r="BM16" s="636"/>
      <c r="BN16" s="636"/>
      <c r="BO16" s="636"/>
      <c r="BP16" s="636"/>
      <c r="BQ16" s="636"/>
      <c r="BR16" s="636"/>
      <c r="BS16" s="636"/>
      <c r="BT16" s="636"/>
      <c r="BU16" s="636"/>
      <c r="BV16" s="636"/>
      <c r="BW16" s="636"/>
      <c r="BX16" s="636"/>
      <c r="BY16" s="636"/>
      <c r="BZ16" s="636"/>
      <c r="CA16" s="636"/>
      <c r="CB16" s="636"/>
      <c r="CC16" s="636"/>
      <c r="CD16" s="636"/>
      <c r="CE16" s="636"/>
      <c r="CF16" s="636"/>
      <c r="CG16" s="636"/>
      <c r="CH16" s="636"/>
      <c r="CI16" s="636"/>
      <c r="CJ16" s="636"/>
      <c r="CK16" s="636"/>
      <c r="CL16" s="636"/>
      <c r="CM16" s="636"/>
      <c r="CN16" s="636"/>
      <c r="CO16" s="636"/>
      <c r="CP16" s="636"/>
      <c r="CQ16" s="636"/>
      <c r="CR16" s="636"/>
      <c r="CS16" s="636"/>
      <c r="CT16" s="636"/>
      <c r="CU16" s="636"/>
      <c r="CV16" s="636"/>
      <c r="CW16" s="636"/>
      <c r="CX16" s="636"/>
      <c r="CY16" s="636"/>
      <c r="CZ16" s="636"/>
      <c r="DA16" s="636"/>
      <c r="DB16" s="636"/>
      <c r="DC16" s="636"/>
    </row>
    <row r="17" spans="1:20" ht="12.75">
      <c r="A17" s="74" t="s">
        <v>897</v>
      </c>
      <c r="B17" s="440">
        <f aca="true" t="shared" si="8" ref="B17:I17">SUM(B18:B19)</f>
        <v>1525152</v>
      </c>
      <c r="C17" s="440">
        <f t="shared" si="8"/>
        <v>0</v>
      </c>
      <c r="D17" s="638">
        <f t="shared" si="0"/>
        <v>0</v>
      </c>
      <c r="E17" s="440">
        <f t="shared" si="8"/>
        <v>1723618</v>
      </c>
      <c r="F17" s="440">
        <f t="shared" si="8"/>
        <v>0</v>
      </c>
      <c r="G17" s="638">
        <f t="shared" si="1"/>
        <v>0</v>
      </c>
      <c r="H17" s="440">
        <f t="shared" si="8"/>
        <v>0</v>
      </c>
      <c r="I17" s="440">
        <f t="shared" si="8"/>
        <v>0</v>
      </c>
      <c r="J17" s="528" t="e">
        <f t="shared" si="5"/>
        <v>#DIV/0!</v>
      </c>
      <c r="K17" s="74" t="s">
        <v>897</v>
      </c>
      <c r="L17" s="440">
        <f aca="true" t="shared" si="9" ref="L17:S17">SUM(L18:L19)</f>
        <v>1525</v>
      </c>
      <c r="M17" s="440">
        <f t="shared" si="9"/>
        <v>0</v>
      </c>
      <c r="N17" s="638">
        <f t="shared" si="2"/>
        <v>0</v>
      </c>
      <c r="O17" s="440">
        <f t="shared" si="9"/>
        <v>1723</v>
      </c>
      <c r="P17" s="440">
        <f t="shared" si="9"/>
        <v>0</v>
      </c>
      <c r="Q17" s="638">
        <f t="shared" si="3"/>
        <v>0</v>
      </c>
      <c r="R17" s="440">
        <f t="shared" si="9"/>
        <v>0</v>
      </c>
      <c r="S17" s="440">
        <f t="shared" si="9"/>
        <v>0</v>
      </c>
      <c r="T17" s="638"/>
    </row>
    <row r="18" spans="1:107" s="437" customFormat="1" ht="12.75">
      <c r="A18" s="442" t="s">
        <v>576</v>
      </c>
      <c r="B18" s="27">
        <v>180888</v>
      </c>
      <c r="C18" s="27"/>
      <c r="D18" s="639">
        <f t="shared" si="0"/>
        <v>0</v>
      </c>
      <c r="E18" s="27">
        <v>379354</v>
      </c>
      <c r="F18" s="27"/>
      <c r="G18" s="639">
        <f t="shared" si="1"/>
        <v>0</v>
      </c>
      <c r="H18" s="27"/>
      <c r="I18" s="27"/>
      <c r="J18" s="528" t="e">
        <f t="shared" si="5"/>
        <v>#DIV/0!</v>
      </c>
      <c r="K18" s="442" t="s">
        <v>576</v>
      </c>
      <c r="L18" s="27">
        <f aca="true" t="shared" si="10" ref="L18:S19">ROUND(B18/1000,0)</f>
        <v>181</v>
      </c>
      <c r="M18" s="27">
        <f t="shared" si="10"/>
        <v>0</v>
      </c>
      <c r="N18" s="639">
        <f t="shared" si="2"/>
        <v>0</v>
      </c>
      <c r="O18" s="27">
        <f t="shared" si="10"/>
        <v>379</v>
      </c>
      <c r="P18" s="27">
        <f t="shared" si="10"/>
        <v>0</v>
      </c>
      <c r="Q18" s="639">
        <f t="shared" si="3"/>
        <v>0</v>
      </c>
      <c r="R18" s="27">
        <f t="shared" si="10"/>
        <v>0</v>
      </c>
      <c r="S18" s="27">
        <f t="shared" si="10"/>
        <v>0</v>
      </c>
      <c r="T18" s="639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</row>
    <row r="19" spans="1:107" s="437" customFormat="1" ht="12.75">
      <c r="A19" s="442" t="s">
        <v>959</v>
      </c>
      <c r="B19" s="27">
        <v>1344264</v>
      </c>
      <c r="C19" s="27"/>
      <c r="D19" s="639">
        <f t="shared" si="0"/>
        <v>0</v>
      </c>
      <c r="E19" s="27">
        <v>1344264</v>
      </c>
      <c r="F19" s="27"/>
      <c r="G19" s="639">
        <f t="shared" si="1"/>
        <v>0</v>
      </c>
      <c r="H19" s="27"/>
      <c r="I19" s="27"/>
      <c r="J19" s="528" t="e">
        <f t="shared" si="5"/>
        <v>#DIV/0!</v>
      </c>
      <c r="K19" s="442" t="s">
        <v>959</v>
      </c>
      <c r="L19" s="27">
        <f t="shared" si="10"/>
        <v>1344</v>
      </c>
      <c r="M19" s="27">
        <f t="shared" si="10"/>
        <v>0</v>
      </c>
      <c r="N19" s="639">
        <f t="shared" si="2"/>
        <v>0</v>
      </c>
      <c r="O19" s="27">
        <f t="shared" si="10"/>
        <v>1344</v>
      </c>
      <c r="P19" s="27">
        <f t="shared" si="10"/>
        <v>0</v>
      </c>
      <c r="Q19" s="639">
        <f t="shared" si="3"/>
        <v>0</v>
      </c>
      <c r="R19" s="27">
        <f t="shared" si="10"/>
        <v>0</v>
      </c>
      <c r="S19" s="27">
        <f t="shared" si="10"/>
        <v>0</v>
      </c>
      <c r="T19" s="639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</row>
    <row r="20" spans="1:20" ht="12.75">
      <c r="A20" s="74" t="s">
        <v>899</v>
      </c>
      <c r="B20" s="440">
        <f aca="true" t="shared" si="11" ref="B20:I20">SUM(B21:B21)</f>
        <v>72000</v>
      </c>
      <c r="C20" s="440">
        <f t="shared" si="11"/>
        <v>0</v>
      </c>
      <c r="D20" s="638">
        <f t="shared" si="0"/>
        <v>0</v>
      </c>
      <c r="E20" s="440">
        <f t="shared" si="11"/>
        <v>68000</v>
      </c>
      <c r="F20" s="440">
        <f t="shared" si="11"/>
        <v>0</v>
      </c>
      <c r="G20" s="638">
        <f t="shared" si="1"/>
        <v>0</v>
      </c>
      <c r="H20" s="440">
        <f t="shared" si="11"/>
        <v>83000</v>
      </c>
      <c r="I20" s="440">
        <f t="shared" si="11"/>
        <v>0</v>
      </c>
      <c r="J20" s="528">
        <f t="shared" si="5"/>
        <v>0</v>
      </c>
      <c r="K20" s="74" t="s">
        <v>899</v>
      </c>
      <c r="L20" s="440">
        <f aca="true" t="shared" si="12" ref="L20:S20">SUM(L21:L21)</f>
        <v>72</v>
      </c>
      <c r="M20" s="440">
        <f t="shared" si="12"/>
        <v>0</v>
      </c>
      <c r="N20" s="638">
        <f t="shared" si="2"/>
        <v>0</v>
      </c>
      <c r="O20" s="440">
        <f t="shared" si="12"/>
        <v>68</v>
      </c>
      <c r="P20" s="440">
        <f t="shared" si="12"/>
        <v>0</v>
      </c>
      <c r="Q20" s="638">
        <f t="shared" si="3"/>
        <v>0</v>
      </c>
      <c r="R20" s="440">
        <f t="shared" si="12"/>
        <v>83</v>
      </c>
      <c r="S20" s="440">
        <f t="shared" si="12"/>
        <v>0</v>
      </c>
      <c r="T20" s="638">
        <f t="shared" si="7"/>
        <v>0</v>
      </c>
    </row>
    <row r="21" spans="1:107" s="437" customFormat="1" ht="12.75">
      <c r="A21" s="442" t="s">
        <v>195</v>
      </c>
      <c r="B21" s="27">
        <v>72000</v>
      </c>
      <c r="C21" s="27"/>
      <c r="D21" s="639">
        <f t="shared" si="0"/>
        <v>0</v>
      </c>
      <c r="E21" s="27">
        <v>68000</v>
      </c>
      <c r="F21" s="27"/>
      <c r="G21" s="639">
        <f t="shared" si="1"/>
        <v>0</v>
      </c>
      <c r="H21" s="27">
        <v>83000</v>
      </c>
      <c r="I21" s="27"/>
      <c r="J21" s="528">
        <f t="shared" si="5"/>
        <v>0</v>
      </c>
      <c r="K21" s="442" t="s">
        <v>195</v>
      </c>
      <c r="L21" s="27">
        <f aca="true" t="shared" si="13" ref="L21:S21">ROUND(B21/1000,0)</f>
        <v>72</v>
      </c>
      <c r="M21" s="27">
        <f t="shared" si="13"/>
        <v>0</v>
      </c>
      <c r="N21" s="639">
        <f t="shared" si="2"/>
        <v>0</v>
      </c>
      <c r="O21" s="27">
        <f t="shared" si="13"/>
        <v>68</v>
      </c>
      <c r="P21" s="27">
        <f t="shared" si="13"/>
        <v>0</v>
      </c>
      <c r="Q21" s="639">
        <f t="shared" si="3"/>
        <v>0</v>
      </c>
      <c r="R21" s="27">
        <f t="shared" si="13"/>
        <v>83</v>
      </c>
      <c r="S21" s="27">
        <f t="shared" si="13"/>
        <v>0</v>
      </c>
      <c r="T21" s="639">
        <f t="shared" si="7"/>
        <v>0</v>
      </c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</row>
    <row r="22" spans="1:20" ht="12.75">
      <c r="A22" s="74" t="s">
        <v>901</v>
      </c>
      <c r="B22" s="440">
        <f>SUM(B23:B26)</f>
        <v>16153402</v>
      </c>
      <c r="C22" s="440">
        <f aca="true" t="shared" si="14" ref="C22:I22">SUM(C23:C26)</f>
        <v>0</v>
      </c>
      <c r="D22" s="638">
        <f t="shared" si="0"/>
        <v>0</v>
      </c>
      <c r="E22" s="440">
        <f t="shared" si="14"/>
        <v>16421295</v>
      </c>
      <c r="F22" s="440">
        <f t="shared" si="14"/>
        <v>0</v>
      </c>
      <c r="G22" s="638">
        <f t="shared" si="1"/>
        <v>0</v>
      </c>
      <c r="H22" s="440">
        <f t="shared" si="14"/>
        <v>42942000</v>
      </c>
      <c r="I22" s="440">
        <f t="shared" si="14"/>
        <v>0</v>
      </c>
      <c r="J22" s="638">
        <f t="shared" si="5"/>
        <v>0</v>
      </c>
      <c r="K22" s="74" t="s">
        <v>901</v>
      </c>
      <c r="L22" s="440">
        <f aca="true" t="shared" si="15" ref="L22:S22">SUM(L23:L26)</f>
        <v>16153</v>
      </c>
      <c r="M22" s="440">
        <f t="shared" si="15"/>
        <v>0</v>
      </c>
      <c r="N22" s="638">
        <f t="shared" si="2"/>
        <v>0</v>
      </c>
      <c r="O22" s="440">
        <f t="shared" si="15"/>
        <v>16422</v>
      </c>
      <c r="P22" s="440">
        <f t="shared" si="15"/>
        <v>0</v>
      </c>
      <c r="Q22" s="638">
        <f t="shared" si="3"/>
        <v>0</v>
      </c>
      <c r="R22" s="440">
        <f t="shared" si="15"/>
        <v>42942</v>
      </c>
      <c r="S22" s="440">
        <f t="shared" si="15"/>
        <v>0</v>
      </c>
      <c r="T22" s="638">
        <f t="shared" si="7"/>
        <v>0</v>
      </c>
    </row>
    <row r="23" spans="1:107" s="437" customFormat="1" ht="12.75">
      <c r="A23" s="442" t="s">
        <v>576</v>
      </c>
      <c r="B23" s="27">
        <v>4232472</v>
      </c>
      <c r="C23" s="27"/>
      <c r="D23" s="639">
        <f t="shared" si="0"/>
        <v>0</v>
      </c>
      <c r="E23" s="27">
        <v>4740805</v>
      </c>
      <c r="F23" s="27"/>
      <c r="G23" s="639">
        <f t="shared" si="1"/>
        <v>0</v>
      </c>
      <c r="H23" s="27">
        <v>25892000</v>
      </c>
      <c r="I23" s="27"/>
      <c r="J23" s="639">
        <f t="shared" si="5"/>
        <v>0</v>
      </c>
      <c r="K23" s="442" t="s">
        <v>576</v>
      </c>
      <c r="L23" s="27">
        <f aca="true" t="shared" si="16" ref="L23:S26">ROUND(B23/1000,0)</f>
        <v>4232</v>
      </c>
      <c r="M23" s="27">
        <f t="shared" si="16"/>
        <v>0</v>
      </c>
      <c r="N23" s="639">
        <f t="shared" si="2"/>
        <v>0</v>
      </c>
      <c r="O23" s="27">
        <f t="shared" si="16"/>
        <v>4741</v>
      </c>
      <c r="P23" s="27">
        <f t="shared" si="16"/>
        <v>0</v>
      </c>
      <c r="Q23" s="639">
        <f t="shared" si="3"/>
        <v>0</v>
      </c>
      <c r="R23" s="27">
        <f t="shared" si="16"/>
        <v>25892</v>
      </c>
      <c r="S23" s="27">
        <f t="shared" si="16"/>
        <v>0</v>
      </c>
      <c r="T23" s="639">
        <f t="shared" si="7"/>
        <v>0</v>
      </c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</row>
    <row r="24" spans="1:107" s="437" customFormat="1" ht="12.75">
      <c r="A24" s="442" t="s">
        <v>959</v>
      </c>
      <c r="B24" s="27">
        <v>1844930</v>
      </c>
      <c r="C24" s="27"/>
      <c r="D24" s="639">
        <f t="shared" si="0"/>
        <v>0</v>
      </c>
      <c r="E24" s="27">
        <v>1604490</v>
      </c>
      <c r="F24" s="27"/>
      <c r="G24" s="639">
        <f t="shared" si="1"/>
        <v>0</v>
      </c>
      <c r="H24" s="27">
        <v>5940000</v>
      </c>
      <c r="I24" s="27"/>
      <c r="J24" s="639">
        <f t="shared" si="5"/>
        <v>0</v>
      </c>
      <c r="K24" s="442" t="s">
        <v>959</v>
      </c>
      <c r="L24" s="27">
        <f t="shared" si="16"/>
        <v>1845</v>
      </c>
      <c r="M24" s="27">
        <f t="shared" si="16"/>
        <v>0</v>
      </c>
      <c r="N24" s="639">
        <f t="shared" si="2"/>
        <v>0</v>
      </c>
      <c r="O24" s="27">
        <f>ROUND(E24/1000,0)+1</f>
        <v>1605</v>
      </c>
      <c r="P24" s="27">
        <f t="shared" si="16"/>
        <v>0</v>
      </c>
      <c r="Q24" s="639">
        <f t="shared" si="3"/>
        <v>0</v>
      </c>
      <c r="R24" s="27">
        <f t="shared" si="16"/>
        <v>5940</v>
      </c>
      <c r="S24" s="27">
        <f t="shared" si="16"/>
        <v>0</v>
      </c>
      <c r="T24" s="639">
        <f t="shared" si="7"/>
        <v>0</v>
      </c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6"/>
      <c r="CM24" s="436"/>
      <c r="CN24" s="436"/>
      <c r="CO24" s="436"/>
      <c r="CP24" s="436"/>
      <c r="CQ24" s="436"/>
      <c r="CR24" s="436"/>
      <c r="CS24" s="436"/>
      <c r="CT24" s="436"/>
      <c r="CU24" s="436"/>
      <c r="CV24" s="436"/>
      <c r="CW24" s="436"/>
      <c r="CX24" s="436"/>
      <c r="CY24" s="436"/>
      <c r="CZ24" s="436"/>
      <c r="DA24" s="436"/>
      <c r="DB24" s="436"/>
      <c r="DC24" s="436"/>
    </row>
    <row r="25" spans="1:107" s="437" customFormat="1" ht="12.75">
      <c r="A25" s="442" t="s">
        <v>577</v>
      </c>
      <c r="B25" s="27">
        <v>76000</v>
      </c>
      <c r="C25" s="27"/>
      <c r="D25" s="639">
        <f t="shared" si="0"/>
        <v>0</v>
      </c>
      <c r="E25" s="27">
        <v>76000</v>
      </c>
      <c r="F25" s="27"/>
      <c r="G25" s="639">
        <f t="shared" si="1"/>
        <v>0</v>
      </c>
      <c r="H25" s="27">
        <v>76000</v>
      </c>
      <c r="I25" s="27"/>
      <c r="J25" s="639">
        <f t="shared" si="5"/>
        <v>0</v>
      </c>
      <c r="K25" s="442" t="s">
        <v>577</v>
      </c>
      <c r="L25" s="27">
        <f t="shared" si="16"/>
        <v>76</v>
      </c>
      <c r="M25" s="27">
        <f t="shared" si="16"/>
        <v>0</v>
      </c>
      <c r="N25" s="639">
        <f t="shared" si="2"/>
        <v>0</v>
      </c>
      <c r="O25" s="27">
        <f t="shared" si="16"/>
        <v>76</v>
      </c>
      <c r="P25" s="27">
        <f t="shared" si="16"/>
        <v>0</v>
      </c>
      <c r="Q25" s="639">
        <f t="shared" si="3"/>
        <v>0</v>
      </c>
      <c r="R25" s="27">
        <f t="shared" si="16"/>
        <v>76</v>
      </c>
      <c r="S25" s="27">
        <f t="shared" si="16"/>
        <v>0</v>
      </c>
      <c r="T25" s="639">
        <f t="shared" si="7"/>
        <v>0</v>
      </c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6"/>
      <c r="CL25" s="436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</row>
    <row r="26" spans="1:107" s="437" customFormat="1" ht="12.75">
      <c r="A26" s="442" t="s">
        <v>195</v>
      </c>
      <c r="B26" s="27">
        <v>10000000</v>
      </c>
      <c r="C26" s="27"/>
      <c r="D26" s="639">
        <f t="shared" si="0"/>
        <v>0</v>
      </c>
      <c r="E26" s="27">
        <v>10000000</v>
      </c>
      <c r="F26" s="27"/>
      <c r="G26" s="639">
        <f t="shared" si="1"/>
        <v>0</v>
      </c>
      <c r="H26" s="27">
        <v>11034000</v>
      </c>
      <c r="I26" s="27"/>
      <c r="J26" s="639">
        <f t="shared" si="5"/>
        <v>0</v>
      </c>
      <c r="K26" s="442" t="s">
        <v>195</v>
      </c>
      <c r="L26" s="27">
        <f t="shared" si="16"/>
        <v>10000</v>
      </c>
      <c r="M26" s="27">
        <f t="shared" si="16"/>
        <v>0</v>
      </c>
      <c r="N26" s="639">
        <f t="shared" si="2"/>
        <v>0</v>
      </c>
      <c r="O26" s="27">
        <f t="shared" si="16"/>
        <v>10000</v>
      </c>
      <c r="P26" s="27">
        <f t="shared" si="16"/>
        <v>0</v>
      </c>
      <c r="Q26" s="639">
        <f t="shared" si="3"/>
        <v>0</v>
      </c>
      <c r="R26" s="27">
        <f t="shared" si="16"/>
        <v>11034</v>
      </c>
      <c r="S26" s="27">
        <f t="shared" si="16"/>
        <v>0</v>
      </c>
      <c r="T26" s="639">
        <f t="shared" si="7"/>
        <v>0</v>
      </c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</row>
    <row r="27" spans="1:20" ht="12.75">
      <c r="A27" s="74" t="s">
        <v>903</v>
      </c>
      <c r="B27" s="440">
        <f>SUM(B28:B30)</f>
        <v>10555921</v>
      </c>
      <c r="C27" s="440">
        <f aca="true" t="shared" si="17" ref="C27:I27">SUM(C28:C30)</f>
        <v>0</v>
      </c>
      <c r="D27" s="638">
        <f t="shared" si="0"/>
        <v>0</v>
      </c>
      <c r="E27" s="440">
        <f t="shared" si="17"/>
        <v>4667080</v>
      </c>
      <c r="F27" s="440">
        <f t="shared" si="17"/>
        <v>0</v>
      </c>
      <c r="G27" s="638">
        <f t="shared" si="1"/>
        <v>0</v>
      </c>
      <c r="H27" s="440">
        <f t="shared" si="17"/>
        <v>29299485</v>
      </c>
      <c r="I27" s="440">
        <f t="shared" si="17"/>
        <v>0</v>
      </c>
      <c r="J27" s="638">
        <f t="shared" si="5"/>
        <v>0</v>
      </c>
      <c r="K27" s="74" t="s">
        <v>903</v>
      </c>
      <c r="L27" s="440">
        <f aca="true" t="shared" si="18" ref="L27:S27">SUM(L28:L30)</f>
        <v>10556</v>
      </c>
      <c r="M27" s="440">
        <f t="shared" si="18"/>
        <v>0</v>
      </c>
      <c r="N27" s="638">
        <f t="shared" si="2"/>
        <v>0</v>
      </c>
      <c r="O27" s="440">
        <f t="shared" si="18"/>
        <v>4666</v>
      </c>
      <c r="P27" s="440">
        <f t="shared" si="18"/>
        <v>0</v>
      </c>
      <c r="Q27" s="638">
        <f t="shared" si="3"/>
        <v>0</v>
      </c>
      <c r="R27" s="440">
        <f t="shared" si="18"/>
        <v>29300</v>
      </c>
      <c r="S27" s="440">
        <f t="shared" si="18"/>
        <v>0</v>
      </c>
      <c r="T27" s="638">
        <f t="shared" si="7"/>
        <v>0</v>
      </c>
    </row>
    <row r="28" spans="1:107" s="437" customFormat="1" ht="12.75">
      <c r="A28" s="442" t="s">
        <v>576</v>
      </c>
      <c r="B28" s="27">
        <v>1519853</v>
      </c>
      <c r="C28" s="27"/>
      <c r="D28" s="639">
        <f t="shared" si="0"/>
        <v>0</v>
      </c>
      <c r="E28" s="27">
        <v>2305546</v>
      </c>
      <c r="F28" s="27"/>
      <c r="G28" s="639">
        <f t="shared" si="1"/>
        <v>0</v>
      </c>
      <c r="H28" s="27">
        <v>14740905</v>
      </c>
      <c r="I28" s="27"/>
      <c r="J28" s="639">
        <f t="shared" si="5"/>
        <v>0</v>
      </c>
      <c r="K28" s="442" t="s">
        <v>576</v>
      </c>
      <c r="L28" s="27">
        <f aca="true" t="shared" si="19" ref="L28:S30">ROUND(B28/1000,0)</f>
        <v>1520</v>
      </c>
      <c r="M28" s="27">
        <f t="shared" si="19"/>
        <v>0</v>
      </c>
      <c r="N28" s="639">
        <f t="shared" si="2"/>
        <v>0</v>
      </c>
      <c r="O28" s="27">
        <f>ROUND(E28/1000,0)-1</f>
        <v>2305</v>
      </c>
      <c r="P28" s="27">
        <f t="shared" si="19"/>
        <v>0</v>
      </c>
      <c r="Q28" s="639">
        <f t="shared" si="3"/>
        <v>0</v>
      </c>
      <c r="R28" s="27">
        <f>ROUND(H28/1000,0)</f>
        <v>14741</v>
      </c>
      <c r="S28" s="27">
        <f t="shared" si="19"/>
        <v>0</v>
      </c>
      <c r="T28" s="639">
        <f t="shared" si="7"/>
        <v>0</v>
      </c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436"/>
      <c r="CV28" s="436"/>
      <c r="CW28" s="436"/>
      <c r="CX28" s="436"/>
      <c r="CY28" s="436"/>
      <c r="CZ28" s="436"/>
      <c r="DA28" s="436"/>
      <c r="DB28" s="436"/>
      <c r="DC28" s="436"/>
    </row>
    <row r="29" spans="1:107" s="437" customFormat="1" ht="12.75">
      <c r="A29" s="442" t="s">
        <v>959</v>
      </c>
      <c r="B29" s="27">
        <v>875500</v>
      </c>
      <c r="C29" s="27"/>
      <c r="D29" s="639">
        <f t="shared" si="0"/>
        <v>0</v>
      </c>
      <c r="E29" s="27">
        <v>858266</v>
      </c>
      <c r="F29" s="27"/>
      <c r="G29" s="639">
        <f t="shared" si="1"/>
        <v>0</v>
      </c>
      <c r="H29" s="27">
        <v>1670580</v>
      </c>
      <c r="I29" s="27"/>
      <c r="J29" s="639">
        <f t="shared" si="5"/>
        <v>0</v>
      </c>
      <c r="K29" s="442" t="s">
        <v>959</v>
      </c>
      <c r="L29" s="27">
        <f>ROUND(B29/1000,0)-1</f>
        <v>875</v>
      </c>
      <c r="M29" s="27">
        <f t="shared" si="19"/>
        <v>0</v>
      </c>
      <c r="N29" s="639">
        <f t="shared" si="2"/>
        <v>0</v>
      </c>
      <c r="O29" s="27">
        <f>ROUND(E29/1000,0)</f>
        <v>858</v>
      </c>
      <c r="P29" s="27">
        <f t="shared" si="19"/>
        <v>0</v>
      </c>
      <c r="Q29" s="639">
        <f t="shared" si="3"/>
        <v>0</v>
      </c>
      <c r="R29" s="27">
        <f t="shared" si="19"/>
        <v>1671</v>
      </c>
      <c r="S29" s="27">
        <f t="shared" si="19"/>
        <v>0</v>
      </c>
      <c r="T29" s="639">
        <f t="shared" si="7"/>
        <v>0</v>
      </c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6"/>
      <c r="BM29" s="436"/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436"/>
      <c r="CM29" s="436"/>
      <c r="CN29" s="436"/>
      <c r="CO29" s="436"/>
      <c r="CP29" s="436"/>
      <c r="CQ29" s="436"/>
      <c r="CR29" s="436"/>
      <c r="CS29" s="436"/>
      <c r="CT29" s="436"/>
      <c r="CU29" s="436"/>
      <c r="CV29" s="436"/>
      <c r="CW29" s="436"/>
      <c r="CX29" s="436"/>
      <c r="CY29" s="436"/>
      <c r="CZ29" s="436"/>
      <c r="DA29" s="436"/>
      <c r="DB29" s="436"/>
      <c r="DC29" s="436"/>
    </row>
    <row r="30" spans="1:107" s="437" customFormat="1" ht="12.75">
      <c r="A30" s="442" t="s">
        <v>195</v>
      </c>
      <c r="B30" s="27">
        <v>8160568</v>
      </c>
      <c r="C30" s="27"/>
      <c r="D30" s="639">
        <f t="shared" si="0"/>
        <v>0</v>
      </c>
      <c r="E30" s="27">
        <v>1503268</v>
      </c>
      <c r="F30" s="27"/>
      <c r="G30" s="639">
        <f t="shared" si="1"/>
        <v>0</v>
      </c>
      <c r="H30" s="27">
        <v>12888000</v>
      </c>
      <c r="I30" s="27"/>
      <c r="J30" s="639">
        <f t="shared" si="5"/>
        <v>0</v>
      </c>
      <c r="K30" s="442" t="s">
        <v>195</v>
      </c>
      <c r="L30" s="27">
        <f t="shared" si="19"/>
        <v>8161</v>
      </c>
      <c r="M30" s="27">
        <f t="shared" si="19"/>
        <v>0</v>
      </c>
      <c r="N30" s="639">
        <f t="shared" si="2"/>
        <v>0</v>
      </c>
      <c r="O30" s="27">
        <f t="shared" si="19"/>
        <v>1503</v>
      </c>
      <c r="P30" s="27">
        <f t="shared" si="19"/>
        <v>0</v>
      </c>
      <c r="Q30" s="639">
        <f t="shared" si="3"/>
        <v>0</v>
      </c>
      <c r="R30" s="27">
        <f>ROUND(H30/1000,0)</f>
        <v>12888</v>
      </c>
      <c r="S30" s="27">
        <f t="shared" si="19"/>
        <v>0</v>
      </c>
      <c r="T30" s="639">
        <f t="shared" si="7"/>
        <v>0</v>
      </c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436"/>
      <c r="CM30" s="436"/>
      <c r="CN30" s="436"/>
      <c r="CO30" s="436"/>
      <c r="CP30" s="436"/>
      <c r="CQ30" s="436"/>
      <c r="CR30" s="436"/>
      <c r="CS30" s="436"/>
      <c r="CT30" s="436"/>
      <c r="CU30" s="436"/>
      <c r="CV30" s="436"/>
      <c r="CW30" s="436"/>
      <c r="CX30" s="436"/>
      <c r="CY30" s="436"/>
      <c r="CZ30" s="436"/>
      <c r="DA30" s="436"/>
      <c r="DB30" s="436"/>
      <c r="DC30" s="436"/>
    </row>
    <row r="31" spans="1:20" s="636" customFormat="1" ht="24">
      <c r="A31" s="59" t="s">
        <v>907</v>
      </c>
      <c r="B31" s="440">
        <f>SUM(B32:B33)</f>
        <v>767700</v>
      </c>
      <c r="C31" s="440">
        <f>SUM(C32:C33)</f>
        <v>0</v>
      </c>
      <c r="D31" s="638">
        <f t="shared" si="0"/>
        <v>0</v>
      </c>
      <c r="E31" s="440">
        <f>SUM(E32:E33)</f>
        <v>1326550</v>
      </c>
      <c r="F31" s="440">
        <f>SUM(F32:F33)</f>
        <v>0</v>
      </c>
      <c r="G31" s="638">
        <f t="shared" si="1"/>
        <v>0</v>
      </c>
      <c r="H31" s="440">
        <f>SUM(H32:H33)</f>
        <v>1253100</v>
      </c>
      <c r="I31" s="440">
        <f>SUM(I32:I33)</f>
        <v>0</v>
      </c>
      <c r="J31" s="639">
        <f t="shared" si="5"/>
        <v>0</v>
      </c>
      <c r="K31" s="59" t="s">
        <v>907</v>
      </c>
      <c r="L31" s="440">
        <f>SUM(L32:L33)</f>
        <v>768</v>
      </c>
      <c r="M31" s="440">
        <f>SUM(M32:M33)</f>
        <v>0</v>
      </c>
      <c r="N31" s="638">
        <f t="shared" si="2"/>
        <v>0</v>
      </c>
      <c r="O31" s="440">
        <f>SUM(O32:O33)</f>
        <v>1327</v>
      </c>
      <c r="P31" s="440">
        <f>SUM(P32:P33)</f>
        <v>0</v>
      </c>
      <c r="Q31" s="638">
        <f t="shared" si="3"/>
        <v>0</v>
      </c>
      <c r="R31" s="440">
        <f>SUM(R32:R33)</f>
        <v>1253</v>
      </c>
      <c r="S31" s="440">
        <f>SUM(S32:S33)</f>
        <v>0</v>
      </c>
      <c r="T31" s="638">
        <f t="shared" si="7"/>
        <v>0</v>
      </c>
    </row>
    <row r="32" spans="1:107" s="437" customFormat="1" ht="12.75">
      <c r="A32" s="442" t="s">
        <v>577</v>
      </c>
      <c r="B32" s="27">
        <v>17700</v>
      </c>
      <c r="C32" s="27"/>
      <c r="D32" s="639">
        <f t="shared" si="0"/>
        <v>0</v>
      </c>
      <c r="E32" s="27">
        <v>26550</v>
      </c>
      <c r="F32" s="27"/>
      <c r="G32" s="639">
        <f t="shared" si="1"/>
        <v>0</v>
      </c>
      <c r="H32" s="27">
        <v>53100</v>
      </c>
      <c r="I32" s="27"/>
      <c r="J32" s="639">
        <f t="shared" si="5"/>
        <v>0</v>
      </c>
      <c r="K32" s="442" t="s">
        <v>577</v>
      </c>
      <c r="L32" s="27">
        <f>ROUND(B32/1000,0)</f>
        <v>18</v>
      </c>
      <c r="M32" s="27">
        <f>ROUND(C32/1000,0)</f>
        <v>0</v>
      </c>
      <c r="N32" s="639">
        <f>M32/L32*100</f>
        <v>0</v>
      </c>
      <c r="O32" s="27">
        <f>ROUND(E32/1000,0)</f>
        <v>27</v>
      </c>
      <c r="P32" s="27">
        <f>ROUND(F32/1000,0)</f>
        <v>0</v>
      </c>
      <c r="Q32" s="639">
        <f>P32/O32*100</f>
        <v>0</v>
      </c>
      <c r="R32" s="27">
        <f>ROUND(H32/1000,0)</f>
        <v>53</v>
      </c>
      <c r="S32" s="27">
        <f>ROUND(I32/1000,0)</f>
        <v>0</v>
      </c>
      <c r="T32" s="639">
        <f>S32/R32*100</f>
        <v>0</v>
      </c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</row>
    <row r="33" spans="1:107" s="437" customFormat="1" ht="12.75">
      <c r="A33" s="442" t="s">
        <v>195</v>
      </c>
      <c r="B33" s="27">
        <v>750000</v>
      </c>
      <c r="C33" s="27"/>
      <c r="D33" s="639">
        <f t="shared" si="0"/>
        <v>0</v>
      </c>
      <c r="E33" s="27">
        <v>1300000</v>
      </c>
      <c r="F33" s="27"/>
      <c r="G33" s="639">
        <f t="shared" si="1"/>
        <v>0</v>
      </c>
      <c r="H33" s="27">
        <v>1200000</v>
      </c>
      <c r="I33" s="27"/>
      <c r="J33" s="639">
        <f t="shared" si="5"/>
        <v>0</v>
      </c>
      <c r="K33" s="442" t="s">
        <v>195</v>
      </c>
      <c r="L33" s="27">
        <f aca="true" t="shared" si="20" ref="L33:S33">ROUND(B33/1000,0)</f>
        <v>750</v>
      </c>
      <c r="M33" s="27">
        <f t="shared" si="20"/>
        <v>0</v>
      </c>
      <c r="N33" s="639">
        <f t="shared" si="2"/>
        <v>0</v>
      </c>
      <c r="O33" s="27">
        <f t="shared" si="20"/>
        <v>1300</v>
      </c>
      <c r="P33" s="27">
        <f t="shared" si="20"/>
        <v>0</v>
      </c>
      <c r="Q33" s="639">
        <f t="shared" si="3"/>
        <v>0</v>
      </c>
      <c r="R33" s="27">
        <f t="shared" si="20"/>
        <v>1200</v>
      </c>
      <c r="S33" s="27">
        <f t="shared" si="20"/>
        <v>0</v>
      </c>
      <c r="T33" s="639">
        <f t="shared" si="7"/>
        <v>0</v>
      </c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</row>
    <row r="34" spans="1:20" ht="24">
      <c r="A34" s="447" t="s">
        <v>930</v>
      </c>
      <c r="B34" s="440">
        <f>SUM(B35:B36)</f>
        <v>26722</v>
      </c>
      <c r="C34" s="440">
        <f aca="true" t="shared" si="21" ref="C34:I34">SUM(C35:C36)</f>
        <v>0</v>
      </c>
      <c r="D34" s="638">
        <f t="shared" si="0"/>
        <v>0</v>
      </c>
      <c r="E34" s="440">
        <f t="shared" si="21"/>
        <v>25515</v>
      </c>
      <c r="F34" s="440">
        <f t="shared" si="21"/>
        <v>0</v>
      </c>
      <c r="G34" s="638">
        <f t="shared" si="1"/>
        <v>0</v>
      </c>
      <c r="H34" s="440">
        <f t="shared" si="21"/>
        <v>61202</v>
      </c>
      <c r="I34" s="440">
        <f t="shared" si="21"/>
        <v>0</v>
      </c>
      <c r="J34" s="639">
        <f t="shared" si="5"/>
        <v>0</v>
      </c>
      <c r="K34" s="447" t="s">
        <v>930</v>
      </c>
      <c r="L34" s="440">
        <f aca="true" t="shared" si="22" ref="L34:S34">SUM(L35:L36)</f>
        <v>27</v>
      </c>
      <c r="M34" s="440">
        <f t="shared" si="22"/>
        <v>0</v>
      </c>
      <c r="N34" s="638">
        <f t="shared" si="2"/>
        <v>0</v>
      </c>
      <c r="O34" s="440">
        <f t="shared" si="22"/>
        <v>26</v>
      </c>
      <c r="P34" s="440">
        <f t="shared" si="22"/>
        <v>0</v>
      </c>
      <c r="Q34" s="638">
        <f t="shared" si="3"/>
        <v>0</v>
      </c>
      <c r="R34" s="440">
        <f t="shared" si="22"/>
        <v>61</v>
      </c>
      <c r="S34" s="440">
        <f t="shared" si="22"/>
        <v>0</v>
      </c>
      <c r="T34" s="638">
        <f t="shared" si="7"/>
        <v>0</v>
      </c>
    </row>
    <row r="35" spans="1:107" s="437" customFormat="1" ht="12.75">
      <c r="A35" s="442" t="s">
        <v>576</v>
      </c>
      <c r="B35" s="27">
        <v>22834</v>
      </c>
      <c r="C35" s="27"/>
      <c r="D35" s="639">
        <f t="shared" si="0"/>
        <v>0</v>
      </c>
      <c r="E35" s="27">
        <v>22541</v>
      </c>
      <c r="F35" s="27"/>
      <c r="G35" s="639">
        <f t="shared" si="1"/>
        <v>0</v>
      </c>
      <c r="H35" s="27">
        <v>57493</v>
      </c>
      <c r="I35" s="27"/>
      <c r="J35" s="639">
        <f t="shared" si="5"/>
        <v>0</v>
      </c>
      <c r="K35" s="442" t="s">
        <v>576</v>
      </c>
      <c r="L35" s="27">
        <f aca="true" t="shared" si="23" ref="L35:S36">ROUND(B35/1000,0)</f>
        <v>23</v>
      </c>
      <c r="M35" s="27">
        <f t="shared" si="23"/>
        <v>0</v>
      </c>
      <c r="N35" s="639">
        <f t="shared" si="2"/>
        <v>0</v>
      </c>
      <c r="O35" s="27">
        <f t="shared" si="23"/>
        <v>23</v>
      </c>
      <c r="P35" s="27">
        <f t="shared" si="23"/>
        <v>0</v>
      </c>
      <c r="Q35" s="639">
        <f t="shared" si="3"/>
        <v>0</v>
      </c>
      <c r="R35" s="27">
        <f t="shared" si="23"/>
        <v>57</v>
      </c>
      <c r="S35" s="27">
        <f t="shared" si="23"/>
        <v>0</v>
      </c>
      <c r="T35" s="639">
        <f t="shared" si="7"/>
        <v>0</v>
      </c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</row>
    <row r="36" spans="1:107" s="437" customFormat="1" ht="12.75">
      <c r="A36" s="442" t="s">
        <v>959</v>
      </c>
      <c r="B36" s="27">
        <v>3888</v>
      </c>
      <c r="C36" s="27"/>
      <c r="D36" s="639">
        <f t="shared" si="0"/>
        <v>0</v>
      </c>
      <c r="E36" s="27">
        <v>2974</v>
      </c>
      <c r="F36" s="27"/>
      <c r="G36" s="639">
        <f t="shared" si="1"/>
        <v>0</v>
      </c>
      <c r="H36" s="27">
        <v>3709</v>
      </c>
      <c r="I36" s="27"/>
      <c r="J36" s="639">
        <f t="shared" si="5"/>
        <v>0</v>
      </c>
      <c r="K36" s="442" t="s">
        <v>959</v>
      </c>
      <c r="L36" s="27">
        <f t="shared" si="23"/>
        <v>4</v>
      </c>
      <c r="M36" s="27">
        <f t="shared" si="23"/>
        <v>0</v>
      </c>
      <c r="N36" s="639">
        <f t="shared" si="2"/>
        <v>0</v>
      </c>
      <c r="O36" s="27">
        <f t="shared" si="23"/>
        <v>3</v>
      </c>
      <c r="P36" s="27">
        <f t="shared" si="23"/>
        <v>0</v>
      </c>
      <c r="Q36" s="639">
        <f t="shared" si="3"/>
        <v>0</v>
      </c>
      <c r="R36" s="27">
        <f t="shared" si="23"/>
        <v>4</v>
      </c>
      <c r="S36" s="27">
        <f t="shared" si="23"/>
        <v>0</v>
      </c>
      <c r="T36" s="639">
        <f t="shared" si="7"/>
        <v>0</v>
      </c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6"/>
      <c r="CU36" s="436"/>
      <c r="CV36" s="436"/>
      <c r="CW36" s="436"/>
      <c r="CX36" s="436"/>
      <c r="CY36" s="436"/>
      <c r="CZ36" s="436"/>
      <c r="DA36" s="436"/>
      <c r="DB36" s="436"/>
      <c r="DC36" s="436"/>
    </row>
    <row r="37" spans="10:20" ht="12.75">
      <c r="J37" s="1"/>
      <c r="T37" s="1"/>
    </row>
    <row r="38" spans="1:20" ht="12.75">
      <c r="A38" s="174"/>
      <c r="B38" s="651"/>
      <c r="C38" s="652"/>
      <c r="D38" s="653"/>
      <c r="E38" s="653"/>
      <c r="F38" s="654"/>
      <c r="G38" s="654"/>
      <c r="H38" s="654"/>
      <c r="I38" s="654"/>
      <c r="J38" s="1"/>
      <c r="K38" s="174"/>
      <c r="L38" s="651"/>
      <c r="M38" s="652"/>
      <c r="N38" s="653"/>
      <c r="O38" s="653"/>
      <c r="P38" s="654"/>
      <c r="Q38" s="654"/>
      <c r="R38" s="654"/>
      <c r="S38" s="654"/>
      <c r="T38" s="1"/>
    </row>
    <row r="40" spans="1:20" ht="12.75">
      <c r="A40" s="1"/>
      <c r="B40" s="580"/>
      <c r="C40" s="595"/>
      <c r="D40" s="595"/>
      <c r="E40" s="644"/>
      <c r="F40" s="645"/>
      <c r="G40" s="645"/>
      <c r="H40" s="645"/>
      <c r="I40" s="645"/>
      <c r="J40" s="1"/>
      <c r="K40" s="1"/>
      <c r="L40" s="580"/>
      <c r="M40" s="595"/>
      <c r="N40" s="595"/>
      <c r="O40" s="644"/>
      <c r="P40" s="645"/>
      <c r="Q40" s="645"/>
      <c r="R40" s="645"/>
      <c r="S40" s="645"/>
      <c r="T40" s="1"/>
    </row>
    <row r="41" spans="1:20" ht="12.75">
      <c r="A41" s="41" t="s">
        <v>584</v>
      </c>
      <c r="B41" s="580"/>
      <c r="C41" s="595"/>
      <c r="D41" s="595"/>
      <c r="E41" s="644"/>
      <c r="F41" s="645"/>
      <c r="G41" s="645"/>
      <c r="H41" s="645"/>
      <c r="I41" s="645"/>
      <c r="J41" s="1"/>
      <c r="K41" s="841" t="s">
        <v>472</v>
      </c>
      <c r="L41" s="841"/>
      <c r="M41" s="841"/>
      <c r="N41" s="841"/>
      <c r="O41" s="841"/>
      <c r="P41" s="841"/>
      <c r="Q41" s="841"/>
      <c r="R41" s="645"/>
      <c r="S41" s="645"/>
      <c r="T41" s="1"/>
    </row>
    <row r="42" spans="2:20" ht="12.75">
      <c r="B42" s="646"/>
      <c r="C42" s="595"/>
      <c r="D42" s="647"/>
      <c r="E42" s="648"/>
      <c r="F42" s="649"/>
      <c r="G42" s="649"/>
      <c r="H42" s="649"/>
      <c r="I42" s="649"/>
      <c r="J42" s="1"/>
      <c r="L42" s="646"/>
      <c r="M42" s="595"/>
      <c r="N42" s="647"/>
      <c r="O42" s="648"/>
      <c r="P42" s="649"/>
      <c r="Q42" s="649"/>
      <c r="R42" s="649"/>
      <c r="S42" s="649"/>
      <c r="T42" s="1"/>
    </row>
    <row r="43" spans="1:11" ht="12.75">
      <c r="A43" s="1"/>
      <c r="K43" s="1"/>
    </row>
    <row r="44" spans="1:20" ht="12.75">
      <c r="A44" s="1"/>
      <c r="J44" s="1"/>
      <c r="K44" s="1"/>
      <c r="T44" s="1"/>
    </row>
    <row r="45" spans="1:20" ht="12.75">
      <c r="A45" s="1"/>
      <c r="J45" s="1"/>
      <c r="K45" s="1"/>
      <c r="T45" s="1"/>
    </row>
    <row r="46" spans="1:20" ht="12.75">
      <c r="A46" s="1"/>
      <c r="J46" s="1"/>
      <c r="K46" s="1"/>
      <c r="T46" s="1"/>
    </row>
    <row r="47" spans="10:20" ht="12.75">
      <c r="J47" s="1"/>
      <c r="T47" s="1"/>
    </row>
    <row r="48" spans="10:20" ht="12.75">
      <c r="J48" s="1"/>
      <c r="T48" s="1"/>
    </row>
    <row r="49" spans="1:20" ht="12.75">
      <c r="A49" s="1"/>
      <c r="J49" s="1"/>
      <c r="K49" s="1"/>
      <c r="T49" s="1"/>
    </row>
    <row r="50" spans="1:20" ht="12.75">
      <c r="A50" s="1"/>
      <c r="J50" s="1"/>
      <c r="K50" s="1"/>
      <c r="T50" s="1"/>
    </row>
    <row r="51" spans="1:20" ht="12.75">
      <c r="A51" s="1"/>
      <c r="J51" s="1"/>
      <c r="K51" s="1" t="s">
        <v>823</v>
      </c>
      <c r="T51" s="1"/>
    </row>
    <row r="52" spans="10:20" ht="12.75">
      <c r="J52" s="1"/>
      <c r="K52" s="1" t="s">
        <v>143</v>
      </c>
      <c r="T52" s="1"/>
    </row>
    <row r="53" spans="10:20" ht="12.75">
      <c r="J53" s="1"/>
      <c r="T53" s="1"/>
    </row>
    <row r="54" spans="10:20" ht="12.75">
      <c r="J54" s="1"/>
      <c r="T54" s="1"/>
    </row>
    <row r="55" spans="1:20" ht="12.75">
      <c r="A55" s="1"/>
      <c r="J55" s="1"/>
      <c r="T55" s="1"/>
    </row>
    <row r="56" spans="1:20" ht="12.75">
      <c r="A56" s="1"/>
      <c r="J56" s="1"/>
      <c r="T56" s="1"/>
    </row>
    <row r="57" spans="10:20" ht="12.75">
      <c r="J57" s="1"/>
      <c r="T57" s="1"/>
    </row>
    <row r="58" spans="10:20" ht="12.75">
      <c r="J58" s="1"/>
      <c r="T58" s="1"/>
    </row>
    <row r="59" spans="10:20" ht="12.75">
      <c r="J59" s="1"/>
      <c r="T59" s="1"/>
    </row>
    <row r="60" spans="10:20" ht="12.75">
      <c r="J60" s="1"/>
      <c r="T60" s="1"/>
    </row>
    <row r="61" spans="10:20" ht="12.75">
      <c r="J61" s="1"/>
      <c r="T61" s="1"/>
    </row>
    <row r="62" spans="10:20" ht="12.75">
      <c r="J62" s="1"/>
      <c r="T62" s="1"/>
    </row>
    <row r="63" spans="10:20" ht="12.75">
      <c r="J63" s="1"/>
      <c r="T63" s="1"/>
    </row>
    <row r="64" spans="10:20" ht="12.75">
      <c r="J64" s="1"/>
      <c r="T64" s="1"/>
    </row>
    <row r="65" spans="10:20" ht="12.75">
      <c r="J65" s="1"/>
      <c r="T65" s="1"/>
    </row>
    <row r="66" spans="10:20" ht="12.75">
      <c r="J66" s="1"/>
      <c r="T66" s="1"/>
    </row>
    <row r="67" spans="10:20" ht="12.75">
      <c r="J67" s="1"/>
      <c r="T67" s="1"/>
    </row>
    <row r="68" spans="10:20" ht="12.75">
      <c r="J68" s="1"/>
      <c r="T68" s="1"/>
    </row>
    <row r="69" spans="10:20" ht="12.75">
      <c r="J69" s="1"/>
      <c r="T69" s="1"/>
    </row>
    <row r="70" spans="10:20" ht="12.75">
      <c r="J70" s="1"/>
      <c r="T70" s="1"/>
    </row>
    <row r="71" spans="10:20" ht="12.75">
      <c r="J71" s="1"/>
      <c r="T71" s="1"/>
    </row>
    <row r="72" spans="10:20" ht="12.75">
      <c r="J72" s="1"/>
      <c r="T72" s="1"/>
    </row>
    <row r="73" spans="10:20" ht="12.75">
      <c r="J73" s="1"/>
      <c r="T73" s="1"/>
    </row>
    <row r="74" spans="10:20" ht="12.75">
      <c r="J74" s="1"/>
      <c r="T74" s="1"/>
    </row>
    <row r="75" spans="10:20" ht="12.75">
      <c r="J75" s="1"/>
      <c r="T75" s="1"/>
    </row>
    <row r="76" spans="10:20" ht="12.75">
      <c r="J76" s="1"/>
      <c r="T76" s="1"/>
    </row>
    <row r="77" spans="10:20" ht="12.75">
      <c r="J77" s="1"/>
      <c r="T77" s="1"/>
    </row>
    <row r="78" spans="10:20" ht="12.75">
      <c r="J78" s="1"/>
      <c r="T78" s="1"/>
    </row>
    <row r="79" spans="10:20" ht="12.75">
      <c r="J79" s="1"/>
      <c r="T79" s="1"/>
    </row>
    <row r="80" spans="10:20" ht="12.75">
      <c r="J80" s="1"/>
      <c r="T80" s="1"/>
    </row>
    <row r="81" spans="10:20" ht="12.75">
      <c r="J81" s="1"/>
      <c r="T81" s="1"/>
    </row>
    <row r="82" spans="10:20" ht="12.75">
      <c r="J82" s="1"/>
      <c r="T82" s="1"/>
    </row>
    <row r="83" spans="10:20" ht="12.75">
      <c r="J83" s="1"/>
      <c r="T83" s="1"/>
    </row>
    <row r="84" spans="10:20" ht="12.75">
      <c r="J84" s="1"/>
      <c r="T84" s="1"/>
    </row>
    <row r="85" spans="10:20" ht="12.75">
      <c r="J85" s="1"/>
      <c r="T85" s="1"/>
    </row>
    <row r="86" spans="10:20" ht="12.75">
      <c r="J86" s="1"/>
      <c r="T86" s="1"/>
    </row>
    <row r="87" spans="10:20" ht="12.75">
      <c r="J87" s="1"/>
      <c r="T87" s="1"/>
    </row>
    <row r="88" spans="10:20" ht="12.75">
      <c r="J88" s="1"/>
      <c r="T88" s="1"/>
    </row>
    <row r="89" spans="10:20" ht="12.75">
      <c r="J89" s="1"/>
      <c r="T89" s="1"/>
    </row>
    <row r="90" spans="10:20" ht="12.75">
      <c r="J90" s="1"/>
      <c r="T90" s="1"/>
    </row>
    <row r="91" spans="10:20" ht="12.75">
      <c r="J91" s="1"/>
      <c r="T91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pans="10:20" ht="12.75">
      <c r="J95" s="1"/>
      <c r="T95" s="1"/>
    </row>
    <row r="96" spans="10:20" ht="12.75">
      <c r="J96" s="1"/>
      <c r="T96" s="1"/>
    </row>
    <row r="97" spans="10:20" ht="12.75">
      <c r="J97" s="1"/>
      <c r="T97" s="1"/>
    </row>
    <row r="98" spans="10:20" ht="12.75">
      <c r="J98" s="1"/>
      <c r="T98" s="1"/>
    </row>
    <row r="99" spans="10:20" ht="12.75">
      <c r="J99" s="1"/>
      <c r="T99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T106" s="1"/>
    </row>
    <row r="107" spans="10:20" ht="12.75">
      <c r="J107" s="1"/>
      <c r="T107" s="1"/>
    </row>
    <row r="108" spans="10:20" ht="12.75">
      <c r="J108" s="1"/>
      <c r="T108" s="1"/>
    </row>
    <row r="109" spans="10:20" ht="12.75">
      <c r="J109" s="1"/>
      <c r="T109" s="1"/>
    </row>
    <row r="110" spans="10:20" ht="12.75">
      <c r="J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</sheetData>
  <mergeCells count="13">
    <mergeCell ref="O9:Q9"/>
    <mergeCell ref="R9:T9"/>
    <mergeCell ref="K41:Q41"/>
    <mergeCell ref="E9:G9"/>
    <mergeCell ref="H9:J9"/>
    <mergeCell ref="A4:J4"/>
    <mergeCell ref="K4:T4"/>
    <mergeCell ref="A5:J5"/>
    <mergeCell ref="K5:T5"/>
    <mergeCell ref="A6:J6"/>
    <mergeCell ref="K6:T6"/>
    <mergeCell ref="B9:D9"/>
    <mergeCell ref="L9:N9"/>
  </mergeCells>
  <printOptions/>
  <pageMargins left="0.75" right="0.75" top="1" bottom="1" header="0.5" footer="0.5"/>
  <pageSetup firstPageNumber="54" useFirstPageNumber="1" horizontalDpi="600" verticalDpi="6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H1">
      <selection activeCell="H11" sqref="H11"/>
    </sheetView>
  </sheetViews>
  <sheetFormatPr defaultColWidth="9.140625" defaultRowHeight="17.25" customHeight="1"/>
  <cols>
    <col min="1" max="1" width="43.421875" style="0" hidden="1" customWidth="1"/>
    <col min="2" max="2" width="10.8515625" style="0" hidden="1" customWidth="1"/>
    <col min="3" max="3" width="10.28125" style="0" hidden="1" customWidth="1"/>
    <col min="4" max="4" width="11.00390625" style="0" hidden="1" customWidth="1"/>
    <col min="5" max="5" width="10.28125" style="0" hidden="1" customWidth="1"/>
    <col min="6" max="6" width="11.28125" style="0" hidden="1" customWidth="1"/>
    <col min="7" max="7" width="9.140625" style="0" hidden="1" customWidth="1"/>
    <col min="8" max="8" width="49.8515625" style="0" customWidth="1"/>
    <col min="9" max="9" width="11.00390625" style="0" customWidth="1"/>
    <col min="11" max="11" width="12.57421875" style="0" customWidth="1"/>
    <col min="12" max="12" width="10.57421875" style="0" customWidth="1"/>
    <col min="13" max="13" width="8.28125" style="0" customWidth="1"/>
  </cols>
  <sheetData>
    <row r="1" spans="6:13" ht="14.25" customHeight="1">
      <c r="F1" s="88" t="s">
        <v>825</v>
      </c>
      <c r="M1" s="88" t="s">
        <v>825</v>
      </c>
    </row>
    <row r="2" spans="1:13" ht="13.5" customHeight="1">
      <c r="A2" s="846" t="s">
        <v>826</v>
      </c>
      <c r="B2" s="846"/>
      <c r="C2" s="846"/>
      <c r="D2" s="846"/>
      <c r="E2" s="846"/>
      <c r="F2" s="846"/>
      <c r="H2" s="848" t="s">
        <v>826</v>
      </c>
      <c r="I2" s="848"/>
      <c r="J2" s="848"/>
      <c r="K2" s="848"/>
      <c r="L2" s="848"/>
      <c r="M2" s="848"/>
    </row>
    <row r="3" ht="12.75" customHeight="1"/>
    <row r="4" spans="1:13" ht="15" customHeight="1">
      <c r="A4" s="847" t="s">
        <v>827</v>
      </c>
      <c r="B4" s="847"/>
      <c r="C4" s="847"/>
      <c r="D4" s="847"/>
      <c r="E4" s="847"/>
      <c r="F4" s="847"/>
      <c r="H4" s="849" t="s">
        <v>827</v>
      </c>
      <c r="I4" s="849"/>
      <c r="J4" s="849"/>
      <c r="K4" s="849"/>
      <c r="L4" s="849"/>
      <c r="M4" s="849"/>
    </row>
    <row r="5" spans="1:12" ht="14.25" customHeight="1">
      <c r="A5" s="846" t="s">
        <v>130</v>
      </c>
      <c r="B5" s="846"/>
      <c r="C5" s="846"/>
      <c r="D5" s="846"/>
      <c r="E5" s="846"/>
      <c r="H5" s="846" t="s">
        <v>130</v>
      </c>
      <c r="I5" s="846"/>
      <c r="J5" s="846"/>
      <c r="K5" s="846"/>
      <c r="L5" s="846"/>
    </row>
    <row r="6" spans="6:13" ht="14.25" customHeight="1">
      <c r="F6" s="38" t="s">
        <v>749</v>
      </c>
      <c r="M6" s="38" t="s">
        <v>749</v>
      </c>
    </row>
    <row r="7" spans="1:13" ht="33.75">
      <c r="A7" s="9" t="s">
        <v>828</v>
      </c>
      <c r="B7" s="9" t="s">
        <v>750</v>
      </c>
      <c r="C7" s="90" t="s">
        <v>829</v>
      </c>
      <c r="D7" s="9" t="s">
        <v>751</v>
      </c>
      <c r="E7" s="9" t="s">
        <v>830</v>
      </c>
      <c r="F7" s="9" t="s">
        <v>131</v>
      </c>
      <c r="H7" s="9" t="s">
        <v>828</v>
      </c>
      <c r="I7" s="9" t="s">
        <v>750</v>
      </c>
      <c r="J7" s="90" t="s">
        <v>829</v>
      </c>
      <c r="K7" s="9" t="s">
        <v>751</v>
      </c>
      <c r="L7" s="9" t="s">
        <v>830</v>
      </c>
      <c r="M7" s="9" t="s">
        <v>101</v>
      </c>
    </row>
    <row r="8" spans="1:13" ht="13.5" customHeight="1">
      <c r="A8" s="8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H8" s="8">
        <v>1</v>
      </c>
      <c r="I8" s="91">
        <v>2</v>
      </c>
      <c r="J8" s="91">
        <v>3</v>
      </c>
      <c r="K8" s="91">
        <v>4</v>
      </c>
      <c r="L8" s="91">
        <v>5</v>
      </c>
      <c r="M8" s="91">
        <v>6</v>
      </c>
    </row>
    <row r="9" spans="1:18" ht="13.5" customHeight="1">
      <c r="A9" s="92" t="s">
        <v>831</v>
      </c>
      <c r="B9" s="93">
        <f>B10+B21+B38+B40</f>
        <v>795345958</v>
      </c>
      <c r="C9" s="94">
        <v>94.29</v>
      </c>
      <c r="D9" s="93">
        <f>D10+D21+D38+D40</f>
        <v>553835945.8199999</v>
      </c>
      <c r="E9" s="95">
        <f aca="true" t="shared" si="0" ref="E9:E18">IF(ISERROR(D9/B9)," ",(D9/B9))*100</f>
        <v>69.63459614639797</v>
      </c>
      <c r="F9" s="93">
        <f>F10+F21+F38+F40</f>
        <v>57956717.15999989</v>
      </c>
      <c r="H9" s="92" t="s">
        <v>831</v>
      </c>
      <c r="I9" s="96">
        <f aca="true" t="shared" si="1" ref="I9:I18">ROUND(B9/1000,0)</f>
        <v>795346</v>
      </c>
      <c r="J9" s="94">
        <f>C9</f>
        <v>94.29</v>
      </c>
      <c r="K9" s="96">
        <f>K10+K21+K38+K40</f>
        <v>553836</v>
      </c>
      <c r="L9" s="97">
        <f aca="true" t="shared" si="2" ref="L9:L18">E9</f>
        <v>69.63459614639797</v>
      </c>
      <c r="M9" s="96">
        <f>M10+M21+M38+M40</f>
        <v>57957</v>
      </c>
      <c r="P9">
        <v>553836</v>
      </c>
      <c r="Q9">
        <v>495879</v>
      </c>
      <c r="R9">
        <f aca="true" t="shared" si="3" ref="R9:R40">P9-Q9</f>
        <v>57957</v>
      </c>
    </row>
    <row r="10" spans="1:18" ht="13.5" customHeight="1">
      <c r="A10" s="98" t="s">
        <v>832</v>
      </c>
      <c r="B10" s="93">
        <f>B11+B13+B17</f>
        <v>615019797</v>
      </c>
      <c r="C10" s="94">
        <v>96.8</v>
      </c>
      <c r="D10" s="93">
        <f>D11+D13+D19+D17</f>
        <v>439139648.79999995</v>
      </c>
      <c r="E10" s="95">
        <f t="shared" si="0"/>
        <v>71.40252247847559</v>
      </c>
      <c r="F10" s="93">
        <f>F11+F13+F19+F17</f>
        <v>48076138.749999896</v>
      </c>
      <c r="H10" s="98" t="s">
        <v>832</v>
      </c>
      <c r="I10" s="96">
        <f t="shared" si="1"/>
        <v>615020</v>
      </c>
      <c r="J10" s="94">
        <f>C10</f>
        <v>96.8</v>
      </c>
      <c r="K10" s="96">
        <f>K11+K13+K19+K17</f>
        <v>439141</v>
      </c>
      <c r="L10" s="97">
        <f t="shared" si="2"/>
        <v>71.40252247847559</v>
      </c>
      <c r="M10" s="96">
        <f>M11+M13+M19+M17</f>
        <v>48079</v>
      </c>
      <c r="P10">
        <v>439141</v>
      </c>
      <c r="Q10">
        <v>391062</v>
      </c>
      <c r="R10">
        <f t="shared" si="3"/>
        <v>48079</v>
      </c>
    </row>
    <row r="11" spans="1:18" ht="13.5" customHeight="1">
      <c r="A11" s="98" t="s">
        <v>833</v>
      </c>
      <c r="B11" s="93">
        <f>B12</f>
        <v>98046000</v>
      </c>
      <c r="C11" s="94">
        <v>98.03</v>
      </c>
      <c r="D11" s="93">
        <f>D12</f>
        <v>73883383.66</v>
      </c>
      <c r="E11" s="95">
        <f t="shared" si="0"/>
        <v>75.35583670929972</v>
      </c>
      <c r="F11" s="93">
        <f>F12</f>
        <v>6325294.179999992</v>
      </c>
      <c r="H11" s="98" t="s">
        <v>833</v>
      </c>
      <c r="I11" s="96">
        <f t="shared" si="1"/>
        <v>98046</v>
      </c>
      <c r="J11" s="94">
        <f>C11</f>
        <v>98.03</v>
      </c>
      <c r="K11" s="96">
        <f>ROUND(D11/1000,0)</f>
        <v>73883</v>
      </c>
      <c r="L11" s="97">
        <f t="shared" si="2"/>
        <v>75.35583670929972</v>
      </c>
      <c r="M11" s="96">
        <f>ROUND(F11/1000,0)</f>
        <v>6325</v>
      </c>
      <c r="P11">
        <v>73883</v>
      </c>
      <c r="Q11">
        <v>67558</v>
      </c>
      <c r="R11">
        <f t="shared" si="3"/>
        <v>6325</v>
      </c>
    </row>
    <row r="12" spans="1:18" ht="13.5" customHeight="1">
      <c r="A12" s="60" t="s">
        <v>834</v>
      </c>
      <c r="B12" s="99">
        <v>98046000</v>
      </c>
      <c r="C12" s="100">
        <v>98.03</v>
      </c>
      <c r="D12" s="101">
        <v>73883383.66</v>
      </c>
      <c r="E12" s="102">
        <f t="shared" si="0"/>
        <v>75.35583670929972</v>
      </c>
      <c r="F12" s="101">
        <f>D12-'[19]augusts'!D12</f>
        <v>6325294.179999992</v>
      </c>
      <c r="H12" s="66" t="s">
        <v>834</v>
      </c>
      <c r="I12" s="103">
        <f t="shared" si="1"/>
        <v>98046</v>
      </c>
      <c r="J12" s="104">
        <f>C12</f>
        <v>98.03</v>
      </c>
      <c r="K12" s="103">
        <f>ROUND(D12/1000,0)</f>
        <v>73883</v>
      </c>
      <c r="L12" s="105">
        <f t="shared" si="2"/>
        <v>75.35583670929972</v>
      </c>
      <c r="M12" s="753">
        <f>K12-'[19]augusts'!K12</f>
        <v>6325</v>
      </c>
      <c r="P12">
        <v>73883</v>
      </c>
      <c r="Q12">
        <v>67558</v>
      </c>
      <c r="R12">
        <f t="shared" si="3"/>
        <v>6325</v>
      </c>
    </row>
    <row r="13" spans="1:18" ht="13.5" customHeight="1">
      <c r="A13" s="98" t="s">
        <v>835</v>
      </c>
      <c r="B13" s="93">
        <f>B14+B15+B16</f>
        <v>513733797</v>
      </c>
      <c r="C13" s="94">
        <v>100</v>
      </c>
      <c r="D13" s="93">
        <f>D14+D15+D16</f>
        <v>358824977.60999995</v>
      </c>
      <c r="E13" s="95">
        <f t="shared" si="0"/>
        <v>69.84648074652561</v>
      </c>
      <c r="F13" s="111">
        <f>D13-'[19]augusts'!D13</f>
        <v>41612320.2899999</v>
      </c>
      <c r="H13" s="98" t="s">
        <v>835</v>
      </c>
      <c r="I13" s="96">
        <f t="shared" si="1"/>
        <v>513734</v>
      </c>
      <c r="J13" s="94">
        <v>100</v>
      </c>
      <c r="K13" s="96">
        <f>K14+K15+K16</f>
        <v>358826</v>
      </c>
      <c r="L13" s="97">
        <f t="shared" si="2"/>
        <v>69.84648074652561</v>
      </c>
      <c r="M13" s="213">
        <f>K13-'[19]augusts'!K13</f>
        <v>41615</v>
      </c>
      <c r="P13">
        <v>358826</v>
      </c>
      <c r="Q13">
        <v>317211</v>
      </c>
      <c r="R13">
        <f t="shared" si="3"/>
        <v>41615</v>
      </c>
    </row>
    <row r="14" spans="1:18" ht="13.5" customHeight="1">
      <c r="A14" s="60" t="s">
        <v>836</v>
      </c>
      <c r="B14" s="99">
        <v>368947657</v>
      </c>
      <c r="C14" s="106">
        <v>98.04</v>
      </c>
      <c r="D14" s="101">
        <v>262482038.2</v>
      </c>
      <c r="E14" s="102">
        <f t="shared" si="0"/>
        <v>71.14343544943557</v>
      </c>
      <c r="F14" s="101">
        <f>D14-'[19]augusts'!D14</f>
        <v>30188842.859999985</v>
      </c>
      <c r="H14" s="66" t="s">
        <v>836</v>
      </c>
      <c r="I14" s="103">
        <f t="shared" si="1"/>
        <v>368948</v>
      </c>
      <c r="J14" s="104">
        <f>C14</f>
        <v>98.04</v>
      </c>
      <c r="K14" s="103">
        <f>ROUND(D14/1000,0)</f>
        <v>262482</v>
      </c>
      <c r="L14" s="105">
        <f t="shared" si="2"/>
        <v>71.14343544943557</v>
      </c>
      <c r="M14" s="753">
        <f>K14-'[19]augusts'!K14</f>
        <v>30189</v>
      </c>
      <c r="P14">
        <v>262482</v>
      </c>
      <c r="Q14">
        <v>232293</v>
      </c>
      <c r="R14">
        <f t="shared" si="3"/>
        <v>30189</v>
      </c>
    </row>
    <row r="15" spans="1:18" ht="13.5" customHeight="1">
      <c r="A15" s="60" t="s">
        <v>837</v>
      </c>
      <c r="B15" s="99">
        <v>132843140</v>
      </c>
      <c r="C15" s="106">
        <v>89.41</v>
      </c>
      <c r="D15" s="101">
        <v>85118846.45</v>
      </c>
      <c r="E15" s="102">
        <f t="shared" si="0"/>
        <v>64.07470227668513</v>
      </c>
      <c r="F15" s="101">
        <f>D15-'[19]augusts'!D15</f>
        <v>10136854.189999998</v>
      </c>
      <c r="H15" s="66" t="s">
        <v>837</v>
      </c>
      <c r="I15" s="103">
        <f t="shared" si="1"/>
        <v>132843</v>
      </c>
      <c r="J15" s="104">
        <f>C15</f>
        <v>89.41</v>
      </c>
      <c r="K15" s="103">
        <f>ROUND(D15/1000,0)+1</f>
        <v>85120</v>
      </c>
      <c r="L15" s="105">
        <f t="shared" si="2"/>
        <v>64.07470227668513</v>
      </c>
      <c r="M15" s="753">
        <f>K15-'[19]augusts'!K15</f>
        <v>10139</v>
      </c>
      <c r="P15">
        <v>85120</v>
      </c>
      <c r="Q15">
        <v>74981</v>
      </c>
      <c r="R15">
        <f t="shared" si="3"/>
        <v>10139</v>
      </c>
    </row>
    <row r="16" spans="1:18" ht="13.5" customHeight="1">
      <c r="A16" s="107" t="s">
        <v>838</v>
      </c>
      <c r="B16" s="99">
        <v>11943000</v>
      </c>
      <c r="C16" s="106">
        <v>125.81</v>
      </c>
      <c r="D16" s="101">
        <v>11224092.96</v>
      </c>
      <c r="E16" s="102">
        <f t="shared" si="0"/>
        <v>93.9805154483798</v>
      </c>
      <c r="F16" s="101">
        <f>D16-'[19]augusts'!D16</f>
        <v>1286623.2400000002</v>
      </c>
      <c r="H16" s="108" t="s">
        <v>838</v>
      </c>
      <c r="I16" s="103">
        <f t="shared" si="1"/>
        <v>11943</v>
      </c>
      <c r="J16" s="104">
        <f>C16</f>
        <v>125.81</v>
      </c>
      <c r="K16" s="103">
        <f>ROUND(D16/1000,0)</f>
        <v>11224</v>
      </c>
      <c r="L16" s="105">
        <f t="shared" si="2"/>
        <v>93.9805154483798</v>
      </c>
      <c r="M16" s="753">
        <f>K16-'[19]augusts'!K16</f>
        <v>1287</v>
      </c>
      <c r="P16">
        <v>11224</v>
      </c>
      <c r="Q16">
        <v>9937</v>
      </c>
      <c r="R16">
        <f t="shared" si="3"/>
        <v>1287</v>
      </c>
    </row>
    <row r="17" spans="1:18" ht="13.5" customHeight="1">
      <c r="A17" s="98" t="s">
        <v>694</v>
      </c>
      <c r="B17" s="129">
        <f>B18</f>
        <v>3240000</v>
      </c>
      <c r="C17" s="106">
        <v>115.43</v>
      </c>
      <c r="D17" s="101">
        <f>D18</f>
        <v>3003742.76</v>
      </c>
      <c r="E17" s="102">
        <f t="shared" si="0"/>
        <v>92.7081098765432</v>
      </c>
      <c r="F17" s="101">
        <f>D17-'[19]augusts'!D17</f>
        <v>341970.60999999987</v>
      </c>
      <c r="H17" s="98" t="s">
        <v>694</v>
      </c>
      <c r="I17" s="754">
        <f t="shared" si="1"/>
        <v>3240</v>
      </c>
      <c r="J17" s="755">
        <f>C17</f>
        <v>115.43</v>
      </c>
      <c r="K17" s="754">
        <f>ROUND(D17/1000,0)</f>
        <v>3004</v>
      </c>
      <c r="L17" s="756">
        <f t="shared" si="2"/>
        <v>92.7081098765432</v>
      </c>
      <c r="M17" s="213">
        <f>K17-'[19]augusts'!K17</f>
        <v>342</v>
      </c>
      <c r="P17">
        <v>3004</v>
      </c>
      <c r="Q17">
        <v>2662</v>
      </c>
      <c r="R17">
        <f t="shared" si="3"/>
        <v>342</v>
      </c>
    </row>
    <row r="18" spans="1:18" ht="13.5" customHeight="1">
      <c r="A18" s="107" t="s">
        <v>695</v>
      </c>
      <c r="B18" s="99">
        <v>3240000</v>
      </c>
      <c r="C18" s="106">
        <v>115.43</v>
      </c>
      <c r="D18" s="101">
        <v>3003742.76</v>
      </c>
      <c r="E18" s="102">
        <f t="shared" si="0"/>
        <v>92.7081098765432</v>
      </c>
      <c r="F18" s="101">
        <f>D18-'[19]augusts'!D18</f>
        <v>341970.60999999987</v>
      </c>
      <c r="H18" s="107" t="s">
        <v>695</v>
      </c>
      <c r="I18" s="103">
        <f t="shared" si="1"/>
        <v>3240</v>
      </c>
      <c r="J18" s="104">
        <f>C18</f>
        <v>115.43</v>
      </c>
      <c r="K18" s="103">
        <f>ROUND(D18/1000,0)</f>
        <v>3004</v>
      </c>
      <c r="L18" s="105">
        <f t="shared" si="2"/>
        <v>92.7081098765432</v>
      </c>
      <c r="M18" s="753">
        <f>K18-'[19]augusts'!K18</f>
        <v>342</v>
      </c>
      <c r="P18">
        <v>3004</v>
      </c>
      <c r="Q18">
        <v>2662</v>
      </c>
      <c r="R18">
        <f t="shared" si="3"/>
        <v>342</v>
      </c>
    </row>
    <row r="19" spans="1:18" ht="13.5" customHeight="1">
      <c r="A19" s="98" t="s">
        <v>839</v>
      </c>
      <c r="B19" s="109" t="s">
        <v>650</v>
      </c>
      <c r="C19" s="110"/>
      <c r="D19" s="111">
        <v>3427544.77</v>
      </c>
      <c r="E19" s="102"/>
      <c r="F19" s="101">
        <f>D19-'[19]augusts'!D19</f>
        <v>-203446.33000000007</v>
      </c>
      <c r="H19" s="98" t="s">
        <v>839</v>
      </c>
      <c r="I19" s="112" t="s">
        <v>650</v>
      </c>
      <c r="J19" s="104"/>
      <c r="K19" s="96">
        <f>ROUND(D19/1000,0)</f>
        <v>3428</v>
      </c>
      <c r="L19" s="97"/>
      <c r="M19" s="213">
        <f>K19-'[19]augusts'!K19</f>
        <v>-203</v>
      </c>
      <c r="P19">
        <v>3428</v>
      </c>
      <c r="Q19">
        <v>3631</v>
      </c>
      <c r="R19">
        <f t="shared" si="3"/>
        <v>-203</v>
      </c>
    </row>
    <row r="20" spans="1:18" ht="13.5" customHeight="1">
      <c r="A20" s="107" t="s">
        <v>840</v>
      </c>
      <c r="B20" s="113" t="s">
        <v>650</v>
      </c>
      <c r="C20" s="106"/>
      <c r="D20" s="101">
        <v>-225531.18</v>
      </c>
      <c r="E20" s="102"/>
      <c r="F20" s="101">
        <f>D20-'[19]augusts'!D20</f>
        <v>-40082.94999999998</v>
      </c>
      <c r="H20" s="108" t="s">
        <v>840</v>
      </c>
      <c r="I20" s="114" t="s">
        <v>650</v>
      </c>
      <c r="J20" s="104"/>
      <c r="K20" s="103">
        <f>ROUND(D20/1000,0)</f>
        <v>-226</v>
      </c>
      <c r="L20" s="670"/>
      <c r="M20" s="753">
        <f>K20-'[19]augusts'!K20</f>
        <v>-41</v>
      </c>
      <c r="P20">
        <v>-226</v>
      </c>
      <c r="Q20">
        <v>-185</v>
      </c>
      <c r="R20">
        <f t="shared" si="3"/>
        <v>-41</v>
      </c>
    </row>
    <row r="21" spans="1:18" ht="13.5" customHeight="1">
      <c r="A21" s="98" t="s">
        <v>841</v>
      </c>
      <c r="B21" s="93">
        <f>B22+B23+B24+B25+B26+B27+B31+B32</f>
        <v>63990583</v>
      </c>
      <c r="C21" s="94">
        <v>99.28</v>
      </c>
      <c r="D21" s="93">
        <f>D22+D23+D24+D25+D26+D27+D31+D32</f>
        <v>51797276.11</v>
      </c>
      <c r="E21" s="95">
        <f aca="true" t="shared" si="4" ref="E21:E37">IF(ISERROR(D21/B21)," ",(D21/B21))*100</f>
        <v>80.94515424246096</v>
      </c>
      <c r="F21" s="101">
        <f>D21-'[19]augusts'!D21</f>
        <v>3931242.1499999985</v>
      </c>
      <c r="H21" s="98" t="s">
        <v>841</v>
      </c>
      <c r="I21" s="96">
        <f aca="true" t="shared" si="5" ref="I21:I39">ROUND(B21/1000,0)</f>
        <v>63991</v>
      </c>
      <c r="J21" s="755">
        <f aca="true" t="shared" si="6" ref="J21:J40">C21</f>
        <v>99.28</v>
      </c>
      <c r="K21" s="96">
        <f>K22+K23+K24+K25+K26+K27+K31+K32</f>
        <v>51796</v>
      </c>
      <c r="L21" s="97">
        <f aca="true" t="shared" si="7" ref="L21:L37">E21</f>
        <v>80.94515424246096</v>
      </c>
      <c r="M21" s="213">
        <f>K21-'[19]augusts'!K21</f>
        <v>3929</v>
      </c>
      <c r="P21">
        <v>51796</v>
      </c>
      <c r="Q21">
        <v>47867</v>
      </c>
      <c r="R21">
        <f t="shared" si="3"/>
        <v>3929</v>
      </c>
    </row>
    <row r="22" spans="1:18" ht="13.5" customHeight="1">
      <c r="A22" s="69" t="s">
        <v>842</v>
      </c>
      <c r="B22" s="99">
        <v>1250000</v>
      </c>
      <c r="C22" s="106">
        <v>438.82</v>
      </c>
      <c r="D22" s="101">
        <v>5475637.11</v>
      </c>
      <c r="E22" s="102">
        <f t="shared" si="4"/>
        <v>438.0509688</v>
      </c>
      <c r="F22" s="101">
        <f>D22-'[19]augusts'!D22</f>
        <v>8566.100000000559</v>
      </c>
      <c r="H22" s="67" t="s">
        <v>842</v>
      </c>
      <c r="I22" s="103">
        <f t="shared" si="5"/>
        <v>1250</v>
      </c>
      <c r="J22" s="104">
        <f t="shared" si="6"/>
        <v>438.82</v>
      </c>
      <c r="K22" s="103">
        <f aca="true" t="shared" si="8" ref="K22:K31">ROUND(D22/1000,0)</f>
        <v>5476</v>
      </c>
      <c r="L22" s="105">
        <f t="shared" si="7"/>
        <v>438.0509688</v>
      </c>
      <c r="M22" s="753">
        <f>K22-'[19]augusts'!K22</f>
        <v>9</v>
      </c>
      <c r="P22">
        <v>5476</v>
      </c>
      <c r="Q22">
        <v>5467</v>
      </c>
      <c r="R22">
        <f t="shared" si="3"/>
        <v>9</v>
      </c>
    </row>
    <row r="23" spans="1:18" ht="13.5" customHeight="1">
      <c r="A23" s="116" t="s">
        <v>843</v>
      </c>
      <c r="B23" s="99">
        <v>14528225</v>
      </c>
      <c r="C23" s="106">
        <v>100</v>
      </c>
      <c r="D23" s="101">
        <v>12207220.33</v>
      </c>
      <c r="E23" s="102">
        <f t="shared" si="4"/>
        <v>84.02416902271268</v>
      </c>
      <c r="F23" s="101">
        <f>D23-'[19]augusts'!D23</f>
        <v>454596.8499999996</v>
      </c>
      <c r="H23" s="117" t="s">
        <v>843</v>
      </c>
      <c r="I23" s="103">
        <f t="shared" si="5"/>
        <v>14528</v>
      </c>
      <c r="J23" s="104">
        <f t="shared" si="6"/>
        <v>100</v>
      </c>
      <c r="K23" s="103">
        <f t="shared" si="8"/>
        <v>12207</v>
      </c>
      <c r="L23" s="105">
        <f t="shared" si="7"/>
        <v>84.02416902271268</v>
      </c>
      <c r="M23" s="753">
        <f>K23-'[19]augusts'!K23</f>
        <v>454</v>
      </c>
      <c r="P23">
        <v>12207</v>
      </c>
      <c r="Q23">
        <v>11753</v>
      </c>
      <c r="R23">
        <f t="shared" si="3"/>
        <v>454</v>
      </c>
    </row>
    <row r="24" spans="1:18" ht="25.5">
      <c r="A24" s="69" t="s">
        <v>844</v>
      </c>
      <c r="B24" s="99">
        <v>21059195</v>
      </c>
      <c r="C24" s="106">
        <v>76.74</v>
      </c>
      <c r="D24" s="101">
        <v>13130908.24</v>
      </c>
      <c r="E24" s="102">
        <f t="shared" si="4"/>
        <v>62.35237500768667</v>
      </c>
      <c r="F24" s="101">
        <f>D24-'[19]augusts'!D24</f>
        <v>1516794.0099999998</v>
      </c>
      <c r="H24" s="67" t="s">
        <v>844</v>
      </c>
      <c r="I24" s="103">
        <f t="shared" si="5"/>
        <v>21059</v>
      </c>
      <c r="J24" s="104">
        <f t="shared" si="6"/>
        <v>76.74</v>
      </c>
      <c r="K24" s="103">
        <f t="shared" si="8"/>
        <v>13131</v>
      </c>
      <c r="L24" s="105">
        <f t="shared" si="7"/>
        <v>62.35237500768667</v>
      </c>
      <c r="M24" s="753">
        <f>K24-'[19]augusts'!K24</f>
        <v>1517</v>
      </c>
      <c r="P24">
        <v>13131</v>
      </c>
      <c r="Q24">
        <v>11614</v>
      </c>
      <c r="R24">
        <f t="shared" si="3"/>
        <v>1517</v>
      </c>
    </row>
    <row r="25" spans="1:18" ht="24.75" customHeight="1">
      <c r="A25" s="69" t="s">
        <v>845</v>
      </c>
      <c r="B25" s="99">
        <v>852609</v>
      </c>
      <c r="C25" s="106">
        <v>100</v>
      </c>
      <c r="D25" s="101">
        <v>652884.45</v>
      </c>
      <c r="E25" s="102">
        <f t="shared" si="4"/>
        <v>76.57489540926731</v>
      </c>
      <c r="F25" s="101">
        <f>D25-'[19]augusts'!D25</f>
        <v>52073.609999999986</v>
      </c>
      <c r="H25" s="67" t="s">
        <v>845</v>
      </c>
      <c r="I25" s="103">
        <f t="shared" si="5"/>
        <v>853</v>
      </c>
      <c r="J25" s="104">
        <f t="shared" si="6"/>
        <v>100</v>
      </c>
      <c r="K25" s="103">
        <f t="shared" si="8"/>
        <v>653</v>
      </c>
      <c r="L25" s="105">
        <f t="shared" si="7"/>
        <v>76.57489540926731</v>
      </c>
      <c r="M25" s="753">
        <f>K25-'[19]augusts'!K25</f>
        <v>52</v>
      </c>
      <c r="P25">
        <v>653</v>
      </c>
      <c r="Q25">
        <v>601</v>
      </c>
      <c r="R25">
        <f t="shared" si="3"/>
        <v>52</v>
      </c>
    </row>
    <row r="26" spans="1:18" ht="13.5" customHeight="1">
      <c r="A26" s="69" t="s">
        <v>846</v>
      </c>
      <c r="B26" s="99">
        <v>624000</v>
      </c>
      <c r="C26" s="106">
        <v>90.64</v>
      </c>
      <c r="D26" s="101">
        <v>366990.39</v>
      </c>
      <c r="E26" s="102">
        <f t="shared" si="4"/>
        <v>58.8125625</v>
      </c>
      <c r="F26" s="101">
        <f>D26-'[19]augusts'!D26</f>
        <v>13016.23000000004</v>
      </c>
      <c r="H26" s="67" t="s">
        <v>846</v>
      </c>
      <c r="I26" s="103">
        <f t="shared" si="5"/>
        <v>624</v>
      </c>
      <c r="J26" s="104">
        <f t="shared" si="6"/>
        <v>90.64</v>
      </c>
      <c r="K26" s="103">
        <f t="shared" si="8"/>
        <v>367</v>
      </c>
      <c r="L26" s="105">
        <f t="shared" si="7"/>
        <v>58.8125625</v>
      </c>
      <c r="M26" s="753">
        <f>K26-'[19]augusts'!K26</f>
        <v>13</v>
      </c>
      <c r="P26">
        <v>367</v>
      </c>
      <c r="Q26">
        <v>354</v>
      </c>
      <c r="R26">
        <f t="shared" si="3"/>
        <v>13</v>
      </c>
    </row>
    <row r="27" spans="1:18" ht="13.5" customHeight="1">
      <c r="A27" s="118" t="s">
        <v>847</v>
      </c>
      <c r="B27" s="99">
        <f>3500000</f>
        <v>3500000</v>
      </c>
      <c r="C27" s="106">
        <v>109.9</v>
      </c>
      <c r="D27" s="101">
        <v>2822140.33</v>
      </c>
      <c r="E27" s="102">
        <f t="shared" si="4"/>
        <v>80.63258085714286</v>
      </c>
      <c r="F27" s="101">
        <f>D27-'[19]augusts'!D27</f>
        <v>212938.10999999987</v>
      </c>
      <c r="H27" s="119" t="s">
        <v>847</v>
      </c>
      <c r="I27" s="103">
        <f t="shared" si="5"/>
        <v>3500</v>
      </c>
      <c r="J27" s="104">
        <f t="shared" si="6"/>
        <v>109.9</v>
      </c>
      <c r="K27" s="103">
        <f t="shared" si="8"/>
        <v>2822</v>
      </c>
      <c r="L27" s="105">
        <f t="shared" si="7"/>
        <v>80.63258085714286</v>
      </c>
      <c r="M27" s="753">
        <f>K27-'[19]augusts'!K27</f>
        <v>213</v>
      </c>
      <c r="P27">
        <v>2822</v>
      </c>
      <c r="Q27">
        <v>2609</v>
      </c>
      <c r="R27">
        <f t="shared" si="3"/>
        <v>213</v>
      </c>
    </row>
    <row r="28" spans="1:21" ht="22.5" customHeight="1">
      <c r="A28" s="120" t="s">
        <v>848</v>
      </c>
      <c r="B28" s="99">
        <v>2250000</v>
      </c>
      <c r="C28" s="106">
        <v>100</v>
      </c>
      <c r="D28" s="101">
        <v>1860298.9</v>
      </c>
      <c r="E28" s="102">
        <f t="shared" si="4"/>
        <v>82.67995111111111</v>
      </c>
      <c r="F28" s="101">
        <f>D28-'[19]augusts'!D28</f>
        <v>146401.59999999986</v>
      </c>
      <c r="H28" s="121" t="s">
        <v>848</v>
      </c>
      <c r="I28" s="103">
        <f t="shared" si="5"/>
        <v>2250</v>
      </c>
      <c r="J28" s="104">
        <f t="shared" si="6"/>
        <v>100</v>
      </c>
      <c r="K28" s="103">
        <f t="shared" si="8"/>
        <v>1860</v>
      </c>
      <c r="L28" s="105">
        <f t="shared" si="7"/>
        <v>82.67995111111111</v>
      </c>
      <c r="M28" s="753">
        <f>K28-'[19]augusts'!K28</f>
        <v>146</v>
      </c>
      <c r="P28">
        <v>1860</v>
      </c>
      <c r="Q28">
        <v>1714</v>
      </c>
      <c r="R28">
        <f t="shared" si="3"/>
        <v>146</v>
      </c>
      <c r="U28" s="671"/>
    </row>
    <row r="29" spans="1:18" ht="15" customHeight="1">
      <c r="A29" s="120" t="s">
        <v>696</v>
      </c>
      <c r="B29" s="122">
        <v>1050000</v>
      </c>
      <c r="C29" s="106">
        <v>100</v>
      </c>
      <c r="D29" s="101">
        <v>420555.13</v>
      </c>
      <c r="E29" s="102">
        <f t="shared" si="4"/>
        <v>40.05286952380953</v>
      </c>
      <c r="F29" s="101">
        <f>D29-'[19]augusts'!D29</f>
        <v>20000</v>
      </c>
      <c r="H29" s="121" t="s">
        <v>697</v>
      </c>
      <c r="I29" s="103">
        <f t="shared" si="5"/>
        <v>1050</v>
      </c>
      <c r="J29" s="104">
        <f t="shared" si="6"/>
        <v>100</v>
      </c>
      <c r="K29" s="103">
        <f t="shared" si="8"/>
        <v>421</v>
      </c>
      <c r="L29" s="105">
        <f t="shared" si="7"/>
        <v>40.05286952380953</v>
      </c>
      <c r="M29" s="753">
        <f>K29-'[19]augusts'!K29</f>
        <v>20</v>
      </c>
      <c r="P29">
        <v>421</v>
      </c>
      <c r="Q29">
        <v>401</v>
      </c>
      <c r="R29">
        <f t="shared" si="3"/>
        <v>20</v>
      </c>
    </row>
    <row r="30" spans="1:18" ht="15.75" customHeight="1">
      <c r="A30" s="120" t="s">
        <v>698</v>
      </c>
      <c r="B30" s="122">
        <v>200000</v>
      </c>
      <c r="C30" s="106">
        <v>102.5</v>
      </c>
      <c r="D30" s="101">
        <v>194650</v>
      </c>
      <c r="E30" s="102">
        <f t="shared" si="4"/>
        <v>97.32499999999999</v>
      </c>
      <c r="F30" s="101">
        <f>D30-'[19]augusts'!D30</f>
        <v>9435</v>
      </c>
      <c r="H30" s="121" t="s">
        <v>849</v>
      </c>
      <c r="I30" s="103">
        <f t="shared" si="5"/>
        <v>200</v>
      </c>
      <c r="J30" s="104">
        <f t="shared" si="6"/>
        <v>102.5</v>
      </c>
      <c r="K30" s="103">
        <f t="shared" si="8"/>
        <v>195</v>
      </c>
      <c r="L30" s="105">
        <f t="shared" si="7"/>
        <v>97.32499999999999</v>
      </c>
      <c r="M30" s="753">
        <f>K30-'[19]augusts'!K30</f>
        <v>10</v>
      </c>
      <c r="P30">
        <v>195</v>
      </c>
      <c r="Q30">
        <v>185</v>
      </c>
      <c r="R30">
        <f t="shared" si="3"/>
        <v>10</v>
      </c>
    </row>
    <row r="31" spans="1:18" ht="13.5" customHeight="1">
      <c r="A31" s="60" t="s">
        <v>850</v>
      </c>
      <c r="B31" s="99">
        <v>8594225</v>
      </c>
      <c r="C31" s="106">
        <v>87.47</v>
      </c>
      <c r="D31" s="101">
        <v>5459026.72</v>
      </c>
      <c r="E31" s="102">
        <f t="shared" si="4"/>
        <v>63.51970910698754</v>
      </c>
      <c r="F31" s="101">
        <f>D31-'[19]augusts'!D31</f>
        <v>488774.0800000001</v>
      </c>
      <c r="H31" s="66" t="s">
        <v>850</v>
      </c>
      <c r="I31" s="103">
        <f t="shared" si="5"/>
        <v>8594</v>
      </c>
      <c r="J31" s="104">
        <f t="shared" si="6"/>
        <v>87.47</v>
      </c>
      <c r="K31" s="103">
        <f t="shared" si="8"/>
        <v>5459</v>
      </c>
      <c r="L31" s="105">
        <f t="shared" si="7"/>
        <v>63.51970910698754</v>
      </c>
      <c r="M31" s="753">
        <f>K31-'[19]augusts'!K31</f>
        <v>489</v>
      </c>
      <c r="P31">
        <v>5459</v>
      </c>
      <c r="Q31">
        <v>4970</v>
      </c>
      <c r="R31">
        <f t="shared" si="3"/>
        <v>489</v>
      </c>
    </row>
    <row r="32" spans="1:18" ht="13.5" customHeight="1">
      <c r="A32" s="60" t="s">
        <v>851</v>
      </c>
      <c r="B32" s="99">
        <v>13582329</v>
      </c>
      <c r="C32" s="106">
        <v>107.28</v>
      </c>
      <c r="D32" s="101">
        <v>11682468.54</v>
      </c>
      <c r="E32" s="102">
        <f t="shared" si="4"/>
        <v>86.01226299259869</v>
      </c>
      <c r="F32" s="101">
        <f>D32-'[19]augusts'!D32</f>
        <v>1184483.1599999983</v>
      </c>
      <c r="H32" s="66" t="s">
        <v>851</v>
      </c>
      <c r="I32" s="103">
        <f t="shared" si="5"/>
        <v>13582</v>
      </c>
      <c r="J32" s="104">
        <f t="shared" si="6"/>
        <v>107.28</v>
      </c>
      <c r="K32" s="103">
        <f>ROUND(D32/1000,0)-1</f>
        <v>11681</v>
      </c>
      <c r="L32" s="105">
        <f t="shared" si="7"/>
        <v>86.01226299259869</v>
      </c>
      <c r="M32" s="753">
        <f>K32-'[19]augusts'!K32</f>
        <v>1182</v>
      </c>
      <c r="P32">
        <v>11681</v>
      </c>
      <c r="Q32">
        <v>10499</v>
      </c>
      <c r="R32">
        <f t="shared" si="3"/>
        <v>1182</v>
      </c>
    </row>
    <row r="33" spans="1:18" ht="27.75" customHeight="1">
      <c r="A33" s="123" t="s">
        <v>699</v>
      </c>
      <c r="B33" s="99">
        <v>1201200</v>
      </c>
      <c r="C33" s="106">
        <v>100</v>
      </c>
      <c r="D33" s="101">
        <v>900900</v>
      </c>
      <c r="E33" s="102">
        <f t="shared" si="4"/>
        <v>75</v>
      </c>
      <c r="F33" s="101">
        <f>D33-'[19]augusts'!D33</f>
        <v>100100</v>
      </c>
      <c r="H33" s="124" t="s">
        <v>852</v>
      </c>
      <c r="I33" s="103">
        <f t="shared" si="5"/>
        <v>1201</v>
      </c>
      <c r="J33" s="104">
        <f t="shared" si="6"/>
        <v>100</v>
      </c>
      <c r="K33" s="103">
        <f>ROUND(D33/1000,0)</f>
        <v>901</v>
      </c>
      <c r="L33" s="105">
        <f t="shared" si="7"/>
        <v>75</v>
      </c>
      <c r="M33" s="753">
        <f>K33-'[19]augusts'!K33</f>
        <v>100</v>
      </c>
      <c r="P33">
        <v>901</v>
      </c>
      <c r="Q33">
        <v>801</v>
      </c>
      <c r="R33">
        <f t="shared" si="3"/>
        <v>100</v>
      </c>
    </row>
    <row r="34" spans="1:18" ht="12.75">
      <c r="A34" s="125" t="s">
        <v>700</v>
      </c>
      <c r="B34" s="99">
        <v>8136610</v>
      </c>
      <c r="C34" s="106">
        <v>100</v>
      </c>
      <c r="D34" s="101">
        <v>6102000</v>
      </c>
      <c r="E34" s="102">
        <f t="shared" si="4"/>
        <v>74.99437726522471</v>
      </c>
      <c r="F34" s="101">
        <f>D34-'[19]augusts'!D34</f>
        <v>1356000</v>
      </c>
      <c r="H34" s="126" t="s">
        <v>853</v>
      </c>
      <c r="I34" s="103">
        <f t="shared" si="5"/>
        <v>8137</v>
      </c>
      <c r="J34" s="104">
        <f t="shared" si="6"/>
        <v>100</v>
      </c>
      <c r="K34" s="103">
        <f>ROUND(D34/1000,0)</f>
        <v>6102</v>
      </c>
      <c r="L34" s="105">
        <f t="shared" si="7"/>
        <v>74.99437726522471</v>
      </c>
      <c r="M34" s="753">
        <f>K34-'[19]augusts'!K34</f>
        <v>1356</v>
      </c>
      <c r="P34">
        <v>6102</v>
      </c>
      <c r="Q34">
        <v>4746</v>
      </c>
      <c r="R34">
        <f t="shared" si="3"/>
        <v>1356</v>
      </c>
    </row>
    <row r="35" spans="1:18" ht="12.75">
      <c r="A35" s="125" t="s">
        <v>701</v>
      </c>
      <c r="B35" s="99">
        <v>239519</v>
      </c>
      <c r="C35" s="106">
        <v>100</v>
      </c>
      <c r="D35" s="101">
        <v>161179</v>
      </c>
      <c r="E35" s="102">
        <f t="shared" si="4"/>
        <v>67.29278261849791</v>
      </c>
      <c r="F35" s="101">
        <f>D35-'[19]augusts'!D35</f>
        <v>22535</v>
      </c>
      <c r="H35" s="126" t="s">
        <v>854</v>
      </c>
      <c r="I35" s="103">
        <f t="shared" si="5"/>
        <v>240</v>
      </c>
      <c r="J35" s="104">
        <f t="shared" si="6"/>
        <v>100</v>
      </c>
      <c r="K35" s="103">
        <f>ROUND(D35/1000,0)</f>
        <v>161</v>
      </c>
      <c r="L35" s="105">
        <f t="shared" si="7"/>
        <v>67.29278261849791</v>
      </c>
      <c r="M35" s="753">
        <f>K35-'[19]augusts'!K35</f>
        <v>22</v>
      </c>
      <c r="P35">
        <v>161</v>
      </c>
      <c r="Q35">
        <v>139</v>
      </c>
      <c r="R35">
        <f t="shared" si="3"/>
        <v>22</v>
      </c>
    </row>
    <row r="36" spans="1:18" ht="27.75" customHeight="1">
      <c r="A36" s="120" t="s">
        <v>702</v>
      </c>
      <c r="B36" s="99">
        <v>100000</v>
      </c>
      <c r="C36" s="106">
        <v>100</v>
      </c>
      <c r="D36" s="101">
        <v>100000</v>
      </c>
      <c r="E36" s="102">
        <f t="shared" si="4"/>
        <v>100</v>
      </c>
      <c r="F36" s="101">
        <f>D36-'[19]augusts'!D36</f>
        <v>0</v>
      </c>
      <c r="H36" s="121" t="s">
        <v>855</v>
      </c>
      <c r="I36" s="103">
        <f t="shared" si="5"/>
        <v>100</v>
      </c>
      <c r="J36" s="104">
        <f t="shared" si="6"/>
        <v>100</v>
      </c>
      <c r="K36" s="103">
        <f>ROUND(D36/1000,0)</f>
        <v>100</v>
      </c>
      <c r="L36" s="105">
        <f t="shared" si="7"/>
        <v>100</v>
      </c>
      <c r="M36" s="753">
        <f>K36-'[19]augusts'!K36</f>
        <v>0</v>
      </c>
      <c r="P36">
        <v>100</v>
      </c>
      <c r="Q36">
        <v>100</v>
      </c>
      <c r="R36">
        <f t="shared" si="3"/>
        <v>0</v>
      </c>
    </row>
    <row r="37" spans="1:18" ht="23.25" customHeight="1">
      <c r="A37" s="116" t="s">
        <v>703</v>
      </c>
      <c r="B37" s="127">
        <v>180000</v>
      </c>
      <c r="C37" s="106">
        <v>100</v>
      </c>
      <c r="D37" s="101">
        <v>90000</v>
      </c>
      <c r="E37" s="102">
        <f t="shared" si="4"/>
        <v>50</v>
      </c>
      <c r="F37" s="101">
        <f>D37-'[19]augusts'!D37</f>
        <v>90000</v>
      </c>
      <c r="H37" s="116" t="s">
        <v>703</v>
      </c>
      <c r="I37" s="103">
        <f t="shared" si="5"/>
        <v>180</v>
      </c>
      <c r="J37" s="104">
        <f t="shared" si="6"/>
        <v>100</v>
      </c>
      <c r="K37" s="103">
        <f>ROUND(D37/1000,0)</f>
        <v>90</v>
      </c>
      <c r="L37" s="105">
        <f t="shared" si="7"/>
        <v>50</v>
      </c>
      <c r="M37" s="753">
        <f>K37-'[19]augusts'!K37</f>
        <v>90</v>
      </c>
      <c r="P37">
        <v>90</v>
      </c>
      <c r="R37">
        <f t="shared" si="3"/>
        <v>90</v>
      </c>
    </row>
    <row r="38" spans="1:18" ht="12.75">
      <c r="A38" s="128" t="s">
        <v>856</v>
      </c>
      <c r="B38" s="129">
        <v>65026004</v>
      </c>
      <c r="C38" s="130">
        <v>100</v>
      </c>
      <c r="D38" s="129">
        <f>D39</f>
        <v>45829606.29</v>
      </c>
      <c r="E38" s="95">
        <f>IF(ISERROR(D38/B38)," ",(D38/B38))*100</f>
        <v>70.47889070655488</v>
      </c>
      <c r="F38" s="101">
        <f>D38-'[19]augusts'!D38</f>
        <v>5940089.530000001</v>
      </c>
      <c r="H38" s="128" t="s">
        <v>856</v>
      </c>
      <c r="I38" s="96">
        <f t="shared" si="5"/>
        <v>65026</v>
      </c>
      <c r="J38" s="821">
        <f t="shared" si="6"/>
        <v>100</v>
      </c>
      <c r="K38" s="115">
        <f>K39</f>
        <v>45830</v>
      </c>
      <c r="L38" s="97">
        <f>E38</f>
        <v>70.47889070655488</v>
      </c>
      <c r="M38" s="213">
        <f>K38-'[19]augusts'!K38</f>
        <v>5940</v>
      </c>
      <c r="P38">
        <v>45830</v>
      </c>
      <c r="Q38">
        <v>39890</v>
      </c>
      <c r="R38">
        <f t="shared" si="3"/>
        <v>5940</v>
      </c>
    </row>
    <row r="39" spans="1:18" ht="25.5">
      <c r="A39" s="131" t="s">
        <v>857</v>
      </c>
      <c r="B39" s="99">
        <v>65026004</v>
      </c>
      <c r="C39" s="106">
        <v>100</v>
      </c>
      <c r="D39" s="101">
        <v>45829606.29</v>
      </c>
      <c r="E39" s="102">
        <f>IF(ISERROR(D39/B39)," ",(D39/B39))*100</f>
        <v>70.47889070655488</v>
      </c>
      <c r="F39" s="101">
        <f>D39-'[19]augusts'!D39</f>
        <v>5940089.530000001</v>
      </c>
      <c r="H39" s="132" t="s">
        <v>857</v>
      </c>
      <c r="I39" s="103">
        <f t="shared" si="5"/>
        <v>65026</v>
      </c>
      <c r="J39" s="104">
        <f t="shared" si="6"/>
        <v>100</v>
      </c>
      <c r="K39" s="103">
        <f>ROUND(D39/1000,0)</f>
        <v>45830</v>
      </c>
      <c r="L39" s="105">
        <f>E39</f>
        <v>70.47889070655488</v>
      </c>
      <c r="M39" s="753">
        <f>K39-'[19]augusts'!K39</f>
        <v>5940</v>
      </c>
      <c r="P39">
        <v>45830</v>
      </c>
      <c r="Q39">
        <v>39890</v>
      </c>
      <c r="R39">
        <f t="shared" si="3"/>
        <v>5940</v>
      </c>
    </row>
    <row r="40" spans="1:18" ht="12.75">
      <c r="A40" s="128" t="s">
        <v>858</v>
      </c>
      <c r="B40" s="129">
        <v>51309574</v>
      </c>
      <c r="C40" s="130">
        <v>50.74</v>
      </c>
      <c r="D40" s="111">
        <v>17069414.62</v>
      </c>
      <c r="E40" s="95">
        <f>IF(ISERROR(D40/B40)," ",(D40/B40))*100</f>
        <v>33.26750407243686</v>
      </c>
      <c r="F40" s="101">
        <f>D40-'[19]augusts'!D40</f>
        <v>9246.730000000447</v>
      </c>
      <c r="H40" s="128" t="s">
        <v>858</v>
      </c>
      <c r="I40" s="96">
        <f>ROUND(B40/1000,0)-1</f>
        <v>51309</v>
      </c>
      <c r="J40" s="821">
        <f t="shared" si="6"/>
        <v>50.74</v>
      </c>
      <c r="K40" s="96">
        <f>ROUND(D40/1000,0)</f>
        <v>17069</v>
      </c>
      <c r="L40" s="97">
        <f>E40</f>
        <v>33.26750407243686</v>
      </c>
      <c r="M40" s="213">
        <f>K40-'[19]augusts'!K40</f>
        <v>9</v>
      </c>
      <c r="P40">
        <v>17069</v>
      </c>
      <c r="Q40">
        <v>17060</v>
      </c>
      <c r="R40">
        <f t="shared" si="3"/>
        <v>9</v>
      </c>
    </row>
    <row r="41" spans="1:13" ht="17.25" customHeight="1">
      <c r="A41" s="133"/>
      <c r="B41" s="134"/>
      <c r="C41" s="135"/>
      <c r="D41" s="135"/>
      <c r="E41" s="135"/>
      <c r="F41" s="136"/>
      <c r="H41" s="133"/>
      <c r="I41" s="134"/>
      <c r="J41" s="135"/>
      <c r="K41" s="135"/>
      <c r="L41" s="135"/>
      <c r="M41" s="135"/>
    </row>
    <row r="42" spans="1:13" ht="17.25" customHeight="1">
      <c r="A42" s="137"/>
      <c r="B42" s="138"/>
      <c r="C42" s="135"/>
      <c r="D42" s="135"/>
      <c r="E42" s="135"/>
      <c r="F42" s="135"/>
      <c r="H42" s="137"/>
      <c r="I42" s="138"/>
      <c r="J42" s="135"/>
      <c r="K42" s="135"/>
      <c r="L42" s="135"/>
      <c r="M42" s="135"/>
    </row>
    <row r="43" spans="1:12" ht="15" customHeight="1">
      <c r="A43" s="41" t="s">
        <v>704</v>
      </c>
      <c r="B43" s="39"/>
      <c r="C43" s="39"/>
      <c r="D43" s="39" t="s">
        <v>705</v>
      </c>
      <c r="E43" s="1"/>
      <c r="H43" s="139" t="s">
        <v>447</v>
      </c>
      <c r="I43" s="6"/>
      <c r="J43" s="6"/>
      <c r="L43" s="6" t="s">
        <v>859</v>
      </c>
    </row>
    <row r="45" spans="8:12" ht="14.25" customHeight="1">
      <c r="H45" s="1" t="s">
        <v>860</v>
      </c>
      <c r="I45" s="39"/>
      <c r="J45" s="39"/>
      <c r="K45" s="39"/>
      <c r="L45" s="1"/>
    </row>
    <row r="46" ht="15" customHeight="1">
      <c r="H46" s="1" t="s">
        <v>116</v>
      </c>
    </row>
    <row r="47" ht="12.75" customHeight="1"/>
    <row r="48" ht="15.75" customHeight="1"/>
    <row r="49" ht="15" customHeight="1"/>
    <row r="52" ht="17.25" customHeight="1">
      <c r="H52" s="1"/>
    </row>
    <row r="53" ht="17.25" customHeight="1">
      <c r="H53" s="1"/>
    </row>
    <row r="55" ht="15.75" customHeight="1"/>
    <row r="56" ht="15.75" customHeight="1"/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27" top="1" bottom="1" header="0.5" footer="0.5"/>
  <pageSetup firstPageNumber="7" useFirstPageNumber="1" horizontalDpi="600" verticalDpi="600" orientation="portrait" paperSize="9" scale="93" r:id="rId1"/>
  <headerFooter alignWithMargins="0">
    <oddFooter>&amp;R&amp;9&amp;P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Q39"/>
  <sheetViews>
    <sheetView workbookViewId="0" topLeftCell="F3">
      <selection activeCell="F6" sqref="F6"/>
    </sheetView>
  </sheetViews>
  <sheetFormatPr defaultColWidth="9.140625" defaultRowHeight="17.25" customHeight="1"/>
  <cols>
    <col min="1" max="1" width="34.28125" style="0" hidden="1" customWidth="1"/>
    <col min="2" max="3" width="12.71093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  <col min="148" max="16384" width="9.140625" style="49" customWidth="1"/>
  </cols>
  <sheetData>
    <row r="1" spans="1:10" ht="12.75">
      <c r="A1" s="49"/>
      <c r="B1" s="50"/>
      <c r="C1" s="49"/>
      <c r="E1" s="275"/>
      <c r="F1" s="49"/>
      <c r="G1" s="50"/>
      <c r="H1" s="49"/>
      <c r="J1" s="275" t="s">
        <v>585</v>
      </c>
    </row>
    <row r="2" spans="1:10" ht="12.75">
      <c r="A2" s="49"/>
      <c r="B2" s="50"/>
      <c r="C2" s="49"/>
      <c r="E2" s="275"/>
      <c r="F2" s="49"/>
      <c r="G2" s="50"/>
      <c r="H2" s="49"/>
      <c r="J2" s="275"/>
    </row>
    <row r="3" spans="1:10" ht="12.75">
      <c r="A3" s="846" t="s">
        <v>826</v>
      </c>
      <c r="B3" s="846"/>
      <c r="C3" s="846"/>
      <c r="D3" s="846"/>
      <c r="E3" s="846"/>
      <c r="F3" s="846" t="s">
        <v>826</v>
      </c>
      <c r="G3" s="846"/>
      <c r="H3" s="846"/>
      <c r="I3" s="846"/>
      <c r="J3" s="846"/>
    </row>
    <row r="4" spans="1:10" ht="12.75">
      <c r="A4" s="49"/>
      <c r="B4" s="50"/>
      <c r="C4" s="49"/>
      <c r="E4" s="275"/>
      <c r="F4" s="49"/>
      <c r="G4" s="50"/>
      <c r="H4" s="49"/>
      <c r="J4" s="275"/>
    </row>
    <row r="5" spans="1:10" ht="45" customHeight="1">
      <c r="A5" s="901" t="s">
        <v>586</v>
      </c>
      <c r="B5" s="901"/>
      <c r="C5" s="901"/>
      <c r="D5" s="901"/>
      <c r="E5" s="901"/>
      <c r="F5" s="901" t="s">
        <v>144</v>
      </c>
      <c r="G5" s="901"/>
      <c r="H5" s="901"/>
      <c r="I5" s="901"/>
      <c r="J5" s="901"/>
    </row>
    <row r="6" spans="1:10" ht="17.25" customHeight="1">
      <c r="A6" s="53"/>
      <c r="B6" s="52"/>
      <c r="C6" s="51"/>
      <c r="D6" s="38"/>
      <c r="E6" s="2" t="s">
        <v>210</v>
      </c>
      <c r="F6" s="53"/>
      <c r="G6" s="52"/>
      <c r="H6" s="51"/>
      <c r="I6" s="38"/>
      <c r="J6" s="2" t="s">
        <v>749</v>
      </c>
    </row>
    <row r="7" spans="1:10" ht="50.25" customHeight="1">
      <c r="A7" s="9" t="s">
        <v>644</v>
      </c>
      <c r="B7" s="54" t="s">
        <v>750</v>
      </c>
      <c r="C7" s="9" t="s">
        <v>751</v>
      </c>
      <c r="D7" s="9" t="s">
        <v>587</v>
      </c>
      <c r="E7" s="9" t="s">
        <v>946</v>
      </c>
      <c r="F7" s="9" t="s">
        <v>644</v>
      </c>
      <c r="G7" s="54" t="s">
        <v>750</v>
      </c>
      <c r="H7" s="9" t="s">
        <v>751</v>
      </c>
      <c r="I7" s="9" t="s">
        <v>587</v>
      </c>
      <c r="J7" s="9" t="s">
        <v>133</v>
      </c>
    </row>
    <row r="8" spans="1:10" ht="12.75">
      <c r="A8" s="9">
        <v>1</v>
      </c>
      <c r="B8" s="54">
        <v>2</v>
      </c>
      <c r="C8" s="54">
        <v>4</v>
      </c>
      <c r="D8" s="54">
        <v>5</v>
      </c>
      <c r="E8" s="54">
        <v>7</v>
      </c>
      <c r="F8" s="9">
        <v>1</v>
      </c>
      <c r="G8" s="54">
        <v>2</v>
      </c>
      <c r="H8" s="54">
        <v>4</v>
      </c>
      <c r="I8" s="54">
        <v>5</v>
      </c>
      <c r="J8" s="54">
        <v>7</v>
      </c>
    </row>
    <row r="9" spans="1:147" s="656" customFormat="1" ht="15.75">
      <c r="A9" s="655" t="s">
        <v>588</v>
      </c>
      <c r="B9" s="656">
        <f>B10+B11+B14+B19+B21+B23+B30</f>
        <v>55211790</v>
      </c>
      <c r="C9" s="656">
        <f>C10+C11+C14+C19+C21+C23+C30</f>
        <v>39963158</v>
      </c>
      <c r="D9" s="657">
        <f aca="true" t="shared" si="0" ref="D9:D30">C9/B9*100</f>
        <v>72.3815656040132</v>
      </c>
      <c r="E9" s="656">
        <f>C9-'[26]Augusts'!C9</f>
        <v>4315642</v>
      </c>
      <c r="F9" s="656" t="s">
        <v>588</v>
      </c>
      <c r="G9" s="656">
        <f>G10+G11+G14+G19+G21+G23+G30</f>
        <v>55212</v>
      </c>
      <c r="H9" s="656">
        <f>H10+H11+H14+H19+H21+H23+H30</f>
        <v>39963</v>
      </c>
      <c r="I9" s="657">
        <f aca="true" t="shared" si="1" ref="I9:I30">H9/G9*100</f>
        <v>72.38100412953705</v>
      </c>
      <c r="J9" s="656">
        <f>H9-'[26]Augusts'!H9</f>
        <v>4316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2.75">
      <c r="A10" s="32" t="s">
        <v>887</v>
      </c>
      <c r="B10" s="57">
        <v>48424727</v>
      </c>
      <c r="C10" s="57">
        <v>34399084</v>
      </c>
      <c r="D10" s="195">
        <f t="shared" si="0"/>
        <v>71.0361960326591</v>
      </c>
      <c r="E10" s="57">
        <f>C10-'[26]Augusts'!C10</f>
        <v>3434254</v>
      </c>
      <c r="F10" s="32" t="s">
        <v>887</v>
      </c>
      <c r="G10" s="57">
        <f>ROUND(B10/1000,0)</f>
        <v>48425</v>
      </c>
      <c r="H10" s="57">
        <f>ROUND(C10/1000,0)</f>
        <v>34399</v>
      </c>
      <c r="I10" s="195">
        <f t="shared" si="1"/>
        <v>71.03562209602478</v>
      </c>
      <c r="J10" s="57">
        <f>H10-'[26]Augusts'!H10</f>
        <v>3434</v>
      </c>
    </row>
    <row r="11" spans="1:10" ht="12.75">
      <c r="A11" s="32" t="s">
        <v>589</v>
      </c>
      <c r="B11" s="57">
        <f>SUM(B12:B13)</f>
        <v>223133</v>
      </c>
      <c r="C11" s="57">
        <f>SUM(C12:C13)</f>
        <v>239011</v>
      </c>
      <c r="D11" s="195">
        <f t="shared" si="0"/>
        <v>107.11593533901305</v>
      </c>
      <c r="E11" s="57">
        <f>C11-'[26]Augusts'!C11</f>
        <v>26935</v>
      </c>
      <c r="F11" s="32" t="s">
        <v>589</v>
      </c>
      <c r="G11" s="57">
        <f>SUM(G12:G13)</f>
        <v>223</v>
      </c>
      <c r="H11" s="57">
        <f>SUM(H12:H13)</f>
        <v>239</v>
      </c>
      <c r="I11" s="195">
        <f t="shared" si="1"/>
        <v>107.17488789237667</v>
      </c>
      <c r="J11" s="57">
        <f>H11-'[26]Augusts'!H11</f>
        <v>27</v>
      </c>
    </row>
    <row r="12" spans="1:147" s="1" customFormat="1" ht="12.75">
      <c r="A12" s="66" t="s">
        <v>590</v>
      </c>
      <c r="B12" s="63">
        <v>61755</v>
      </c>
      <c r="C12" s="63">
        <v>44125</v>
      </c>
      <c r="D12" s="184">
        <f t="shared" si="0"/>
        <v>71.45170431544004</v>
      </c>
      <c r="E12" s="63">
        <f>C12-'[26]Augusts'!C12</f>
        <v>6005</v>
      </c>
      <c r="F12" s="66" t="s">
        <v>590</v>
      </c>
      <c r="G12" s="63">
        <f>ROUND(B12/1000,0)</f>
        <v>62</v>
      </c>
      <c r="H12" s="63">
        <f>ROUND(C12/1000,0)</f>
        <v>44</v>
      </c>
      <c r="I12" s="184">
        <f t="shared" si="1"/>
        <v>70.96774193548387</v>
      </c>
      <c r="J12" s="63">
        <f>H12-'[26]Augusts'!H12</f>
        <v>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1" customFormat="1" ht="12.75">
      <c r="A13" s="66" t="s">
        <v>591</v>
      </c>
      <c r="B13" s="63">
        <v>161378</v>
      </c>
      <c r="C13" s="63">
        <v>194886</v>
      </c>
      <c r="D13" s="184">
        <f t="shared" si="0"/>
        <v>120.76367286742926</v>
      </c>
      <c r="E13" s="63">
        <f>C13-'[26]Augusts'!C13</f>
        <v>20930</v>
      </c>
      <c r="F13" s="66" t="s">
        <v>591</v>
      </c>
      <c r="G13" s="63">
        <f>ROUND(B13/1000,0)</f>
        <v>161</v>
      </c>
      <c r="H13" s="63">
        <f>ROUND(C13/1000,0)</f>
        <v>195</v>
      </c>
      <c r="I13" s="184">
        <f t="shared" si="1"/>
        <v>121.11801242236024</v>
      </c>
      <c r="J13" s="63">
        <f>H13-'[26]Augusts'!H13</f>
        <v>21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7.25" customHeight="1">
      <c r="A14" s="32" t="s">
        <v>889</v>
      </c>
      <c r="B14" s="57">
        <f>SUM(B15:B18)</f>
        <v>1105085</v>
      </c>
      <c r="C14" s="57">
        <f>SUM(C15:C18)</f>
        <v>797329</v>
      </c>
      <c r="D14" s="195">
        <f t="shared" si="0"/>
        <v>72.15092051742627</v>
      </c>
      <c r="E14" s="57">
        <f>C14-'[26]Augusts'!C14</f>
        <v>217095</v>
      </c>
      <c r="F14" s="32" t="s">
        <v>889</v>
      </c>
      <c r="G14" s="57">
        <f>SUM(G15:G18)</f>
        <v>1105</v>
      </c>
      <c r="H14" s="57">
        <f>SUM(H15:H18)</f>
        <v>797</v>
      </c>
      <c r="I14" s="195">
        <f t="shared" si="1"/>
        <v>72.12669683257919</v>
      </c>
      <c r="J14" s="57">
        <f>H14-'[26]Augusts'!H14</f>
        <v>217</v>
      </c>
    </row>
    <row r="15" spans="1:147" s="1" customFormat="1" ht="24">
      <c r="A15" s="67" t="s">
        <v>592</v>
      </c>
      <c r="B15" s="63">
        <v>167030</v>
      </c>
      <c r="C15" s="63">
        <v>113030</v>
      </c>
      <c r="D15" s="184">
        <f t="shared" si="0"/>
        <v>67.67047835718134</v>
      </c>
      <c r="E15" s="63">
        <f>C15-'[26]Augusts'!C15</f>
        <v>23384</v>
      </c>
      <c r="F15" s="67" t="s">
        <v>592</v>
      </c>
      <c r="G15" s="63">
        <f aca="true" t="shared" si="2" ref="G15:H18">ROUND(B15/1000,0)</f>
        <v>167</v>
      </c>
      <c r="H15" s="63">
        <f>ROUND(C15/1000,0)</f>
        <v>113</v>
      </c>
      <c r="I15" s="184">
        <f t="shared" si="1"/>
        <v>67.66467065868264</v>
      </c>
      <c r="J15" s="63">
        <f>H15-'[26]Augusts'!H15</f>
        <v>24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1" customFormat="1" ht="24">
      <c r="A16" s="67" t="s">
        <v>593</v>
      </c>
      <c r="B16" s="63">
        <v>265000</v>
      </c>
      <c r="C16" s="63">
        <v>46299</v>
      </c>
      <c r="D16" s="184">
        <f t="shared" si="0"/>
        <v>17.47132075471698</v>
      </c>
      <c r="E16" s="63">
        <f>C16-'[26]Augusts'!C16</f>
        <v>5442</v>
      </c>
      <c r="F16" s="67" t="s">
        <v>593</v>
      </c>
      <c r="G16" s="63">
        <f t="shared" si="2"/>
        <v>265</v>
      </c>
      <c r="H16" s="182">
        <f t="shared" si="2"/>
        <v>46</v>
      </c>
      <c r="I16" s="184">
        <f t="shared" si="1"/>
        <v>17.358490566037734</v>
      </c>
      <c r="J16" s="182">
        <f>H16-'[26]Augusts'!H16</f>
        <v>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s="1" customFormat="1" ht="12.75">
      <c r="A17" s="66" t="s">
        <v>594</v>
      </c>
      <c r="B17" s="63">
        <v>530000</v>
      </c>
      <c r="C17" s="63">
        <v>530000</v>
      </c>
      <c r="D17" s="184">
        <f t="shared" si="0"/>
        <v>100</v>
      </c>
      <c r="E17" s="63">
        <f>C17-'[26]Augusts'!C17</f>
        <v>176269</v>
      </c>
      <c r="F17" s="66" t="s">
        <v>594</v>
      </c>
      <c r="G17" s="63">
        <f t="shared" si="2"/>
        <v>530</v>
      </c>
      <c r="H17" s="63">
        <f t="shared" si="2"/>
        <v>530</v>
      </c>
      <c r="I17" s="184">
        <f t="shared" si="1"/>
        <v>100</v>
      </c>
      <c r="J17" s="63">
        <f>H17-'[26]Augusts'!H17</f>
        <v>176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s="1" customFormat="1" ht="24">
      <c r="A18" s="67" t="s">
        <v>595</v>
      </c>
      <c r="B18" s="63">
        <v>143055</v>
      </c>
      <c r="C18" s="63">
        <v>108000</v>
      </c>
      <c r="D18" s="184">
        <f t="shared" si="0"/>
        <v>75.49543881723812</v>
      </c>
      <c r="E18" s="63">
        <f>C18-'[26]Augusts'!C18</f>
        <v>12000</v>
      </c>
      <c r="F18" s="67" t="s">
        <v>595</v>
      </c>
      <c r="G18" s="63">
        <f t="shared" si="2"/>
        <v>143</v>
      </c>
      <c r="H18" s="63">
        <f t="shared" si="2"/>
        <v>108</v>
      </c>
      <c r="I18" s="184">
        <f t="shared" si="1"/>
        <v>75.52447552447552</v>
      </c>
      <c r="J18" s="63">
        <f>H18-'[26]Augusts'!H18</f>
        <v>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2.75">
      <c r="A19" s="32" t="s">
        <v>911</v>
      </c>
      <c r="B19" s="57">
        <f>SUM(B20)</f>
        <v>347522</v>
      </c>
      <c r="C19" s="57">
        <f>SUM(C20)</f>
        <v>249460</v>
      </c>
      <c r="D19" s="195">
        <f t="shared" si="0"/>
        <v>71.78250585574439</v>
      </c>
      <c r="E19" s="57">
        <f>C19-'[26]Augusts'!C19</f>
        <v>33258</v>
      </c>
      <c r="F19" s="32" t="s">
        <v>911</v>
      </c>
      <c r="G19" s="57">
        <f>SUM(G20)</f>
        <v>348</v>
      </c>
      <c r="H19" s="177">
        <f>SUM(H20)</f>
        <v>250</v>
      </c>
      <c r="I19" s="195">
        <f t="shared" si="1"/>
        <v>71.83908045977012</v>
      </c>
      <c r="J19" s="177">
        <f>H19-'[26]Augusts'!H19</f>
        <v>34</v>
      </c>
    </row>
    <row r="20" spans="1:147" s="1" customFormat="1" ht="12.75">
      <c r="A20" s="66" t="s">
        <v>596</v>
      </c>
      <c r="B20" s="63">
        <v>347522</v>
      </c>
      <c r="C20" s="63">
        <v>249460</v>
      </c>
      <c r="D20" s="184">
        <f t="shared" si="0"/>
        <v>71.78250585574439</v>
      </c>
      <c r="E20" s="63">
        <f>C20-'[26]Augusts'!C20</f>
        <v>33258</v>
      </c>
      <c r="F20" s="66" t="s">
        <v>596</v>
      </c>
      <c r="G20" s="63">
        <f>ROUND(B20/1000,0)</f>
        <v>348</v>
      </c>
      <c r="H20" s="182">
        <f>ROUND(C20/1000,0)+1</f>
        <v>250</v>
      </c>
      <c r="I20" s="184">
        <f t="shared" si="1"/>
        <v>71.83908045977012</v>
      </c>
      <c r="J20" s="182">
        <f>H20-'[26]Augusts'!H20</f>
        <v>34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0" ht="12.75">
      <c r="A21" s="32" t="s">
        <v>901</v>
      </c>
      <c r="B21" s="57">
        <f>SUM(B22)</f>
        <v>275000</v>
      </c>
      <c r="C21" s="57">
        <f>SUM(C22)</f>
        <v>275000</v>
      </c>
      <c r="D21" s="195">
        <f t="shared" si="0"/>
        <v>100</v>
      </c>
      <c r="E21" s="57">
        <f>C21-'[26]Augusts'!C21</f>
        <v>0</v>
      </c>
      <c r="F21" s="32" t="s">
        <v>901</v>
      </c>
      <c r="G21" s="57">
        <f>SUM(G22)</f>
        <v>275</v>
      </c>
      <c r="H21" s="177">
        <f>SUM(H22)</f>
        <v>275</v>
      </c>
      <c r="I21" s="195">
        <f t="shared" si="1"/>
        <v>100</v>
      </c>
      <c r="J21" s="177">
        <f>H21-'[26]Augusts'!H21</f>
        <v>0</v>
      </c>
    </row>
    <row r="22" spans="1:147" s="1" customFormat="1" ht="36">
      <c r="A22" s="67" t="s">
        <v>597</v>
      </c>
      <c r="B22" s="63">
        <v>275000</v>
      </c>
      <c r="C22" s="63">
        <v>275000</v>
      </c>
      <c r="D22" s="184">
        <f t="shared" si="0"/>
        <v>100</v>
      </c>
      <c r="E22" s="63">
        <f>C22-'[26]Augusts'!C22</f>
        <v>0</v>
      </c>
      <c r="F22" s="67" t="s">
        <v>598</v>
      </c>
      <c r="G22" s="63">
        <f>ROUND(B22/1000,0)</f>
        <v>275</v>
      </c>
      <c r="H22" s="182">
        <f>ROUND(C22/1000,0)</f>
        <v>275</v>
      </c>
      <c r="I22" s="184">
        <f t="shared" si="1"/>
        <v>100</v>
      </c>
      <c r="J22" s="182">
        <f>H22-'[26]Augusts'!H22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0" ht="12.75">
      <c r="A23" s="32" t="s">
        <v>895</v>
      </c>
      <c r="B23" s="57">
        <f>SUM(B24:B29)</f>
        <v>3192416</v>
      </c>
      <c r="C23" s="57">
        <f>SUM(C24:C29)</f>
        <v>2632257</v>
      </c>
      <c r="D23" s="195">
        <f t="shared" si="0"/>
        <v>82.45344591682286</v>
      </c>
      <c r="E23" s="57">
        <f>C23-'[26]Augusts'!C23</f>
        <v>389195</v>
      </c>
      <c r="F23" s="32" t="s">
        <v>895</v>
      </c>
      <c r="G23" s="57">
        <f>SUM(G24:G29)</f>
        <v>3192</v>
      </c>
      <c r="H23" s="57">
        <f>SUM(H24:H29)</f>
        <v>2632</v>
      </c>
      <c r="I23" s="195">
        <f t="shared" si="1"/>
        <v>82.45614035087719</v>
      </c>
      <c r="J23" s="57">
        <f>H23-'[26]Augusts'!H23</f>
        <v>389</v>
      </c>
    </row>
    <row r="24" spans="1:147" s="1" customFormat="1" ht="12.75">
      <c r="A24" s="66" t="s">
        <v>599</v>
      </c>
      <c r="B24" s="63">
        <v>1190814</v>
      </c>
      <c r="C24" s="63">
        <v>899130</v>
      </c>
      <c r="D24" s="184">
        <f t="shared" si="0"/>
        <v>75.50549456086341</v>
      </c>
      <c r="E24" s="63">
        <f>C24-'[26]Augusts'!C24</f>
        <v>92421</v>
      </c>
      <c r="F24" s="66" t="s">
        <v>599</v>
      </c>
      <c r="G24" s="63">
        <f aca="true" t="shared" si="3" ref="G24:H30">ROUND(B24/1000,0)</f>
        <v>1191</v>
      </c>
      <c r="H24" s="63">
        <f>ROUND(C24/1000,0)</f>
        <v>899</v>
      </c>
      <c r="I24" s="184">
        <f t="shared" si="1"/>
        <v>75.48278757346768</v>
      </c>
      <c r="J24" s="63">
        <f>H24-'[26]Augusts'!H24</f>
        <v>92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1" customFormat="1" ht="24">
      <c r="A25" s="67" t="s">
        <v>603</v>
      </c>
      <c r="B25" s="63">
        <v>919056</v>
      </c>
      <c r="C25" s="63">
        <v>986441</v>
      </c>
      <c r="D25" s="184">
        <f t="shared" si="0"/>
        <v>107.33197977054718</v>
      </c>
      <c r="E25" s="63">
        <f>C25-'[26]Augusts'!C25</f>
        <v>178812</v>
      </c>
      <c r="F25" s="67" t="s">
        <v>603</v>
      </c>
      <c r="G25" s="63">
        <f t="shared" si="3"/>
        <v>919</v>
      </c>
      <c r="H25" s="63">
        <f>ROUND(C25/1000,0)</f>
        <v>986</v>
      </c>
      <c r="I25" s="184">
        <f t="shared" si="1"/>
        <v>107.2905331882481</v>
      </c>
      <c r="J25" s="63">
        <f>H25-'[26]Augusts'!H25</f>
        <v>179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s="1" customFormat="1" ht="24">
      <c r="A26" s="67" t="s">
        <v>145</v>
      </c>
      <c r="B26" s="63">
        <v>150000</v>
      </c>
      <c r="C26" s="63">
        <v>55067</v>
      </c>
      <c r="D26" s="184">
        <f t="shared" si="0"/>
        <v>36.711333333333336</v>
      </c>
      <c r="E26" s="63">
        <f>C26-'[26]Augusts'!C26</f>
        <v>17084</v>
      </c>
      <c r="F26" s="67" t="s">
        <v>145</v>
      </c>
      <c r="G26" s="63">
        <f t="shared" si="3"/>
        <v>150</v>
      </c>
      <c r="H26" s="182">
        <f t="shared" si="3"/>
        <v>55</v>
      </c>
      <c r="I26" s="184">
        <f t="shared" si="1"/>
        <v>36.666666666666664</v>
      </c>
      <c r="J26" s="182">
        <f>H26-'[26]Augusts'!H26</f>
        <v>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s="1" customFormat="1" ht="60">
      <c r="A27" s="67" t="s">
        <v>600</v>
      </c>
      <c r="B27" s="63">
        <v>225466</v>
      </c>
      <c r="C27" s="63">
        <v>177686</v>
      </c>
      <c r="D27" s="184">
        <f t="shared" si="0"/>
        <v>78.80833473783187</v>
      </c>
      <c r="E27" s="63">
        <f>C27-'[26]Augusts'!C27</f>
        <v>16735</v>
      </c>
      <c r="F27" s="67" t="s">
        <v>600</v>
      </c>
      <c r="G27" s="63">
        <f t="shared" si="3"/>
        <v>225</v>
      </c>
      <c r="H27" s="63">
        <f t="shared" si="3"/>
        <v>178</v>
      </c>
      <c r="I27" s="184">
        <f t="shared" si="1"/>
        <v>79.11111111111111</v>
      </c>
      <c r="J27" s="63">
        <f>H27-'[26]Augusts'!H27</f>
        <v>17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s="1" customFormat="1" ht="36">
      <c r="A28" s="67" t="s">
        <v>601</v>
      </c>
      <c r="B28" s="63">
        <v>141288</v>
      </c>
      <c r="C28" s="63">
        <v>103701</v>
      </c>
      <c r="D28" s="184">
        <f t="shared" si="0"/>
        <v>73.39689145574995</v>
      </c>
      <c r="E28" s="63">
        <f>C28-'[26]Augusts'!C28</f>
        <v>16738</v>
      </c>
      <c r="F28" s="67" t="s">
        <v>601</v>
      </c>
      <c r="G28" s="63">
        <f t="shared" si="3"/>
        <v>141</v>
      </c>
      <c r="H28" s="63">
        <f t="shared" si="3"/>
        <v>104</v>
      </c>
      <c r="I28" s="184">
        <f t="shared" si="1"/>
        <v>73.75886524822694</v>
      </c>
      <c r="J28" s="63">
        <f>H28-'[26]Augusts'!H28</f>
        <v>17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s="1" customFormat="1" ht="24">
      <c r="A29" s="67" t="s">
        <v>602</v>
      </c>
      <c r="B29" s="63">
        <v>565792</v>
      </c>
      <c r="C29" s="63">
        <v>410232</v>
      </c>
      <c r="D29" s="184">
        <f t="shared" si="0"/>
        <v>72.50579718341723</v>
      </c>
      <c r="E29" s="63">
        <f>C29-'[26]Augusts'!C29</f>
        <v>67405</v>
      </c>
      <c r="F29" s="67" t="s">
        <v>602</v>
      </c>
      <c r="G29" s="63">
        <f t="shared" si="3"/>
        <v>566</v>
      </c>
      <c r="H29" s="63">
        <f t="shared" si="3"/>
        <v>410</v>
      </c>
      <c r="I29" s="184">
        <f t="shared" si="1"/>
        <v>72.43816254416961</v>
      </c>
      <c r="J29" s="63">
        <f>H29-'[26]Augusts'!H29</f>
        <v>67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0" ht="12.75">
      <c r="A30" s="32" t="s">
        <v>925</v>
      </c>
      <c r="B30" s="57">
        <v>1643907</v>
      </c>
      <c r="C30" s="57">
        <v>1371017</v>
      </c>
      <c r="D30" s="195">
        <f t="shared" si="0"/>
        <v>83.39991252546525</v>
      </c>
      <c r="E30" s="57">
        <f>C30-'[26]Augusts'!C30</f>
        <v>214905</v>
      </c>
      <c r="F30" s="32" t="s">
        <v>925</v>
      </c>
      <c r="G30" s="57">
        <f t="shared" si="3"/>
        <v>1644</v>
      </c>
      <c r="H30" s="57">
        <f t="shared" si="3"/>
        <v>1371</v>
      </c>
      <c r="I30" s="195">
        <f t="shared" si="1"/>
        <v>83.3941605839416</v>
      </c>
      <c r="J30" s="57">
        <f>H30-'[26]Augusts'!H30</f>
        <v>215</v>
      </c>
    </row>
    <row r="31" spans="1:147" s="83" customFormat="1" ht="17.25" customHeight="1">
      <c r="A31" s="548"/>
      <c r="B31" s="82"/>
      <c r="E31"/>
      <c r="F31" s="548"/>
      <c r="G31" s="8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s="83" customFormat="1" ht="17.25" customHeight="1" hidden="1">
      <c r="A32" s="84"/>
      <c r="B32" s="82"/>
      <c r="E32"/>
      <c r="F32" s="84"/>
      <c r="G32" s="8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9" ht="17.25" customHeight="1">
      <c r="A33" s="85"/>
      <c r="B33" s="50"/>
      <c r="C33" s="49"/>
      <c r="D33" s="49"/>
      <c r="F33" s="85"/>
      <c r="G33" s="50"/>
      <c r="H33" s="49"/>
      <c r="I33" s="49"/>
    </row>
    <row r="34" spans="1:12" ht="17.25" customHeight="1">
      <c r="A34" s="41" t="s">
        <v>938</v>
      </c>
      <c r="B34" s="49"/>
      <c r="C34" s="49"/>
      <c r="D34" s="49"/>
      <c r="E34" s="49"/>
      <c r="F34" s="841" t="s">
        <v>473</v>
      </c>
      <c r="G34" s="841"/>
      <c r="H34" s="841"/>
      <c r="I34" s="841"/>
      <c r="J34" s="841"/>
      <c r="K34" s="841"/>
      <c r="L34" s="841"/>
    </row>
    <row r="36" spans="1:9" ht="17.25" customHeight="1">
      <c r="A36" s="86"/>
      <c r="B36" s="52"/>
      <c r="C36" s="87"/>
      <c r="D36" s="87"/>
      <c r="F36" s="86"/>
      <c r="G36" s="52"/>
      <c r="H36" s="87"/>
      <c r="I36" s="87"/>
    </row>
    <row r="37" spans="1:9" ht="17.25" customHeight="1">
      <c r="A37" s="1"/>
      <c r="B37" s="50"/>
      <c r="C37" s="49"/>
      <c r="D37" s="49"/>
      <c r="F37" s="1"/>
      <c r="G37" s="50"/>
      <c r="H37" s="49"/>
      <c r="I37" s="49"/>
    </row>
    <row r="38" spans="1:9" ht="12.75">
      <c r="A38" s="1"/>
      <c r="B38" s="50"/>
      <c r="C38" s="38"/>
      <c r="D38" s="38"/>
      <c r="F38" s="38" t="s">
        <v>823</v>
      </c>
      <c r="G38" s="50"/>
      <c r="H38" s="38"/>
      <c r="I38" s="38"/>
    </row>
    <row r="39" spans="2:9" ht="12.75">
      <c r="B39" s="50"/>
      <c r="C39" s="49"/>
      <c r="D39" s="49"/>
      <c r="F39" s="38" t="s">
        <v>143</v>
      </c>
      <c r="G39" s="50"/>
      <c r="H39" s="49"/>
      <c r="I39" s="49"/>
    </row>
    <row r="40" ht="12.75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</sheetData>
  <mergeCells count="5">
    <mergeCell ref="F34:L34"/>
    <mergeCell ref="A3:E3"/>
    <mergeCell ref="F3:J3"/>
    <mergeCell ref="A5:E5"/>
    <mergeCell ref="F5:J5"/>
  </mergeCells>
  <printOptions/>
  <pageMargins left="0.75" right="0.75" top="0.25" bottom="0.24" header="0.5" footer="0.5"/>
  <pageSetup firstPageNumber="56" useFirstPageNumber="1" horizontalDpi="600" verticalDpi="600" orientation="portrait" paperSize="9" r:id="rId1"/>
  <headerFooter alignWithMargins="0">
    <oddFooter>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">
      <selection activeCell="A5" sqref="A5:G5"/>
    </sheetView>
  </sheetViews>
  <sheetFormatPr defaultColWidth="9.140625" defaultRowHeight="17.25" customHeight="1"/>
  <cols>
    <col min="1" max="1" width="22.140625" style="0" customWidth="1"/>
    <col min="2" max="2" width="43.57421875" style="0" customWidth="1"/>
    <col min="3" max="3" width="11.7109375" style="0" customWidth="1"/>
    <col min="4" max="4" width="13.28125" style="0" customWidth="1"/>
    <col min="5" max="5" width="13.140625" style="0" customWidth="1"/>
    <col min="6" max="6" width="13.421875" style="0" customWidth="1"/>
    <col min="7" max="7" width="11.7109375" style="0" customWidth="1"/>
    <col min="8" max="8" width="11.8515625" style="0" customWidth="1"/>
  </cols>
  <sheetData>
    <row r="1" ht="17.25" customHeight="1">
      <c r="G1" s="272" t="s">
        <v>713</v>
      </c>
    </row>
    <row r="2" spans="1:7" ht="17.25" customHeight="1">
      <c r="A2" s="845" t="s">
        <v>62</v>
      </c>
      <c r="B2" s="845"/>
      <c r="C2" s="845"/>
      <c r="D2" s="845"/>
      <c r="E2" s="845"/>
      <c r="F2" s="845"/>
      <c r="G2" s="845"/>
    </row>
    <row r="3" spans="2:8" ht="17.25" customHeight="1">
      <c r="B3" s="5"/>
      <c r="C3" s="5"/>
      <c r="D3" s="5"/>
      <c r="E3" s="5"/>
      <c r="F3" s="5"/>
      <c r="G3" s="5"/>
      <c r="H3" s="5"/>
    </row>
    <row r="4" spans="1:8" ht="21" customHeight="1">
      <c r="A4" s="902" t="s">
        <v>714</v>
      </c>
      <c r="B4" s="902"/>
      <c r="C4" s="902"/>
      <c r="D4" s="902"/>
      <c r="E4" s="902"/>
      <c r="F4" s="902"/>
      <c r="G4" s="902"/>
      <c r="H4" s="784"/>
    </row>
    <row r="5" spans="1:8" ht="16.5" customHeight="1">
      <c r="A5" s="856" t="s">
        <v>98</v>
      </c>
      <c r="B5" s="856"/>
      <c r="C5" s="856"/>
      <c r="D5" s="856"/>
      <c r="E5" s="856"/>
      <c r="F5" s="856"/>
      <c r="G5" s="856"/>
      <c r="H5" s="784"/>
    </row>
    <row r="6" spans="2:7" ht="17.25" customHeight="1">
      <c r="B6" s="5"/>
      <c r="C6" s="5"/>
      <c r="D6" s="5"/>
      <c r="E6" s="5"/>
      <c r="F6" s="5"/>
      <c r="G6" s="272" t="s">
        <v>749</v>
      </c>
    </row>
    <row r="7" spans="1:7" ht="41.25" customHeight="1">
      <c r="A7" s="238" t="s">
        <v>715</v>
      </c>
      <c r="B7" s="144" t="s">
        <v>716</v>
      </c>
      <c r="C7" s="238" t="s">
        <v>750</v>
      </c>
      <c r="D7" s="238" t="s">
        <v>717</v>
      </c>
      <c r="E7" s="238" t="s">
        <v>179</v>
      </c>
      <c r="F7" s="238" t="s">
        <v>718</v>
      </c>
      <c r="G7" s="9" t="s">
        <v>101</v>
      </c>
    </row>
    <row r="8" spans="1:7" ht="15">
      <c r="A8" s="408">
        <v>1</v>
      </c>
      <c r="B8" s="785">
        <v>2</v>
      </c>
      <c r="C8" s="408">
        <v>3</v>
      </c>
      <c r="D8" s="786">
        <v>4</v>
      </c>
      <c r="E8" s="786">
        <v>5</v>
      </c>
      <c r="F8" s="786">
        <v>6</v>
      </c>
      <c r="G8" s="408">
        <v>7</v>
      </c>
    </row>
    <row r="9" spans="1:7" ht="17.25" customHeight="1">
      <c r="A9" s="136"/>
      <c r="B9" s="787" t="s">
        <v>719</v>
      </c>
      <c r="C9" s="136">
        <f>SUM(C10,C13)</f>
        <v>9519</v>
      </c>
      <c r="D9" s="136">
        <f>SUM(D10,D13)</f>
        <v>3883</v>
      </c>
      <c r="E9" s="136">
        <f>SUM(E10,E13)</f>
        <v>930</v>
      </c>
      <c r="F9" s="788">
        <f>E9/C9*100</f>
        <v>9.769933816577371</v>
      </c>
      <c r="G9" s="136">
        <f>SUM(G10,G13)</f>
        <v>425</v>
      </c>
    </row>
    <row r="10" spans="1:7" ht="17.25" customHeight="1">
      <c r="A10" s="136"/>
      <c r="B10" s="789" t="s">
        <v>720</v>
      </c>
      <c r="C10" s="136">
        <f>SUM(C11:C12)</f>
        <v>6829</v>
      </c>
      <c r="D10" s="136">
        <f>SUM(D11:D12)</f>
        <v>2769</v>
      </c>
      <c r="E10" s="136">
        <f>SUM(E11:E12)</f>
        <v>444</v>
      </c>
      <c r="F10" s="788">
        <f>E10/C10*100</f>
        <v>6.5016839947283644</v>
      </c>
      <c r="G10" s="136">
        <f>SUM(G11:G12)</f>
        <v>170</v>
      </c>
    </row>
    <row r="11" spans="1:7" ht="17.25" customHeight="1">
      <c r="A11" s="136"/>
      <c r="B11" s="790" t="s">
        <v>611</v>
      </c>
      <c r="C11" s="136">
        <f>SUM(C28)</f>
        <v>191</v>
      </c>
      <c r="D11" s="136">
        <f>SUM(D28)</f>
        <v>39</v>
      </c>
      <c r="E11" s="136">
        <f>SUM(E28)</f>
        <v>18</v>
      </c>
      <c r="F11" s="136">
        <f>SUM(F28)</f>
        <v>0</v>
      </c>
      <c r="G11" s="136">
        <f>SUM(G28)</f>
        <v>0</v>
      </c>
    </row>
    <row r="12" spans="1:7" ht="17.25" customHeight="1">
      <c r="A12" s="136"/>
      <c r="B12" s="790" t="s">
        <v>876</v>
      </c>
      <c r="C12" s="136">
        <f>SUM(C20,C24,C33,C40,C48,C52,C57,C62,C67,C72,C77)</f>
        <v>6638</v>
      </c>
      <c r="D12" s="136">
        <f>SUM(D20,D24,D33,D40,D48,D52,D57,D62,D67,D72,D77)</f>
        <v>2730</v>
      </c>
      <c r="E12" s="136">
        <f>SUM(E20,E24,E33,E40,E48,E52,E57,E62,E67,E72,E77)</f>
        <v>426</v>
      </c>
      <c r="F12" s="788">
        <f>E12/C12*100</f>
        <v>6.417595661343778</v>
      </c>
      <c r="G12" s="136">
        <f>SUM(G20,G24,G33,G40,G48,G52,G57,G62,G67,G72,G77)</f>
        <v>170</v>
      </c>
    </row>
    <row r="13" spans="1:7" ht="17.25" customHeight="1">
      <c r="A13" s="136"/>
      <c r="B13" s="789" t="s">
        <v>216</v>
      </c>
      <c r="C13" s="136">
        <f>C15</f>
        <v>2690</v>
      </c>
      <c r="D13" s="136">
        <f>D15</f>
        <v>1114</v>
      </c>
      <c r="E13" s="136">
        <f>E15</f>
        <v>486</v>
      </c>
      <c r="F13" s="788">
        <f>E13/C13*100</f>
        <v>18.066914498141266</v>
      </c>
      <c r="G13" s="136">
        <f>G15</f>
        <v>255</v>
      </c>
    </row>
    <row r="14" spans="1:7" ht="17.25" customHeight="1" hidden="1">
      <c r="A14" s="136"/>
      <c r="B14" s="790" t="s">
        <v>611</v>
      </c>
      <c r="C14" s="136"/>
      <c r="D14" s="136">
        <v>0</v>
      </c>
      <c r="E14" s="136"/>
      <c r="F14" s="788" t="e">
        <f>E14/C14*100</f>
        <v>#DIV/0!</v>
      </c>
      <c r="G14" s="136"/>
    </row>
    <row r="15" spans="1:7" ht="17.25" customHeight="1">
      <c r="A15" s="136"/>
      <c r="B15" s="790" t="s">
        <v>876</v>
      </c>
      <c r="C15" s="136">
        <f>SUM(C35,C42)</f>
        <v>2690</v>
      </c>
      <c r="D15" s="136">
        <f>SUM(D35,D42)</f>
        <v>1114</v>
      </c>
      <c r="E15" s="136">
        <f>SUM(E35,E42)</f>
        <v>486</v>
      </c>
      <c r="F15" s="788">
        <f>E15/C15*100</f>
        <v>18.066914498141266</v>
      </c>
      <c r="G15" s="136">
        <f>SUM(G35,G42)</f>
        <v>255</v>
      </c>
    </row>
    <row r="16" spans="1:8" ht="17.25" customHeight="1">
      <c r="A16" s="791" t="s">
        <v>901</v>
      </c>
      <c r="B16" s="136"/>
      <c r="C16" s="136"/>
      <c r="D16" s="136"/>
      <c r="E16" s="136"/>
      <c r="F16" s="136"/>
      <c r="G16" s="136"/>
      <c r="H16" s="135"/>
    </row>
    <row r="17" spans="1:8" ht="31.5" customHeight="1">
      <c r="A17" s="792" t="s">
        <v>721</v>
      </c>
      <c r="B17" s="903" t="s">
        <v>722</v>
      </c>
      <c r="C17" s="903"/>
      <c r="D17" s="903"/>
      <c r="E17" s="903"/>
      <c r="F17" s="903"/>
      <c r="G17" s="903"/>
      <c r="H17" s="793"/>
    </row>
    <row r="18" spans="1:7" ht="17.25" customHeight="1">
      <c r="A18" s="136"/>
      <c r="B18" s="794" t="s">
        <v>1002</v>
      </c>
      <c r="C18" s="136">
        <f>C19</f>
        <v>110</v>
      </c>
      <c r="D18" s="136">
        <f>D19</f>
        <v>0</v>
      </c>
      <c r="E18" s="136">
        <v>0</v>
      </c>
      <c r="F18" s="136">
        <v>0</v>
      </c>
      <c r="G18" s="136">
        <v>0</v>
      </c>
    </row>
    <row r="19" spans="1:8" ht="17.25" customHeight="1">
      <c r="A19" s="136"/>
      <c r="B19" s="789" t="s">
        <v>723</v>
      </c>
      <c r="C19">
        <f>C20</f>
        <v>110</v>
      </c>
      <c r="D19">
        <f>D20</f>
        <v>0</v>
      </c>
      <c r="E19">
        <f>E20</f>
        <v>0</v>
      </c>
      <c r="F19">
        <f>F20</f>
        <v>0</v>
      </c>
      <c r="G19">
        <f>G20</f>
        <v>0</v>
      </c>
      <c r="H19" s="135"/>
    </row>
    <row r="20" spans="1:8" ht="17.25" customHeight="1">
      <c r="A20" s="136"/>
      <c r="B20" s="136" t="s">
        <v>876</v>
      </c>
      <c r="C20" s="136">
        <v>110</v>
      </c>
      <c r="D20" s="136">
        <v>0</v>
      </c>
      <c r="E20" s="136">
        <v>0</v>
      </c>
      <c r="F20" s="136">
        <v>0</v>
      </c>
      <c r="G20" s="136">
        <f>E20-'[25]Augusts'!G20</f>
        <v>0</v>
      </c>
      <c r="H20" s="135"/>
    </row>
    <row r="21" spans="1:9" ht="16.5" customHeight="1">
      <c r="A21" s="792" t="s">
        <v>724</v>
      </c>
      <c r="B21" s="903" t="s">
        <v>725</v>
      </c>
      <c r="C21" s="903"/>
      <c r="D21" s="903"/>
      <c r="E21" s="903"/>
      <c r="F21" s="903"/>
      <c r="G21" s="903"/>
      <c r="H21" s="795"/>
      <c r="I21" s="135"/>
    </row>
    <row r="22" spans="1:7" ht="17.25" customHeight="1">
      <c r="A22" s="136"/>
      <c r="B22" s="794" t="s">
        <v>1002</v>
      </c>
      <c r="C22" s="136">
        <f aca="true" t="shared" si="0" ref="C22:G23">C23</f>
        <v>2320</v>
      </c>
      <c r="D22" s="136">
        <f t="shared" si="0"/>
        <v>1325</v>
      </c>
      <c r="E22" s="136">
        <f t="shared" si="0"/>
        <v>0</v>
      </c>
      <c r="F22" s="136">
        <f t="shared" si="0"/>
        <v>0</v>
      </c>
      <c r="G22" s="136">
        <f t="shared" si="0"/>
        <v>0</v>
      </c>
    </row>
    <row r="23" spans="1:7" ht="17.25" customHeight="1">
      <c r="A23" s="136"/>
      <c r="B23" s="789" t="s">
        <v>723</v>
      </c>
      <c r="C23" s="136">
        <f t="shared" si="0"/>
        <v>2320</v>
      </c>
      <c r="D23" s="136">
        <f t="shared" si="0"/>
        <v>1325</v>
      </c>
      <c r="E23" s="136">
        <f t="shared" si="0"/>
        <v>0</v>
      </c>
      <c r="F23" s="136">
        <f t="shared" si="0"/>
        <v>0</v>
      </c>
      <c r="G23" s="136">
        <f t="shared" si="0"/>
        <v>0</v>
      </c>
    </row>
    <row r="24" spans="1:7" ht="17.25" customHeight="1">
      <c r="A24" s="136"/>
      <c r="B24" s="136" t="s">
        <v>876</v>
      </c>
      <c r="C24" s="136">
        <v>2320</v>
      </c>
      <c r="D24" s="822">
        <v>1325</v>
      </c>
      <c r="E24" s="136">
        <v>0</v>
      </c>
      <c r="F24" s="136">
        <v>0</v>
      </c>
      <c r="G24" s="136">
        <f>E24-'[25]Augusts'!E24</f>
        <v>0</v>
      </c>
    </row>
    <row r="25" spans="1:8" ht="48.75" customHeight="1">
      <c r="A25" s="796" t="s">
        <v>726</v>
      </c>
      <c r="B25" s="903" t="s">
        <v>727</v>
      </c>
      <c r="C25" s="903"/>
      <c r="D25" s="903"/>
      <c r="E25" s="903"/>
      <c r="F25" s="903"/>
      <c r="G25" s="903"/>
      <c r="H25" s="795"/>
    </row>
    <row r="26" spans="1:7" ht="17.25" customHeight="1">
      <c r="A26" s="136"/>
      <c r="B26" s="794" t="s">
        <v>1002</v>
      </c>
      <c r="C26" s="136">
        <f aca="true" t="shared" si="1" ref="C26:E27">C27</f>
        <v>191</v>
      </c>
      <c r="D26" s="136">
        <f t="shared" si="1"/>
        <v>39</v>
      </c>
      <c r="E26" s="136">
        <f t="shared" si="1"/>
        <v>18</v>
      </c>
      <c r="F26" s="136">
        <v>0</v>
      </c>
      <c r="G26" s="136">
        <f>G27</f>
        <v>0</v>
      </c>
    </row>
    <row r="27" spans="1:7" ht="17.25" customHeight="1">
      <c r="A27" s="136"/>
      <c r="B27" s="789" t="s">
        <v>723</v>
      </c>
      <c r="C27" s="136">
        <f t="shared" si="1"/>
        <v>191</v>
      </c>
      <c r="D27" s="136">
        <f t="shared" si="1"/>
        <v>39</v>
      </c>
      <c r="E27" s="136">
        <f t="shared" si="1"/>
        <v>18</v>
      </c>
      <c r="F27" s="136">
        <v>0</v>
      </c>
      <c r="G27" s="136">
        <f>G28</f>
        <v>0</v>
      </c>
    </row>
    <row r="28" spans="1:7" ht="17.25" customHeight="1">
      <c r="A28" s="136"/>
      <c r="B28" s="136" t="s">
        <v>611</v>
      </c>
      <c r="C28" s="136">
        <v>191</v>
      </c>
      <c r="D28" s="136">
        <v>39</v>
      </c>
      <c r="E28" s="136">
        <v>18</v>
      </c>
      <c r="F28" s="136">
        <v>0</v>
      </c>
      <c r="G28" s="136">
        <f>E28-'[25]Augusts'!G28</f>
        <v>0</v>
      </c>
    </row>
    <row r="29" spans="1:7" ht="17.25" customHeight="1" hidden="1">
      <c r="A29" s="136"/>
      <c r="B29" s="136" t="s">
        <v>876</v>
      </c>
      <c r="C29" s="136"/>
      <c r="D29" s="136"/>
      <c r="E29" s="136"/>
      <c r="F29" s="136"/>
      <c r="G29" s="136"/>
    </row>
    <row r="30" spans="1:9" ht="17.25" customHeight="1">
      <c r="A30" s="136"/>
      <c r="B30" s="903" t="s">
        <v>728</v>
      </c>
      <c r="C30" s="903"/>
      <c r="D30" s="903"/>
      <c r="E30" s="903"/>
      <c r="F30" s="903"/>
      <c r="G30" s="903"/>
      <c r="H30" s="795"/>
      <c r="I30" s="135"/>
    </row>
    <row r="31" spans="1:7" ht="17.25" customHeight="1">
      <c r="A31" s="136"/>
      <c r="B31" s="794" t="s">
        <v>1002</v>
      </c>
      <c r="C31" s="136">
        <f>SUM(C32,C34)</f>
        <v>4760</v>
      </c>
      <c r="D31" s="136">
        <f>SUM(D32,D34)</f>
        <v>2449</v>
      </c>
      <c r="E31" s="136">
        <f>SUM(E32,E34)</f>
        <v>907</v>
      </c>
      <c r="F31" s="788">
        <f>E31/C31*100</f>
        <v>19.054621848739494</v>
      </c>
      <c r="G31" s="136">
        <f>SUM(G32,G34)</f>
        <v>425</v>
      </c>
    </row>
    <row r="32" spans="1:7" ht="17.25" customHeight="1">
      <c r="A32" s="136"/>
      <c r="B32" s="789" t="s">
        <v>723</v>
      </c>
      <c r="C32" s="136">
        <f>C33</f>
        <v>2320</v>
      </c>
      <c r="D32" s="136">
        <f>D33</f>
        <v>1405</v>
      </c>
      <c r="E32" s="136">
        <f>E33</f>
        <v>426</v>
      </c>
      <c r="F32" s="788">
        <f>E32/C32*100</f>
        <v>18.362068965517242</v>
      </c>
      <c r="G32" s="136">
        <f>G33</f>
        <v>170</v>
      </c>
    </row>
    <row r="33" spans="1:7" ht="17.25" customHeight="1">
      <c r="A33" s="136"/>
      <c r="B33" s="136" t="s">
        <v>876</v>
      </c>
      <c r="C33" s="136">
        <v>2320</v>
      </c>
      <c r="D33" s="136">
        <v>1405</v>
      </c>
      <c r="E33" s="136">
        <v>426</v>
      </c>
      <c r="F33" s="788">
        <f>E33/C33*100</f>
        <v>18.362068965517242</v>
      </c>
      <c r="G33" s="136">
        <f>E33-'[25]Augusts'!E33</f>
        <v>170</v>
      </c>
    </row>
    <row r="34" spans="1:7" ht="17.25" customHeight="1">
      <c r="A34" s="136"/>
      <c r="B34" s="789" t="s">
        <v>216</v>
      </c>
      <c r="C34" s="136">
        <f>C35</f>
        <v>2440</v>
      </c>
      <c r="D34" s="136">
        <f>D35</f>
        <v>1044</v>
      </c>
      <c r="E34" s="136">
        <f>E35</f>
        <v>481</v>
      </c>
      <c r="F34" s="788">
        <f>E34/C34*100</f>
        <v>19.71311475409836</v>
      </c>
      <c r="G34" s="136">
        <f>G35</f>
        <v>255</v>
      </c>
    </row>
    <row r="35" spans="1:7" ht="17.25" customHeight="1">
      <c r="A35" s="136"/>
      <c r="B35" s="136" t="s">
        <v>876</v>
      </c>
      <c r="C35" s="136">
        <v>2440</v>
      </c>
      <c r="D35" s="136">
        <v>1044</v>
      </c>
      <c r="E35" s="136">
        <v>481</v>
      </c>
      <c r="F35" s="788">
        <f>E35/C35*100</f>
        <v>19.71311475409836</v>
      </c>
      <c r="G35" s="136">
        <f>E35-'[25]Augusts'!E35</f>
        <v>255</v>
      </c>
    </row>
    <row r="36" spans="1:7" ht="17.25" customHeight="1">
      <c r="A36" s="791" t="s">
        <v>907</v>
      </c>
      <c r="B36" s="136"/>
      <c r="C36" s="136"/>
      <c r="D36" s="136"/>
      <c r="E36" s="136"/>
      <c r="F36" s="136"/>
      <c r="G36" s="136"/>
    </row>
    <row r="37" spans="1:8" ht="17.25" customHeight="1">
      <c r="A37" s="136" t="s">
        <v>729</v>
      </c>
      <c r="B37" s="903" t="s">
        <v>730</v>
      </c>
      <c r="C37" s="903"/>
      <c r="D37" s="903"/>
      <c r="E37" s="903"/>
      <c r="F37" s="903"/>
      <c r="G37" s="903"/>
      <c r="H37" s="795"/>
    </row>
    <row r="38" spans="1:7" ht="17.25" customHeight="1">
      <c r="A38" s="136"/>
      <c r="B38" s="794" t="s">
        <v>1002</v>
      </c>
      <c r="C38" s="136">
        <f>SUM(C39,C41)</f>
        <v>250</v>
      </c>
      <c r="D38" s="136">
        <f>SUM(D39,D41)</f>
        <v>70</v>
      </c>
      <c r="E38" s="136">
        <f>SUM(E39,E41)</f>
        <v>5</v>
      </c>
      <c r="F38" s="788">
        <f>E38/C38*100</f>
        <v>2</v>
      </c>
      <c r="G38" s="136">
        <f>SUM(G39,G41)</f>
        <v>0</v>
      </c>
    </row>
    <row r="39" spans="1:7" ht="17.25" customHeight="1" hidden="1">
      <c r="A39" s="136"/>
      <c r="B39" s="789" t="s">
        <v>720</v>
      </c>
      <c r="C39" s="136">
        <f>C40</f>
        <v>0</v>
      </c>
      <c r="D39" s="136">
        <f>D40</f>
        <v>0</v>
      </c>
      <c r="E39" s="136"/>
      <c r="F39" s="788" t="e">
        <f>E39/C39*100</f>
        <v>#DIV/0!</v>
      </c>
      <c r="G39" s="136"/>
    </row>
    <row r="40" spans="1:7" ht="17.25" customHeight="1" hidden="1">
      <c r="A40" s="136"/>
      <c r="B40" s="797" t="s">
        <v>876</v>
      </c>
      <c r="C40" s="136"/>
      <c r="D40" s="136">
        <v>0</v>
      </c>
      <c r="E40" s="136"/>
      <c r="F40" s="788" t="e">
        <f>E40/C40*100</f>
        <v>#DIV/0!</v>
      </c>
      <c r="G40" s="136"/>
    </row>
    <row r="41" spans="1:7" ht="17.25" customHeight="1">
      <c r="A41" s="136"/>
      <c r="B41" s="789" t="s">
        <v>216</v>
      </c>
      <c r="C41" s="136">
        <f>C42</f>
        <v>250</v>
      </c>
      <c r="D41" s="136">
        <f>D42</f>
        <v>70</v>
      </c>
      <c r="E41" s="136">
        <f>E42</f>
        <v>5</v>
      </c>
      <c r="F41" s="788">
        <f>E41/C41*100</f>
        <v>2</v>
      </c>
      <c r="G41" s="136">
        <f>G42</f>
        <v>0</v>
      </c>
    </row>
    <row r="42" spans="1:7" ht="17.25" customHeight="1">
      <c r="A42" s="136"/>
      <c r="B42" s="797" t="s">
        <v>876</v>
      </c>
      <c r="C42" s="136">
        <v>250</v>
      </c>
      <c r="D42" s="136">
        <v>70</v>
      </c>
      <c r="E42" s="136">
        <v>5</v>
      </c>
      <c r="F42" s="788">
        <f>E42/C42*100</f>
        <v>2</v>
      </c>
      <c r="G42" s="136">
        <f>E42-'[25]Augusts'!E42</f>
        <v>0</v>
      </c>
    </row>
    <row r="43" spans="1:7" ht="17.25" customHeight="1">
      <c r="A43" s="904" t="s">
        <v>731</v>
      </c>
      <c r="B43" s="904"/>
      <c r="C43" s="904"/>
      <c r="D43" s="904"/>
      <c r="E43" s="904"/>
      <c r="F43" s="904"/>
      <c r="G43" s="905"/>
    </row>
    <row r="44" spans="1:3" ht="17.25" customHeight="1">
      <c r="A44" s="136" t="s">
        <v>732</v>
      </c>
      <c r="B44" s="903" t="s">
        <v>733</v>
      </c>
      <c r="C44" s="903"/>
    </row>
    <row r="45" spans="1:7" ht="17.25" customHeight="1">
      <c r="A45" s="136"/>
      <c r="B45" s="794" t="s">
        <v>1002</v>
      </c>
      <c r="C45" s="136">
        <f>C46</f>
        <v>531</v>
      </c>
      <c r="D45" s="136">
        <f>D46</f>
        <v>0</v>
      </c>
      <c r="E45" s="136">
        <v>0</v>
      </c>
      <c r="F45" s="136">
        <v>0</v>
      </c>
      <c r="G45" s="136">
        <v>0</v>
      </c>
    </row>
    <row r="46" spans="1:7" ht="17.25" customHeight="1">
      <c r="A46" s="136"/>
      <c r="B46" s="789" t="s">
        <v>720</v>
      </c>
      <c r="C46" s="136">
        <f>C48</f>
        <v>531</v>
      </c>
      <c r="D46" s="136">
        <f>D48</f>
        <v>0</v>
      </c>
      <c r="E46" s="136">
        <v>0</v>
      </c>
      <c r="F46" s="136">
        <v>0</v>
      </c>
      <c r="G46" s="136">
        <v>0</v>
      </c>
    </row>
    <row r="47" spans="1:7" ht="17.25" customHeight="1" hidden="1">
      <c r="A47" s="136"/>
      <c r="B47" s="136" t="s">
        <v>611</v>
      </c>
      <c r="C47" s="136"/>
      <c r="D47" s="136"/>
      <c r="E47" s="136"/>
      <c r="F47" s="136"/>
      <c r="G47" s="136"/>
    </row>
    <row r="48" spans="1:7" ht="17.25" customHeight="1">
      <c r="A48" s="136"/>
      <c r="B48" s="136" t="s">
        <v>876</v>
      </c>
      <c r="C48" s="136">
        <v>531</v>
      </c>
      <c r="D48" s="136">
        <v>0</v>
      </c>
      <c r="E48" s="136">
        <v>0</v>
      </c>
      <c r="F48" s="136">
        <v>0</v>
      </c>
      <c r="G48" s="136">
        <f>E39-'[25]Augusts'!G39</f>
        <v>0</v>
      </c>
    </row>
    <row r="49" spans="1:7" ht="17.25" customHeight="1">
      <c r="A49" s="136" t="s">
        <v>734</v>
      </c>
      <c r="B49" s="798" t="s">
        <v>735</v>
      </c>
      <c r="C49" s="136"/>
      <c r="D49" s="136"/>
      <c r="E49" s="136"/>
      <c r="F49" s="136"/>
      <c r="G49" s="136"/>
    </row>
    <row r="50" spans="1:7" ht="17.25" customHeight="1">
      <c r="A50" s="136"/>
      <c r="B50" s="136" t="s">
        <v>1002</v>
      </c>
      <c r="C50" s="136">
        <f>C51</f>
        <v>177</v>
      </c>
      <c r="D50" s="136">
        <f>D51</f>
        <v>0</v>
      </c>
      <c r="E50" s="136">
        <v>0</v>
      </c>
      <c r="F50" s="136">
        <v>0</v>
      </c>
      <c r="G50" s="136">
        <v>0</v>
      </c>
    </row>
    <row r="51" spans="1:7" ht="17.25" customHeight="1">
      <c r="A51" s="136"/>
      <c r="B51" s="136" t="s">
        <v>720</v>
      </c>
      <c r="C51" s="136">
        <f>C52</f>
        <v>177</v>
      </c>
      <c r="D51" s="136">
        <f>D52</f>
        <v>0</v>
      </c>
      <c r="E51" s="136">
        <v>0</v>
      </c>
      <c r="F51" s="136">
        <v>0</v>
      </c>
      <c r="G51" s="136">
        <v>0</v>
      </c>
    </row>
    <row r="52" spans="1:7" ht="17.25" customHeight="1">
      <c r="A52" s="136"/>
      <c r="B52" s="136" t="s">
        <v>876</v>
      </c>
      <c r="C52" s="136">
        <v>177</v>
      </c>
      <c r="D52" s="136">
        <v>0</v>
      </c>
      <c r="E52" s="136">
        <v>0</v>
      </c>
      <c r="F52" s="136">
        <v>0</v>
      </c>
      <c r="G52" s="136">
        <v>0</v>
      </c>
    </row>
    <row r="53" spans="1:7" ht="17.25" customHeight="1">
      <c r="A53" s="136" t="s">
        <v>736</v>
      </c>
      <c r="B53" s="798" t="s">
        <v>737</v>
      </c>
      <c r="C53" s="136"/>
      <c r="D53" s="136"/>
      <c r="E53" s="136"/>
      <c r="F53" s="136"/>
      <c r="G53" s="136"/>
    </row>
    <row r="54" spans="1:7" ht="17.25" customHeight="1">
      <c r="A54" s="136"/>
      <c r="B54" s="136" t="s">
        <v>1002</v>
      </c>
      <c r="C54" s="136">
        <f>C55</f>
        <v>1180</v>
      </c>
      <c r="D54" s="136">
        <f>D55</f>
        <v>0</v>
      </c>
      <c r="E54" s="136">
        <v>0</v>
      </c>
      <c r="F54" s="136">
        <v>0</v>
      </c>
      <c r="G54" s="136">
        <v>0</v>
      </c>
    </row>
    <row r="55" spans="1:7" ht="17.25" customHeight="1">
      <c r="A55" s="136"/>
      <c r="B55" s="136" t="s">
        <v>720</v>
      </c>
      <c r="C55" s="136">
        <f>C56</f>
        <v>1180</v>
      </c>
      <c r="D55" s="136">
        <f>D56+D57</f>
        <v>0</v>
      </c>
      <c r="E55" s="136">
        <v>0</v>
      </c>
      <c r="F55" s="136">
        <v>0</v>
      </c>
      <c r="G55" s="136">
        <v>0</v>
      </c>
    </row>
    <row r="56" spans="1:7" ht="17.25" customHeight="1" hidden="1">
      <c r="A56" s="136"/>
      <c r="B56" s="136" t="s">
        <v>611</v>
      </c>
      <c r="C56" s="136">
        <f>C57</f>
        <v>1180</v>
      </c>
      <c r="D56" s="136"/>
      <c r="E56" s="136"/>
      <c r="F56" s="136"/>
      <c r="G56" s="136"/>
    </row>
    <row r="57" spans="1:7" ht="17.25" customHeight="1">
      <c r="A57" s="136"/>
      <c r="B57" s="136" t="s">
        <v>876</v>
      </c>
      <c r="C57" s="136">
        <v>1180</v>
      </c>
      <c r="D57" s="136">
        <v>0</v>
      </c>
      <c r="E57" s="136">
        <v>0</v>
      </c>
      <c r="F57" s="136">
        <v>0</v>
      </c>
      <c r="G57" s="136">
        <v>0</v>
      </c>
    </row>
    <row r="58" spans="1:7" ht="17.25" customHeight="1" hidden="1">
      <c r="A58" s="136" t="s">
        <v>738</v>
      </c>
      <c r="B58" s="798" t="s">
        <v>739</v>
      </c>
      <c r="C58" s="136"/>
      <c r="D58" s="136"/>
      <c r="E58" s="136"/>
      <c r="F58" s="136"/>
      <c r="G58" s="136"/>
    </row>
    <row r="59" spans="1:7" ht="17.25" customHeight="1" hidden="1">
      <c r="A59" s="136"/>
      <c r="B59" s="136" t="s">
        <v>1002</v>
      </c>
      <c r="C59" s="136"/>
      <c r="D59" s="136">
        <f>D60</f>
        <v>0</v>
      </c>
      <c r="E59" s="136"/>
      <c r="F59" s="136"/>
      <c r="G59" s="136"/>
    </row>
    <row r="60" spans="1:7" ht="17.25" customHeight="1" hidden="1">
      <c r="A60" s="136"/>
      <c r="B60" s="136" t="s">
        <v>720</v>
      </c>
      <c r="C60" s="136"/>
      <c r="D60" s="136">
        <f>D62</f>
        <v>0</v>
      </c>
      <c r="E60" s="136"/>
      <c r="F60" s="136"/>
      <c r="G60" s="136"/>
    </row>
    <row r="61" spans="1:7" ht="17.25" customHeight="1" hidden="1">
      <c r="A61" s="136"/>
      <c r="B61" s="136" t="s">
        <v>611</v>
      </c>
      <c r="C61" s="136"/>
      <c r="D61" s="136"/>
      <c r="E61" s="136"/>
      <c r="F61" s="136"/>
      <c r="G61" s="136"/>
    </row>
    <row r="62" spans="1:7" ht="17.25" customHeight="1" hidden="1">
      <c r="A62" s="136"/>
      <c r="B62" s="136" t="s">
        <v>876</v>
      </c>
      <c r="C62" s="136"/>
      <c r="D62" s="136">
        <v>0</v>
      </c>
      <c r="E62" s="136"/>
      <c r="F62" s="136"/>
      <c r="G62" s="136"/>
    </row>
    <row r="63" spans="1:7" ht="17.25" customHeight="1" hidden="1">
      <c r="A63" s="136" t="s">
        <v>738</v>
      </c>
      <c r="B63" s="798" t="s">
        <v>740</v>
      </c>
      <c r="C63" s="136"/>
      <c r="D63" s="136"/>
      <c r="E63" s="136"/>
      <c r="F63" s="136"/>
      <c r="G63" s="136"/>
    </row>
    <row r="64" spans="1:7" ht="17.25" customHeight="1" hidden="1">
      <c r="A64" s="136"/>
      <c r="B64" s="136" t="s">
        <v>1002</v>
      </c>
      <c r="C64" s="136"/>
      <c r="D64" s="136">
        <f>D65</f>
        <v>0</v>
      </c>
      <c r="E64" s="136"/>
      <c r="F64" s="136"/>
      <c r="G64" s="136"/>
    </row>
    <row r="65" spans="1:7" ht="17.25" customHeight="1" hidden="1">
      <c r="A65" s="136"/>
      <c r="B65" s="136" t="s">
        <v>720</v>
      </c>
      <c r="C65" s="136"/>
      <c r="D65" s="136">
        <f>D67</f>
        <v>0</v>
      </c>
      <c r="E65" s="136"/>
      <c r="F65" s="136"/>
      <c r="G65" s="136"/>
    </row>
    <row r="66" spans="1:7" ht="17.25" customHeight="1" hidden="1">
      <c r="A66" s="136"/>
      <c r="B66" s="136" t="s">
        <v>611</v>
      </c>
      <c r="C66" s="136"/>
      <c r="D66" s="136"/>
      <c r="E66" s="136"/>
      <c r="F66" s="136"/>
      <c r="G66" s="136"/>
    </row>
    <row r="67" spans="1:7" ht="17.25" customHeight="1" hidden="1">
      <c r="A67" s="136"/>
      <c r="B67" s="136" t="s">
        <v>876</v>
      </c>
      <c r="C67" s="136"/>
      <c r="D67" s="136">
        <v>0</v>
      </c>
      <c r="E67" s="136"/>
      <c r="F67" s="136"/>
      <c r="G67" s="136"/>
    </row>
    <row r="68" spans="1:7" ht="17.25" customHeight="1" hidden="1">
      <c r="A68" s="136" t="s">
        <v>741</v>
      </c>
      <c r="B68" s="798" t="s">
        <v>742</v>
      </c>
      <c r="C68" s="136"/>
      <c r="D68" s="136"/>
      <c r="E68" s="136"/>
      <c r="F68" s="136"/>
      <c r="G68" s="136"/>
    </row>
    <row r="69" spans="1:7" ht="17.25" customHeight="1" hidden="1">
      <c r="A69" s="136"/>
      <c r="B69" s="136" t="s">
        <v>1002</v>
      </c>
      <c r="C69" s="136"/>
      <c r="D69" s="136">
        <f>D70</f>
        <v>0</v>
      </c>
      <c r="E69" s="136"/>
      <c r="F69" s="136"/>
      <c r="G69" s="136"/>
    </row>
    <row r="70" spans="1:7" ht="17.25" customHeight="1" hidden="1">
      <c r="A70" s="136"/>
      <c r="B70" s="136" t="s">
        <v>720</v>
      </c>
      <c r="C70" s="136"/>
      <c r="D70" s="136">
        <f>D72</f>
        <v>0</v>
      </c>
      <c r="E70" s="136"/>
      <c r="F70" s="136"/>
      <c r="G70" s="136"/>
    </row>
    <row r="71" spans="1:7" ht="17.25" customHeight="1" hidden="1">
      <c r="A71" s="136"/>
      <c r="B71" s="136" t="s">
        <v>611</v>
      </c>
      <c r="C71" s="136"/>
      <c r="D71" s="136"/>
      <c r="E71" s="136"/>
      <c r="F71" s="136"/>
      <c r="G71" s="136"/>
    </row>
    <row r="72" spans="1:7" ht="17.25" customHeight="1" hidden="1">
      <c r="A72" s="136"/>
      <c r="B72" s="136" t="s">
        <v>876</v>
      </c>
      <c r="C72" s="136"/>
      <c r="D72" s="136">
        <v>0</v>
      </c>
      <c r="E72" s="136"/>
      <c r="F72" s="136"/>
      <c r="G72" s="136"/>
    </row>
    <row r="73" spans="1:7" ht="17.25" customHeight="1" hidden="1">
      <c r="A73" s="136" t="s">
        <v>738</v>
      </c>
      <c r="B73" s="798" t="s">
        <v>743</v>
      </c>
      <c r="C73" s="136"/>
      <c r="D73" s="136"/>
      <c r="E73" s="136"/>
      <c r="F73" s="136"/>
      <c r="G73" s="136"/>
    </row>
    <row r="74" spans="1:7" ht="17.25" customHeight="1" hidden="1">
      <c r="A74" s="136"/>
      <c r="B74" s="136" t="s">
        <v>1002</v>
      </c>
      <c r="C74" s="136"/>
      <c r="D74" s="136">
        <f>D75</f>
        <v>0</v>
      </c>
      <c r="E74" s="136"/>
      <c r="F74" s="136"/>
      <c r="G74" s="136"/>
    </row>
    <row r="75" spans="1:7" ht="17.25" customHeight="1" hidden="1">
      <c r="A75" s="136"/>
      <c r="B75" s="136" t="s">
        <v>720</v>
      </c>
      <c r="C75" s="136"/>
      <c r="D75" s="136">
        <f>D77</f>
        <v>0</v>
      </c>
      <c r="E75" s="136"/>
      <c r="F75" s="136"/>
      <c r="G75" s="136"/>
    </row>
    <row r="76" spans="1:7" ht="17.25" customHeight="1" hidden="1">
      <c r="A76" s="136"/>
      <c r="B76" s="136" t="s">
        <v>611</v>
      </c>
      <c r="C76" s="136"/>
      <c r="D76" s="136">
        <f>D78</f>
        <v>0</v>
      </c>
      <c r="E76" s="136"/>
      <c r="F76" s="136"/>
      <c r="G76" s="136"/>
    </row>
    <row r="77" spans="1:7" ht="17.25" customHeight="1" hidden="1">
      <c r="A77" s="136"/>
      <c r="B77" s="136" t="s">
        <v>876</v>
      </c>
      <c r="C77" s="136"/>
      <c r="D77" s="136">
        <f>D79</f>
        <v>0</v>
      </c>
      <c r="E77" s="136"/>
      <c r="F77" s="136"/>
      <c r="G77" s="136"/>
    </row>
    <row r="78" spans="1:7" ht="17.25" customHeight="1">
      <c r="A78" s="135"/>
      <c r="B78" s="135"/>
      <c r="C78" s="135"/>
      <c r="D78" s="135"/>
      <c r="E78" s="135"/>
      <c r="F78" s="135"/>
      <c r="G78" s="135"/>
    </row>
    <row r="79" spans="6:7" ht="17.25" customHeight="1">
      <c r="F79" s="135"/>
      <c r="G79" s="135"/>
    </row>
    <row r="80" spans="1:7" s="479" customFormat="1" ht="17.25" customHeight="1">
      <c r="A80" s="690" t="s">
        <v>474</v>
      </c>
      <c r="F80" s="175" t="s">
        <v>859</v>
      </c>
      <c r="G80" s="799"/>
    </row>
    <row r="81" spans="1:7" ht="17.25" customHeight="1">
      <c r="A81" s="135"/>
      <c r="B81" s="135"/>
      <c r="C81" s="135"/>
      <c r="D81" s="135"/>
      <c r="E81" s="135"/>
      <c r="F81" s="135"/>
      <c r="G81" s="135"/>
    </row>
    <row r="83" ht="17.25" customHeight="1">
      <c r="A83" t="s">
        <v>61</v>
      </c>
    </row>
    <row r="84" ht="17.25" customHeight="1">
      <c r="A84" t="s">
        <v>116</v>
      </c>
    </row>
    <row r="85" ht="17.25" customHeight="1">
      <c r="G85" s="49"/>
    </row>
  </sheetData>
  <mergeCells count="10">
    <mergeCell ref="B21:G21"/>
    <mergeCell ref="B44:C44"/>
    <mergeCell ref="B25:G25"/>
    <mergeCell ref="B30:G30"/>
    <mergeCell ref="B37:G37"/>
    <mergeCell ref="A43:G43"/>
    <mergeCell ref="A2:G2"/>
    <mergeCell ref="A4:G4"/>
    <mergeCell ref="A5:G5"/>
    <mergeCell ref="B17:G17"/>
  </mergeCells>
  <printOptions horizontalCentered="1"/>
  <pageMargins left="0.68" right="0.2755905511811024" top="0.53" bottom="0.55" header="0.25" footer="0.26"/>
  <pageSetup firstPageNumber="57" useFirstPageNumber="1" horizontalDpi="600" verticalDpi="600" orientation="portrait" paperSize="9" scale="70" r:id="rId1"/>
  <headerFooter alignWithMargins="0">
    <oddFooter>&amp;R&amp;P</oddFooter>
  </headerFooter>
  <rowBreaks count="1" manualBreakCount="1">
    <brk id="84" max="6" man="1"/>
  </rowBreaks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E3" sqref="E3:H3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12.00390625" style="0" hidden="1" customWidth="1"/>
    <col min="5" max="5" width="32.7109375" style="0" customWidth="1"/>
    <col min="6" max="6" width="15.8515625" style="0" customWidth="1"/>
    <col min="7" max="7" width="16.28125" style="0" customWidth="1"/>
    <col min="8" max="8" width="13.28125" style="0" customWidth="1"/>
  </cols>
  <sheetData>
    <row r="1" spans="2:206" s="49" customFormat="1" ht="12.75">
      <c r="B1" s="50"/>
      <c r="D1" s="275" t="s">
        <v>604</v>
      </c>
      <c r="F1" s="50"/>
      <c r="H1" s="275" t="s">
        <v>604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49" customFormat="1" ht="12.75">
      <c r="B2" s="50"/>
      <c r="D2" s="275"/>
      <c r="F2" s="50"/>
      <c r="H2" s="27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49" customFormat="1" ht="12.75">
      <c r="A3" s="846" t="s">
        <v>826</v>
      </c>
      <c r="B3" s="846"/>
      <c r="C3" s="846"/>
      <c r="D3" s="846"/>
      <c r="E3" s="846" t="s">
        <v>826</v>
      </c>
      <c r="F3" s="846"/>
      <c r="G3" s="846"/>
      <c r="H3" s="84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49" customFormat="1" ht="12.75">
      <c r="B4" s="50"/>
      <c r="D4" s="275"/>
      <c r="F4" s="50"/>
      <c r="H4" s="27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908" t="s">
        <v>605</v>
      </c>
      <c r="B5" s="908"/>
      <c r="C5" s="908"/>
      <c r="D5" s="908"/>
      <c r="E5" s="908" t="s">
        <v>605</v>
      </c>
      <c r="F5" s="908"/>
      <c r="G5" s="908"/>
      <c r="H5" s="908"/>
    </row>
    <row r="6" spans="1:8" ht="12.75">
      <c r="A6" s="906" t="s">
        <v>142</v>
      </c>
      <c r="B6" s="906"/>
      <c r="C6" s="906"/>
      <c r="D6" s="906"/>
      <c r="E6" s="846" t="s">
        <v>132</v>
      </c>
      <c r="F6" s="846"/>
      <c r="G6" s="846"/>
      <c r="H6" s="846"/>
    </row>
    <row r="7" spans="1:8" ht="12.75">
      <c r="A7" s="224"/>
      <c r="B7" s="224"/>
      <c r="C7" s="224"/>
      <c r="D7" s="224"/>
      <c r="E7" s="224"/>
      <c r="F7" s="224"/>
      <c r="G7" s="224"/>
      <c r="H7" s="224"/>
    </row>
    <row r="8" spans="4:8" ht="12.75">
      <c r="D8" s="2" t="s">
        <v>210</v>
      </c>
      <c r="H8" s="2" t="s">
        <v>749</v>
      </c>
    </row>
    <row r="9" spans="1:8" s="659" customFormat="1" ht="57" customHeight="1">
      <c r="A9" s="658" t="s">
        <v>644</v>
      </c>
      <c r="B9" s="278" t="s">
        <v>606</v>
      </c>
      <c r="C9" s="278" t="s">
        <v>613</v>
      </c>
      <c r="D9" s="278" t="s">
        <v>614</v>
      </c>
      <c r="E9" s="658" t="s">
        <v>644</v>
      </c>
      <c r="F9" s="278" t="s">
        <v>606</v>
      </c>
      <c r="G9" s="278" t="s">
        <v>613</v>
      </c>
      <c r="H9" s="278" t="s">
        <v>614</v>
      </c>
    </row>
    <row r="10" spans="1:8" s="661" customFormat="1" ht="11.25" customHeight="1">
      <c r="A10" s="660">
        <v>1</v>
      </c>
      <c r="B10" s="660">
        <v>2</v>
      </c>
      <c r="C10" s="8">
        <v>3</v>
      </c>
      <c r="D10" s="8" t="s">
        <v>615</v>
      </c>
      <c r="E10" s="660">
        <v>1</v>
      </c>
      <c r="F10" s="660">
        <v>2</v>
      </c>
      <c r="G10" s="8">
        <v>3</v>
      </c>
      <c r="H10" s="8" t="s">
        <v>615</v>
      </c>
    </row>
    <row r="11" spans="1:8" s="664" customFormat="1" ht="15">
      <c r="A11" s="662" t="s">
        <v>616</v>
      </c>
      <c r="B11" s="663">
        <f>B12+B35</f>
        <v>49031643</v>
      </c>
      <c r="C11" s="663">
        <f>C12+C35</f>
        <v>104819541</v>
      </c>
      <c r="D11" s="663">
        <f>C11-B11</f>
        <v>55787898</v>
      </c>
      <c r="E11" s="662" t="s">
        <v>616</v>
      </c>
      <c r="F11" s="663">
        <f>F12+F35</f>
        <v>49032</v>
      </c>
      <c r="G11" s="663">
        <f>G12+G35</f>
        <v>104819</v>
      </c>
      <c r="H11" s="663">
        <f>G11-F11</f>
        <v>55787</v>
      </c>
    </row>
    <row r="12" spans="1:8" s="436" customFormat="1" ht="12.75">
      <c r="A12" s="212" t="s">
        <v>617</v>
      </c>
      <c r="B12" s="213">
        <f>B13+B22</f>
        <v>47461838</v>
      </c>
      <c r="C12" s="213">
        <f>C13+C22</f>
        <v>103173201</v>
      </c>
      <c r="D12" s="213">
        <f aca="true" t="shared" si="0" ref="D12:D41">C12-B12</f>
        <v>55711363</v>
      </c>
      <c r="E12" s="212" t="s">
        <v>617</v>
      </c>
      <c r="F12" s="213">
        <f>F13+F22</f>
        <v>47462</v>
      </c>
      <c r="G12" s="213">
        <f>G13+G22</f>
        <v>103173</v>
      </c>
      <c r="H12" s="213">
        <f aca="true" t="shared" si="1" ref="H12:H41">G12-F12</f>
        <v>55711</v>
      </c>
    </row>
    <row r="13" spans="1:8" s="636" customFormat="1" ht="12">
      <c r="A13" s="74" t="s">
        <v>618</v>
      </c>
      <c r="B13" s="177">
        <f>SUM(B14:B21)</f>
        <v>25367091</v>
      </c>
      <c r="C13" s="177">
        <f>SUM(C14:C21)</f>
        <v>18341865</v>
      </c>
      <c r="D13" s="177">
        <f t="shared" si="0"/>
        <v>-7025226</v>
      </c>
      <c r="E13" s="74" t="s">
        <v>618</v>
      </c>
      <c r="F13" s="177">
        <f>SUM(F14:F21)</f>
        <v>25367</v>
      </c>
      <c r="G13" s="177">
        <f>SUM(G14:G21)</f>
        <v>18342</v>
      </c>
      <c r="H13" s="177">
        <f t="shared" si="1"/>
        <v>-7025</v>
      </c>
    </row>
    <row r="14" spans="1:8" s="38" customFormat="1" ht="11.25">
      <c r="A14" s="65" t="s">
        <v>673</v>
      </c>
      <c r="B14" s="545">
        <v>24184285</v>
      </c>
      <c r="C14" s="545">
        <f>1233119+1074596+7165152+2006862+354473+3428167</f>
        <v>15262369</v>
      </c>
      <c r="D14" s="545">
        <f t="shared" si="0"/>
        <v>-8921916</v>
      </c>
      <c r="E14" s="65" t="s">
        <v>673</v>
      </c>
      <c r="F14" s="545">
        <f>ROUND(B14/1000,0)</f>
        <v>24184</v>
      </c>
      <c r="G14" s="545">
        <f>ROUND(C14/1000,0)</f>
        <v>15262</v>
      </c>
      <c r="H14" s="545">
        <f t="shared" si="1"/>
        <v>-8922</v>
      </c>
    </row>
    <row r="15" spans="1:8" s="38" customFormat="1" ht="11.25">
      <c r="A15" s="65" t="s">
        <v>619</v>
      </c>
      <c r="B15" s="545">
        <f>1683+47151</f>
        <v>48834</v>
      </c>
      <c r="C15" s="545">
        <v>54129</v>
      </c>
      <c r="D15" s="545">
        <f t="shared" si="0"/>
        <v>5295</v>
      </c>
      <c r="E15" s="65" t="s">
        <v>619</v>
      </c>
      <c r="F15" s="545">
        <f aca="true" t="shared" si="2" ref="F15:G30">ROUND(B15/1000,0)</f>
        <v>49</v>
      </c>
      <c r="G15" s="545">
        <f t="shared" si="2"/>
        <v>54</v>
      </c>
      <c r="H15" s="545">
        <f t="shared" si="1"/>
        <v>5</v>
      </c>
    </row>
    <row r="16" spans="1:8" s="38" customFormat="1" ht="11.25">
      <c r="A16" s="65" t="s">
        <v>620</v>
      </c>
      <c r="B16" s="545">
        <f>1051331+27952</f>
        <v>1079283</v>
      </c>
      <c r="C16" s="545">
        <f>2980931+28942</f>
        <v>3009873</v>
      </c>
      <c r="D16" s="545">
        <f t="shared" si="0"/>
        <v>1930590</v>
      </c>
      <c r="E16" s="65" t="s">
        <v>620</v>
      </c>
      <c r="F16" s="545">
        <f t="shared" si="2"/>
        <v>1079</v>
      </c>
      <c r="G16" s="545">
        <f t="shared" si="2"/>
        <v>3010</v>
      </c>
      <c r="H16" s="545">
        <f t="shared" si="1"/>
        <v>1931</v>
      </c>
    </row>
    <row r="17" spans="1:8" s="38" customFormat="1" ht="11.25">
      <c r="A17" s="65" t="s">
        <v>621</v>
      </c>
      <c r="B17" s="545">
        <v>11043</v>
      </c>
      <c r="C17" s="545">
        <v>13679</v>
      </c>
      <c r="D17" s="545">
        <f t="shared" si="0"/>
        <v>2636</v>
      </c>
      <c r="E17" s="65" t="s">
        <v>621</v>
      </c>
      <c r="F17" s="545">
        <f t="shared" si="2"/>
        <v>11</v>
      </c>
      <c r="G17" s="545">
        <f>ROUND(C17/1000,0)</f>
        <v>14</v>
      </c>
      <c r="H17" s="545">
        <f t="shared" si="1"/>
        <v>3</v>
      </c>
    </row>
    <row r="18" spans="1:8" s="38" customFormat="1" ht="11.25">
      <c r="A18" s="65" t="s">
        <v>622</v>
      </c>
      <c r="B18" s="545">
        <v>1284</v>
      </c>
      <c r="C18" s="545">
        <v>1815</v>
      </c>
      <c r="D18" s="545">
        <f t="shared" si="0"/>
        <v>531</v>
      </c>
      <c r="E18" s="65" t="s">
        <v>623</v>
      </c>
      <c r="F18" s="545">
        <f t="shared" si="2"/>
        <v>1</v>
      </c>
      <c r="G18" s="545">
        <f t="shared" si="2"/>
        <v>2</v>
      </c>
      <c r="H18" s="545">
        <f t="shared" si="1"/>
        <v>1</v>
      </c>
    </row>
    <row r="19" spans="1:8" s="38" customFormat="1" ht="11.25">
      <c r="A19" s="65" t="s">
        <v>624</v>
      </c>
      <c r="B19" s="545"/>
      <c r="C19" s="545"/>
      <c r="D19" s="545">
        <f t="shared" si="0"/>
        <v>0</v>
      </c>
      <c r="E19" s="65" t="s">
        <v>624</v>
      </c>
      <c r="F19" s="545">
        <f t="shared" si="2"/>
        <v>0</v>
      </c>
      <c r="G19" s="545">
        <f t="shared" si="2"/>
        <v>0</v>
      </c>
      <c r="H19" s="545">
        <f t="shared" si="1"/>
        <v>0</v>
      </c>
    </row>
    <row r="20" spans="1:8" s="38" customFormat="1" ht="11.25">
      <c r="A20" s="65" t="s">
        <v>625</v>
      </c>
      <c r="B20" s="545">
        <v>42362</v>
      </c>
      <c r="C20" s="545"/>
      <c r="D20" s="545">
        <f t="shared" si="0"/>
        <v>-42362</v>
      </c>
      <c r="E20" s="65" t="s">
        <v>625</v>
      </c>
      <c r="F20" s="545">
        <f>ROUND(B20/1000,0)+1</f>
        <v>43</v>
      </c>
      <c r="G20" s="545">
        <f t="shared" si="2"/>
        <v>0</v>
      </c>
      <c r="H20" s="545">
        <f t="shared" si="1"/>
        <v>-43</v>
      </c>
    </row>
    <row r="21" spans="1:8" s="38" customFormat="1" ht="11.25">
      <c r="A21" s="65" t="s">
        <v>626</v>
      </c>
      <c r="B21" s="545"/>
      <c r="C21" s="545"/>
      <c r="D21" s="545">
        <f t="shared" si="0"/>
        <v>0</v>
      </c>
      <c r="E21" s="65" t="s">
        <v>626</v>
      </c>
      <c r="F21" s="545">
        <f t="shared" si="2"/>
        <v>0</v>
      </c>
      <c r="G21" s="545">
        <f t="shared" si="2"/>
        <v>0</v>
      </c>
      <c r="H21" s="545">
        <f t="shared" si="1"/>
        <v>0</v>
      </c>
    </row>
    <row r="22" spans="1:8" s="636" customFormat="1" ht="12">
      <c r="A22" s="74" t="s">
        <v>627</v>
      </c>
      <c r="B22" s="177">
        <f>SUM(B23:B34)</f>
        <v>22094747</v>
      </c>
      <c r="C22" s="177">
        <f>SUM(C23:C34)</f>
        <v>84831336</v>
      </c>
      <c r="D22" s="177">
        <f t="shared" si="0"/>
        <v>62736589</v>
      </c>
      <c r="E22" s="74" t="s">
        <v>627</v>
      </c>
      <c r="F22" s="177">
        <f>SUM(F23:F34)</f>
        <v>22095</v>
      </c>
      <c r="G22" s="177">
        <f>SUM(G23:G34)</f>
        <v>84831</v>
      </c>
      <c r="H22" s="177">
        <f t="shared" si="1"/>
        <v>62736</v>
      </c>
    </row>
    <row r="23" spans="1:8" s="38" customFormat="1" ht="11.25">
      <c r="A23" s="65" t="s">
        <v>673</v>
      </c>
      <c r="B23" s="545">
        <v>22085409</v>
      </c>
      <c r="C23" s="545">
        <f>52800000+114011+2847400</f>
        <v>55761411</v>
      </c>
      <c r="D23" s="545">
        <f t="shared" si="0"/>
        <v>33676002</v>
      </c>
      <c r="E23" s="65" t="s">
        <v>673</v>
      </c>
      <c r="F23" s="545">
        <f>ROUND(B23/1000,0)+1</f>
        <v>22086</v>
      </c>
      <c r="G23" s="545">
        <f>ROUND(C23/1000,0)</f>
        <v>55761</v>
      </c>
      <c r="H23" s="545">
        <f t="shared" si="1"/>
        <v>33675</v>
      </c>
    </row>
    <row r="24" spans="1:8" s="38" customFormat="1" ht="11.25">
      <c r="A24" s="65" t="s">
        <v>619</v>
      </c>
      <c r="B24" s="545"/>
      <c r="C24" s="545">
        <v>10170000</v>
      </c>
      <c r="D24" s="545">
        <f t="shared" si="0"/>
        <v>10170000</v>
      </c>
      <c r="E24" s="65" t="s">
        <v>619</v>
      </c>
      <c r="F24" s="545">
        <f t="shared" si="2"/>
        <v>0</v>
      </c>
      <c r="G24" s="545">
        <f t="shared" si="2"/>
        <v>10170</v>
      </c>
      <c r="H24" s="545">
        <f t="shared" si="1"/>
        <v>10170</v>
      </c>
    </row>
    <row r="25" spans="1:8" s="38" customFormat="1" ht="11.25">
      <c r="A25" s="65" t="s">
        <v>620</v>
      </c>
      <c r="B25" s="545"/>
      <c r="C25" s="545">
        <v>7600000</v>
      </c>
      <c r="D25" s="545">
        <f t="shared" si="0"/>
        <v>7600000</v>
      </c>
      <c r="E25" s="65" t="s">
        <v>620</v>
      </c>
      <c r="F25" s="545">
        <f t="shared" si="2"/>
        <v>0</v>
      </c>
      <c r="G25" s="545">
        <f t="shared" si="2"/>
        <v>7600</v>
      </c>
      <c r="H25" s="545">
        <f t="shared" si="1"/>
        <v>7600</v>
      </c>
    </row>
    <row r="26" spans="1:8" s="38" customFormat="1" ht="11.25">
      <c r="A26" s="65" t="s">
        <v>628</v>
      </c>
      <c r="B26" s="545"/>
      <c r="C26" s="545">
        <v>4999925</v>
      </c>
      <c r="D26" s="545">
        <f t="shared" si="0"/>
        <v>4999925</v>
      </c>
      <c r="E26" s="65" t="s">
        <v>628</v>
      </c>
      <c r="F26" s="545">
        <f t="shared" si="2"/>
        <v>0</v>
      </c>
      <c r="G26" s="545">
        <f t="shared" si="2"/>
        <v>5000</v>
      </c>
      <c r="H26" s="545">
        <f t="shared" si="1"/>
        <v>5000</v>
      </c>
    </row>
    <row r="27" spans="1:8" s="38" customFormat="1" ht="11.25">
      <c r="A27" s="65" t="s">
        <v>621</v>
      </c>
      <c r="B27" s="545"/>
      <c r="C27" s="545"/>
      <c r="D27" s="545">
        <f t="shared" si="0"/>
        <v>0</v>
      </c>
      <c r="E27" s="65" t="s">
        <v>621</v>
      </c>
      <c r="F27" s="545">
        <f t="shared" si="2"/>
        <v>0</v>
      </c>
      <c r="G27" s="545">
        <f t="shared" si="2"/>
        <v>0</v>
      </c>
      <c r="H27" s="545">
        <f t="shared" si="1"/>
        <v>0</v>
      </c>
    </row>
    <row r="28" spans="1:8" s="38" customFormat="1" ht="11.25">
      <c r="A28" s="65" t="s">
        <v>629</v>
      </c>
      <c r="B28" s="545"/>
      <c r="C28" s="545"/>
      <c r="D28" s="545">
        <f t="shared" si="0"/>
        <v>0</v>
      </c>
      <c r="E28" s="65" t="s">
        <v>629</v>
      </c>
      <c r="F28" s="545">
        <f t="shared" si="2"/>
        <v>0</v>
      </c>
      <c r="G28" s="545">
        <f t="shared" si="2"/>
        <v>0</v>
      </c>
      <c r="H28" s="545">
        <f t="shared" si="1"/>
        <v>0</v>
      </c>
    </row>
    <row r="29" spans="1:8" s="38" customFormat="1" ht="11.25">
      <c r="A29" s="65" t="s">
        <v>624</v>
      </c>
      <c r="B29" s="545">
        <v>9338</v>
      </c>
      <c r="C29" s="545"/>
      <c r="D29" s="545">
        <f t="shared" si="0"/>
        <v>-9338</v>
      </c>
      <c r="E29" s="65" t="s">
        <v>624</v>
      </c>
      <c r="F29" s="545">
        <f t="shared" si="2"/>
        <v>9</v>
      </c>
      <c r="G29" s="545">
        <f t="shared" si="2"/>
        <v>0</v>
      </c>
      <c r="H29" s="545">
        <f t="shared" si="1"/>
        <v>-9</v>
      </c>
    </row>
    <row r="30" spans="1:8" s="38" customFormat="1" ht="11.25">
      <c r="A30" s="65" t="s">
        <v>625</v>
      </c>
      <c r="B30" s="545"/>
      <c r="C30" s="545"/>
      <c r="D30" s="545">
        <f t="shared" si="0"/>
        <v>0</v>
      </c>
      <c r="E30" s="65" t="s">
        <v>625</v>
      </c>
      <c r="F30" s="545">
        <f t="shared" si="2"/>
        <v>0</v>
      </c>
      <c r="G30" s="545">
        <f t="shared" si="2"/>
        <v>0</v>
      </c>
      <c r="H30" s="545">
        <f t="shared" si="1"/>
        <v>0</v>
      </c>
    </row>
    <row r="31" spans="1:8" s="38" customFormat="1" ht="11.25">
      <c r="A31" s="65" t="s">
        <v>622</v>
      </c>
      <c r="B31" s="545"/>
      <c r="C31" s="545">
        <v>3300000</v>
      </c>
      <c r="D31" s="545">
        <f t="shared" si="0"/>
        <v>3300000</v>
      </c>
      <c r="E31" s="65" t="s">
        <v>623</v>
      </c>
      <c r="F31" s="545">
        <f aca="true" t="shared" si="3" ref="F31:G34">ROUND(B31/1000,0)</f>
        <v>0</v>
      </c>
      <c r="G31" s="545">
        <f t="shared" si="3"/>
        <v>3300</v>
      </c>
      <c r="H31" s="545">
        <f t="shared" si="1"/>
        <v>3300</v>
      </c>
    </row>
    <row r="32" spans="1:8" s="38" customFormat="1" ht="11.25">
      <c r="A32" s="65" t="s">
        <v>630</v>
      </c>
      <c r="B32" s="545"/>
      <c r="C32" s="545">
        <v>1000000</v>
      </c>
      <c r="D32" s="545">
        <f t="shared" si="0"/>
        <v>1000000</v>
      </c>
      <c r="E32" s="65" t="s">
        <v>630</v>
      </c>
      <c r="F32" s="545">
        <f t="shared" si="3"/>
        <v>0</v>
      </c>
      <c r="G32" s="545">
        <f t="shared" si="3"/>
        <v>1000</v>
      </c>
      <c r="H32" s="545">
        <f t="shared" si="1"/>
        <v>1000</v>
      </c>
    </row>
    <row r="33" spans="1:8" s="38" customFormat="1" ht="11.25">
      <c r="A33" s="65" t="s">
        <v>631</v>
      </c>
      <c r="B33" s="545"/>
      <c r="C33" s="545">
        <v>2000000</v>
      </c>
      <c r="D33" s="545">
        <f t="shared" si="0"/>
        <v>2000000</v>
      </c>
      <c r="E33" s="65" t="s">
        <v>631</v>
      </c>
      <c r="F33" s="545">
        <f t="shared" si="3"/>
        <v>0</v>
      </c>
      <c r="G33" s="545">
        <f t="shared" si="3"/>
        <v>2000</v>
      </c>
      <c r="H33" s="545">
        <f t="shared" si="1"/>
        <v>2000</v>
      </c>
    </row>
    <row r="34" spans="1:8" s="38" customFormat="1" ht="11.25">
      <c r="A34" s="65" t="s">
        <v>626</v>
      </c>
      <c r="B34" s="545"/>
      <c r="C34" s="545"/>
      <c r="D34" s="545">
        <f t="shared" si="0"/>
        <v>0</v>
      </c>
      <c r="E34" s="65" t="s">
        <v>626</v>
      </c>
      <c r="F34" s="545">
        <f t="shared" si="3"/>
        <v>0</v>
      </c>
      <c r="G34" s="545">
        <f t="shared" si="3"/>
        <v>0</v>
      </c>
      <c r="H34" s="545">
        <f t="shared" si="1"/>
        <v>0</v>
      </c>
    </row>
    <row r="35" spans="1:8" s="436" customFormat="1" ht="12.75">
      <c r="A35" s="212" t="s">
        <v>632</v>
      </c>
      <c r="B35" s="213">
        <f>B36</f>
        <v>1569805</v>
      </c>
      <c r="C35" s="213">
        <f>C36</f>
        <v>1646340</v>
      </c>
      <c r="D35" s="213">
        <f t="shared" si="0"/>
        <v>76535</v>
      </c>
      <c r="E35" s="212" t="s">
        <v>632</v>
      </c>
      <c r="F35" s="213">
        <f>F36</f>
        <v>1570</v>
      </c>
      <c r="G35" s="213">
        <f>G36</f>
        <v>1646</v>
      </c>
      <c r="H35" s="213">
        <f t="shared" si="1"/>
        <v>76</v>
      </c>
    </row>
    <row r="36" spans="1:8" s="636" customFormat="1" ht="12">
      <c r="A36" s="74" t="s">
        <v>633</v>
      </c>
      <c r="B36" s="177">
        <f>SUM(B37:B41)</f>
        <v>1569805</v>
      </c>
      <c r="C36" s="177">
        <f>SUM(C37:C41)</f>
        <v>1646340</v>
      </c>
      <c r="D36" s="177">
        <f t="shared" si="0"/>
        <v>76535</v>
      </c>
      <c r="E36" s="74" t="s">
        <v>633</v>
      </c>
      <c r="F36" s="177">
        <f>SUM(F37:F41)</f>
        <v>1570</v>
      </c>
      <c r="G36" s="177">
        <f>SUM(G37:G41)</f>
        <v>1646</v>
      </c>
      <c r="H36" s="177">
        <f t="shared" si="1"/>
        <v>76</v>
      </c>
    </row>
    <row r="37" spans="1:8" s="38" customFormat="1" ht="11.25">
      <c r="A37" s="65" t="s">
        <v>634</v>
      </c>
      <c r="B37" s="545">
        <v>158837</v>
      </c>
      <c r="C37" s="545">
        <v>53603</v>
      </c>
      <c r="D37" s="545">
        <f t="shared" si="0"/>
        <v>-105234</v>
      </c>
      <c r="E37" s="65" t="s">
        <v>634</v>
      </c>
      <c r="F37" s="545">
        <f aca="true" t="shared" si="4" ref="F37:G41">ROUND(B37/1000,0)</f>
        <v>159</v>
      </c>
      <c r="G37" s="545">
        <f>ROUND(C37/1000,0)</f>
        <v>54</v>
      </c>
      <c r="H37" s="545">
        <f t="shared" si="1"/>
        <v>-105</v>
      </c>
    </row>
    <row r="38" spans="1:8" s="38" customFormat="1" ht="11.25">
      <c r="A38" s="65" t="s">
        <v>635</v>
      </c>
      <c r="B38" s="545">
        <v>760900</v>
      </c>
      <c r="C38" s="545">
        <v>484335</v>
      </c>
      <c r="D38" s="545">
        <f t="shared" si="0"/>
        <v>-276565</v>
      </c>
      <c r="E38" s="65" t="s">
        <v>635</v>
      </c>
      <c r="F38" s="545">
        <f t="shared" si="4"/>
        <v>761</v>
      </c>
      <c r="G38" s="545">
        <f>ROUND(C38/1000,0)</f>
        <v>484</v>
      </c>
      <c r="H38" s="545">
        <f t="shared" si="1"/>
        <v>-277</v>
      </c>
    </row>
    <row r="39" spans="1:8" s="38" customFormat="1" ht="11.25">
      <c r="A39" s="65" t="s">
        <v>636</v>
      </c>
      <c r="B39" s="545">
        <v>120897</v>
      </c>
      <c r="C39" s="545">
        <v>144939</v>
      </c>
      <c r="D39" s="545">
        <f t="shared" si="0"/>
        <v>24042</v>
      </c>
      <c r="E39" s="65" t="s">
        <v>636</v>
      </c>
      <c r="F39" s="545">
        <f t="shared" si="4"/>
        <v>121</v>
      </c>
      <c r="G39" s="545">
        <f>ROUND(C39/1000,0)</f>
        <v>145</v>
      </c>
      <c r="H39" s="545">
        <f t="shared" si="1"/>
        <v>24</v>
      </c>
    </row>
    <row r="40" spans="1:8" s="38" customFormat="1" ht="11.25">
      <c r="A40" s="65" t="s">
        <v>637</v>
      </c>
      <c r="B40" s="545">
        <v>37031</v>
      </c>
      <c r="C40" s="545"/>
      <c r="D40" s="545">
        <f t="shared" si="0"/>
        <v>-37031</v>
      </c>
      <c r="E40" s="65" t="s">
        <v>637</v>
      </c>
      <c r="F40" s="545">
        <f>ROUND(B40/1000,0)</f>
        <v>37</v>
      </c>
      <c r="G40" s="545">
        <f t="shared" si="4"/>
        <v>0</v>
      </c>
      <c r="H40" s="545">
        <f t="shared" si="1"/>
        <v>-37</v>
      </c>
    </row>
    <row r="41" spans="1:8" s="38" customFormat="1" ht="11.25">
      <c r="A41" s="65" t="s">
        <v>638</v>
      </c>
      <c r="B41" s="545">
        <v>492140</v>
      </c>
      <c r="C41" s="545">
        <v>963463</v>
      </c>
      <c r="D41" s="545">
        <f t="shared" si="0"/>
        <v>471323</v>
      </c>
      <c r="E41" s="65" t="s">
        <v>638</v>
      </c>
      <c r="F41" s="545">
        <f t="shared" si="4"/>
        <v>492</v>
      </c>
      <c r="G41" s="545">
        <f t="shared" si="4"/>
        <v>963</v>
      </c>
      <c r="H41" s="545">
        <f t="shared" si="1"/>
        <v>471</v>
      </c>
    </row>
    <row r="42" ht="12.75">
      <c r="E42" s="38"/>
    </row>
    <row r="44" spans="1:8" s="49" customFormat="1" ht="12.75">
      <c r="A44" s="49" t="s">
        <v>639</v>
      </c>
      <c r="B44" s="629"/>
      <c r="C44" s="629"/>
      <c r="D44" s="339" t="s">
        <v>859</v>
      </c>
      <c r="F44" s="83"/>
      <c r="G44" s="83"/>
      <c r="H44" s="339"/>
    </row>
    <row r="46" spans="5:8" ht="12.75">
      <c r="E46" s="49" t="s">
        <v>639</v>
      </c>
      <c r="G46" s="907" t="s">
        <v>1019</v>
      </c>
      <c r="H46" s="907"/>
    </row>
    <row r="52" ht="12.75">
      <c r="E52" s="38" t="s">
        <v>823</v>
      </c>
    </row>
    <row r="53" ht="12.75">
      <c r="E53" s="38" t="s">
        <v>143</v>
      </c>
    </row>
  </sheetData>
  <mergeCells count="7">
    <mergeCell ref="A6:D6"/>
    <mergeCell ref="E6:H6"/>
    <mergeCell ref="G46:H46"/>
    <mergeCell ref="A3:D3"/>
    <mergeCell ref="E3:H3"/>
    <mergeCell ref="A5:D5"/>
    <mergeCell ref="E5:H5"/>
  </mergeCells>
  <printOptions horizontalCentered="1"/>
  <pageMargins left="0.9448818897637796" right="0.5511811023622047" top="0.98425196850393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8"/>
  <sheetViews>
    <sheetView workbookViewId="0" topLeftCell="I1">
      <selection activeCell="I4" sqref="I4:N4"/>
    </sheetView>
  </sheetViews>
  <sheetFormatPr defaultColWidth="9.140625" defaultRowHeight="17.25" customHeight="1"/>
  <cols>
    <col min="1" max="1" width="37.7109375" style="140" hidden="1" customWidth="1"/>
    <col min="2" max="2" width="12.140625" style="140" hidden="1" customWidth="1"/>
    <col min="3" max="3" width="12.421875" style="140" hidden="1" customWidth="1"/>
    <col min="4" max="4" width="11.140625" style="140" hidden="1" customWidth="1"/>
    <col min="5" max="5" width="7.8515625" style="140" hidden="1" customWidth="1"/>
    <col min="6" max="6" width="12.7109375" style="140" hidden="1" customWidth="1"/>
    <col min="7" max="7" width="12.28125" style="140" hidden="1" customWidth="1"/>
    <col min="8" max="8" width="6.57421875" style="140" hidden="1" customWidth="1"/>
    <col min="9" max="9" width="35.00390625" style="140" customWidth="1"/>
    <col min="10" max="10" width="11.8515625" style="140" customWidth="1"/>
    <col min="11" max="11" width="12.57421875" style="140" customWidth="1"/>
    <col min="12" max="12" width="8.421875" style="140" customWidth="1"/>
    <col min="13" max="13" width="7.7109375" style="140" customWidth="1"/>
    <col min="14" max="14" width="10.28125" style="140" customWidth="1"/>
    <col min="15" max="15" width="9.7109375" style="140" customWidth="1"/>
    <col min="16" max="16" width="9.140625" style="140" hidden="1" customWidth="1"/>
    <col min="17" max="18" width="7.421875" style="140" hidden="1" customWidth="1"/>
    <col min="19" max="19" width="11.421875" style="140" hidden="1" customWidth="1"/>
    <col min="20" max="16384" width="11.421875" style="140" customWidth="1"/>
  </cols>
  <sheetData>
    <row r="1" spans="2:15" ht="17.25" customHeight="1">
      <c r="B1" s="141"/>
      <c r="C1" s="141"/>
      <c r="D1" s="141"/>
      <c r="E1" s="141"/>
      <c r="F1" s="141"/>
      <c r="G1" s="140" t="s">
        <v>861</v>
      </c>
      <c r="J1" s="141"/>
      <c r="K1" s="141"/>
      <c r="L1" s="141"/>
      <c r="M1" s="141"/>
      <c r="N1" s="141"/>
      <c r="O1" s="140" t="s">
        <v>861</v>
      </c>
    </row>
    <row r="2" spans="1:14" ht="17.25" customHeight="1">
      <c r="A2" s="141" t="s">
        <v>862</v>
      </c>
      <c r="B2" s="141"/>
      <c r="C2" s="141"/>
      <c r="D2" s="141"/>
      <c r="E2" s="141"/>
      <c r="F2" s="141"/>
      <c r="I2" s="141" t="s">
        <v>862</v>
      </c>
      <c r="J2" s="141"/>
      <c r="K2" s="141"/>
      <c r="L2" s="141"/>
      <c r="M2" s="141"/>
      <c r="N2" s="141"/>
    </row>
    <row r="3" spans="1:15" ht="17.25" customHeight="1">
      <c r="A3" s="142" t="s">
        <v>863</v>
      </c>
      <c r="B3" s="141"/>
      <c r="C3" s="141"/>
      <c r="D3" s="141"/>
      <c r="E3" s="141"/>
      <c r="F3" s="141"/>
      <c r="I3" s="851" t="s">
        <v>863</v>
      </c>
      <c r="J3" s="851"/>
      <c r="K3" s="851"/>
      <c r="L3" s="851"/>
      <c r="M3" s="851"/>
      <c r="N3" s="851"/>
      <c r="O3" s="851"/>
    </row>
    <row r="4" spans="1:14" ht="17.25" customHeight="1">
      <c r="A4" s="852" t="s">
        <v>129</v>
      </c>
      <c r="B4" s="852"/>
      <c r="C4" s="852"/>
      <c r="D4" s="852"/>
      <c r="E4" s="852"/>
      <c r="F4" s="852"/>
      <c r="I4" s="850" t="s">
        <v>98</v>
      </c>
      <c r="J4" s="850"/>
      <c r="K4" s="850"/>
      <c r="L4" s="850"/>
      <c r="M4" s="850"/>
      <c r="N4" s="850"/>
    </row>
    <row r="5" spans="1:14" ht="17.25" customHeight="1">
      <c r="A5" s="850" t="s">
        <v>864</v>
      </c>
      <c r="B5" s="850"/>
      <c r="C5" s="850"/>
      <c r="D5" s="850"/>
      <c r="E5" s="850"/>
      <c r="F5" s="850"/>
      <c r="I5" s="850" t="s">
        <v>864</v>
      </c>
      <c r="J5" s="850"/>
      <c r="K5" s="850"/>
      <c r="L5" s="850"/>
      <c r="M5" s="850"/>
      <c r="N5" s="850"/>
    </row>
    <row r="6" spans="1:14" ht="17.25" customHeight="1" hidden="1">
      <c r="A6" s="143"/>
      <c r="B6" s="143"/>
      <c r="C6" s="143"/>
      <c r="D6" s="143"/>
      <c r="E6" s="143"/>
      <c r="F6" s="143"/>
      <c r="I6" s="143"/>
      <c r="J6" s="143"/>
      <c r="K6" s="143"/>
      <c r="L6" s="143"/>
      <c r="M6" s="143"/>
      <c r="N6" s="143"/>
    </row>
    <row r="7" spans="1:15" ht="15.75" customHeight="1">
      <c r="A7" s="850"/>
      <c r="B7" s="850"/>
      <c r="C7" s="850"/>
      <c r="D7" s="850"/>
      <c r="E7" s="850"/>
      <c r="F7" s="850"/>
      <c r="G7" s="140" t="s">
        <v>749</v>
      </c>
      <c r="I7" s="850"/>
      <c r="J7" s="850"/>
      <c r="K7" s="850"/>
      <c r="L7" s="850"/>
      <c r="M7" s="850"/>
      <c r="N7" s="850"/>
      <c r="O7" s="140" t="s">
        <v>749</v>
      </c>
    </row>
    <row r="8" spans="1:15" ht="85.5" customHeight="1">
      <c r="A8" s="144" t="s">
        <v>644</v>
      </c>
      <c r="B8" s="144" t="s">
        <v>750</v>
      </c>
      <c r="C8" s="144" t="s">
        <v>865</v>
      </c>
      <c r="D8" s="144" t="s">
        <v>751</v>
      </c>
      <c r="E8" s="144" t="s">
        <v>866</v>
      </c>
      <c r="F8" s="144" t="s">
        <v>867</v>
      </c>
      <c r="G8" s="144" t="s">
        <v>813</v>
      </c>
      <c r="I8" s="144" t="s">
        <v>644</v>
      </c>
      <c r="J8" s="144" t="s">
        <v>750</v>
      </c>
      <c r="K8" s="144" t="s">
        <v>865</v>
      </c>
      <c r="L8" s="144" t="s">
        <v>751</v>
      </c>
      <c r="M8" s="144" t="s">
        <v>866</v>
      </c>
      <c r="N8" s="144" t="s">
        <v>867</v>
      </c>
      <c r="O8" s="144" t="s">
        <v>101</v>
      </c>
    </row>
    <row r="9" spans="1:15" ht="12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5">
        <v>7</v>
      </c>
      <c r="I9" s="144">
        <v>1</v>
      </c>
      <c r="J9" s="144">
        <v>2</v>
      </c>
      <c r="K9" s="144">
        <v>3</v>
      </c>
      <c r="L9" s="144">
        <v>4</v>
      </c>
      <c r="M9" s="144">
        <v>5</v>
      </c>
      <c r="N9" s="144">
        <v>6</v>
      </c>
      <c r="O9" s="145">
        <v>7</v>
      </c>
    </row>
    <row r="10" spans="1:19" ht="17.25" customHeight="1">
      <c r="A10" s="146" t="s">
        <v>868</v>
      </c>
      <c r="B10" s="147">
        <v>795345958</v>
      </c>
      <c r="C10" s="148"/>
      <c r="D10" s="147">
        <v>553835946</v>
      </c>
      <c r="E10" s="149">
        <f aca="true" t="shared" si="0" ref="E10:E19">IF(ISERROR(D10/B10)," ",(D10/B10))*100</f>
        <v>69.63459616902963</v>
      </c>
      <c r="F10" s="150"/>
      <c r="G10" s="151">
        <v>57956717</v>
      </c>
      <c r="I10" s="146" t="s">
        <v>868</v>
      </c>
      <c r="J10" s="147">
        <v>795346</v>
      </c>
      <c r="K10" s="152"/>
      <c r="L10" s="147">
        <f>ROUND(D10/1000,0)</f>
        <v>553836</v>
      </c>
      <c r="M10" s="156">
        <f aca="true" t="shared" si="1" ref="M10:M20">L10/J10*100</f>
        <v>69.63459928131908</v>
      </c>
      <c r="N10" s="153"/>
      <c r="O10" s="147">
        <f>ROUND(G10/1000,0)</f>
        <v>57957</v>
      </c>
      <c r="Q10" s="147">
        <v>553836</v>
      </c>
      <c r="R10" s="147">
        <v>495879</v>
      </c>
      <c r="S10" s="140">
        <f aca="true" t="shared" si="2" ref="S10:S73">Q10-R10</f>
        <v>57957</v>
      </c>
    </row>
    <row r="11" spans="1:19" ht="12.75" customHeight="1">
      <c r="A11" s="154" t="s">
        <v>869</v>
      </c>
      <c r="B11" s="672">
        <f>B22+B28+B35+B43+B50+B57+B66+B77+B85+B94+B102+B110+B119+B127+B135+B143+B150+B158+B164+B171+B178+B184+B189+B195+B202+B207+B215+B223+B230+B236</f>
        <v>831560440</v>
      </c>
      <c r="C11" s="672">
        <f>C22+C28+C35+C43+C50+C57+C66+C77+C85+C94+C102+C110+C119+C127+C135+C143+C150+C158+C164+C171+C178+C184+C189+C195+C202+C207+C215+C223+C230+C236</f>
        <v>609661887</v>
      </c>
      <c r="D11" s="672">
        <f>D22+D28+D35+D43+D50+D57+D66+D77+D85+D94+D102+D110+D119+D127+D135+D143+D150+D158+D164+D171+D178+D184+D189+D195+D202+D207+D215+D223+D230+D236</f>
        <v>594789117.31</v>
      </c>
      <c r="E11" s="149">
        <f t="shared" si="0"/>
        <v>71.52686548075808</v>
      </c>
      <c r="F11" s="149">
        <f aca="true" t="shared" si="3" ref="F11:F18">IF(ISERROR(D11/C11)," ",(D11/C11))*100</f>
        <v>97.56048885338964</v>
      </c>
      <c r="G11" s="672">
        <f>G22+G28+G35+G43+G50+G57+G66+G77+G85+G94+G102+G110+G119+G127+G135+G143+G150+G158+G164+G171+G178+G184+G189+G195+G202+G207+G215+G223+G230+G236</f>
        <v>67298753.36</v>
      </c>
      <c r="I11" s="154" t="s">
        <v>869</v>
      </c>
      <c r="J11" s="147">
        <f>J22+J28+J35+J43+J50+J57+J66+J77+J85+J94+J102+J110+J119+J127+J135+J143+J150+J158+J164+J171+J178+J184+J189+J195+J202+J207+J215+J223+J230+J236</f>
        <v>831560</v>
      </c>
      <c r="K11" s="147">
        <f>K22+K28+K35+K43+K50+K57+K66+K77+K85+K94+K102+K110+K119+K127+K135+K143+K150+K158+K164+K171+K178+K184+K189+K195+K202+K207+K215+K223+K230+K236</f>
        <v>609662</v>
      </c>
      <c r="L11" s="147">
        <f>L22+L28+L35+L43+L50+L57+L66+L77+L85+L94+L102+L110+L119+L127+L135+L143+L150+L158+L164+L171+L178+L184+L189+L195+L202+L207+L215+L223+L230+L236</f>
        <v>594789</v>
      </c>
      <c r="M11" s="156">
        <f t="shared" si="1"/>
        <v>71.52688922026071</v>
      </c>
      <c r="N11" s="156">
        <f aca="true" t="shared" si="4" ref="N11:N18">L11/K11*100</f>
        <v>97.56045152887994</v>
      </c>
      <c r="O11" s="147">
        <f>O22+O28+O35+O43+O50+O57+O66+O77+O85+O94+O102+O110+O119+O127+O135+O143+O150+O158+O164+O171+O178+O184+O189+O195+O202+O207+O215+O223+O230+O236</f>
        <v>67299</v>
      </c>
      <c r="Q11" s="147">
        <v>594789</v>
      </c>
      <c r="R11" s="147">
        <v>527490</v>
      </c>
      <c r="S11" s="140">
        <f t="shared" si="2"/>
        <v>67299</v>
      </c>
    </row>
    <row r="12" spans="1:19" ht="12.75" customHeight="1">
      <c r="A12" s="154" t="s">
        <v>870</v>
      </c>
      <c r="B12" s="155">
        <f>B23+B29+B36+B44+B51+B58+B67+B78+B86+B95+B103+B111+B120+B128+B136+B144+B151+B159+B165+B172+B179+B185+B190+B196+B203+B208+B216+B231+B237</f>
        <v>711819838</v>
      </c>
      <c r="C12" s="155">
        <f>C23+C29+C36+C44+C51+C58+C67+C78+C86+C95+C103+C111+C120+C128+C136+C144+C151+C159+C165+C172+C179+C185+C190+C196+C203+C208+C216+C231+C237</f>
        <v>533693105</v>
      </c>
      <c r="D12" s="155">
        <f>D23+D29+D36+D44+D51+D58+D67+D78+D86+D95+D103+D111+D120+D128+D136+D144+D151+D159+D165+D172+D179+D185+D190+D196+D203+D208+D216+D231+D237</f>
        <v>533693105</v>
      </c>
      <c r="E12" s="150">
        <f t="shared" si="0"/>
        <v>74.97586840225152</v>
      </c>
      <c r="F12" s="150">
        <f t="shared" si="3"/>
        <v>100</v>
      </c>
      <c r="G12" s="155">
        <f>G23+G29+G36+G44+G51+G58+G67+G78+G86+G95+G103+G111+G120+G128+G136+G144+G151+G159+G165+G172+G179+G185+G190+G196+G203+G208+G216+G231+G237</f>
        <v>57824996</v>
      </c>
      <c r="I12" s="154" t="s">
        <v>870</v>
      </c>
      <c r="J12" s="157">
        <f>J23+J29+J36+J44+J51+J58+J67+J78+J86+J95+J103+J111+J120+J128+J136+J144+J151+J159+J165+J172+J179+J185+J190+J196+J203+J208+J216+J231+J237</f>
        <v>711820</v>
      </c>
      <c r="K12" s="157">
        <f>K23+K29+K36+K44+K51+K58+K67+K78+K86+K95+K103+K111+K120+K128+K136+K144+K151+K159+K165+K172+K179+K185+K190+K196+K203+K208+K216+K231+K237</f>
        <v>533693</v>
      </c>
      <c r="L12" s="157">
        <f>L23+L29+L36+L44+L51+L58+L67+L78+L86+L95+L103+L111+L120+L128+L136+L144+L151+L159+L165+L172+L179+L185+L190+L196+L203+L208+L216+L231+L237</f>
        <v>533693</v>
      </c>
      <c r="M12" s="158">
        <f t="shared" si="1"/>
        <v>74.97583658790144</v>
      </c>
      <c r="N12" s="158">
        <f t="shared" si="4"/>
        <v>100</v>
      </c>
      <c r="O12" s="157">
        <f>O23+O29+O36+O44+O51+O58+O67+O78+O86+O95+O103+O111+O120+O128+O136+O144+O151+O159+O165+O172+O179+O185+O190+O196+O203+O208+O216+O231+O237</f>
        <v>57825</v>
      </c>
      <c r="Q12" s="157">
        <v>533693</v>
      </c>
      <c r="R12" s="157">
        <v>475868</v>
      </c>
      <c r="S12" s="140">
        <f t="shared" si="2"/>
        <v>57825</v>
      </c>
    </row>
    <row r="13" spans="1:19" ht="12.75" customHeight="1">
      <c r="A13" s="154" t="s">
        <v>871</v>
      </c>
      <c r="B13" s="155">
        <f>B59+B68+B87+B112</f>
        <v>3405024</v>
      </c>
      <c r="C13" s="155">
        <f>C59+C68+C87+C112</f>
        <v>2187900</v>
      </c>
      <c r="D13" s="155">
        <f>D59+D68+D87+D112</f>
        <v>1469041.13</v>
      </c>
      <c r="E13" s="150">
        <f t="shared" si="0"/>
        <v>43.14334142725572</v>
      </c>
      <c r="F13" s="150">
        <f t="shared" si="3"/>
        <v>67.14388820329997</v>
      </c>
      <c r="G13" s="155">
        <f>G59+G68+G87+G112</f>
        <v>183905.2</v>
      </c>
      <c r="I13" s="154" t="s">
        <v>871</v>
      </c>
      <c r="J13" s="157">
        <f>J59+J68+J87+J112</f>
        <v>3405</v>
      </c>
      <c r="K13" s="157">
        <f>K59+K68+K87+K112</f>
        <v>2188</v>
      </c>
      <c r="L13" s="157">
        <f>L59+L68+L87+L112</f>
        <v>1469</v>
      </c>
      <c r="M13" s="158">
        <f>L13/J13*100+0.01</f>
        <v>43.152437591776796</v>
      </c>
      <c r="N13" s="158">
        <f>L13/K13*100+0.1</f>
        <v>67.23893967093235</v>
      </c>
      <c r="O13" s="157">
        <f>O59+O68+O87+O112</f>
        <v>184</v>
      </c>
      <c r="Q13" s="157">
        <v>1469</v>
      </c>
      <c r="R13" s="157">
        <v>1285</v>
      </c>
      <c r="S13" s="140">
        <f t="shared" si="2"/>
        <v>184</v>
      </c>
    </row>
    <row r="14" spans="1:19" ht="12.75" customHeight="1">
      <c r="A14" s="154" t="s">
        <v>872</v>
      </c>
      <c r="B14" s="155">
        <f>B30+B37+B45+B52+B60+B69+B79+B88+B96+B104+B113+B121+B129+B137+B145+B152+B166+B173+B197+B224</f>
        <v>65026004</v>
      </c>
      <c r="C14" s="155">
        <f>C30+C37+C45+C52+C60+C69+C79+C88+C96+C104+C113+C121+C129+C137+C145+C152+C166+C173+C197+C224</f>
        <v>46811480</v>
      </c>
      <c r="D14" s="155">
        <f>D30+D37+D45+D52+D60+D69+D79+D88+D96+D104+D113+D121+D129+D137+D145+D152+D160+D166+D173+D191+D197+D217+D224</f>
        <v>45829606.29000001</v>
      </c>
      <c r="E14" s="150">
        <f t="shared" si="0"/>
        <v>70.47889070655489</v>
      </c>
      <c r="F14" s="150">
        <f t="shared" si="3"/>
        <v>97.90249376862258</v>
      </c>
      <c r="G14" s="155">
        <f>G30+G37+G45+G52+G60+G69+G79+G88+G96+G104+G113+G121+G129+G137+G145+G152+G160+G166+G173+G191+G197+G217+G224</f>
        <v>5940077.27</v>
      </c>
      <c r="I14" s="154" t="s">
        <v>872</v>
      </c>
      <c r="J14" s="157">
        <f>J30+J37+J45+J52+J60+J69+J79+J88+J96+J104+J113+J121+J129+J137+J145+J152+J166+J173+J197+J217+J224</f>
        <v>65026</v>
      </c>
      <c r="K14" s="157">
        <f>K30+K37+K45+K52+K60+K69+K79+K88+K96+K104+K113+K121+K129+K137+K145+K152+K166+K173+K197+K224</f>
        <v>46812</v>
      </c>
      <c r="L14" s="157">
        <f>L30+L37+L45+L52+L60+L69+L79+L88+L96+L104+L113+L121+L129+L137+L145+L152+L166+L173+L191+L197+L217+L224</f>
        <v>45830</v>
      </c>
      <c r="M14" s="158">
        <f>L14/J14*100+0.01</f>
        <v>70.48950050748931</v>
      </c>
      <c r="N14" s="158">
        <f t="shared" si="4"/>
        <v>97.90224728702043</v>
      </c>
      <c r="O14" s="157">
        <f>O30+O37+O45+O52+O60+O69+O79+O88+O96+O104+O113+O121+O129+O137+O145+O152+O160+O166+O173+O191+O197+O217+O224</f>
        <v>5940</v>
      </c>
      <c r="Q14" s="157">
        <v>45830</v>
      </c>
      <c r="R14" s="157">
        <v>39890</v>
      </c>
      <c r="S14" s="140">
        <f t="shared" si="2"/>
        <v>5940</v>
      </c>
    </row>
    <row r="15" spans="1:19" ht="12.75" customHeight="1">
      <c r="A15" s="154" t="s">
        <v>873</v>
      </c>
      <c r="B15" s="155">
        <f>B38+B61+B70+B80+B89+B97+B105+B114+B122+B130+B138+B153+B210+B218</f>
        <v>51309574</v>
      </c>
      <c r="C15" s="155">
        <f>C38+C61+C70+C80+C89+C97+C105+C114+C122+C130+C138+C153+C210+C218</f>
        <v>26969402</v>
      </c>
      <c r="D15" s="159">
        <f>D38+D61+D70+D80+D89+D97+D105+D114+D122+D130+D138+D153+D210+D218</f>
        <v>13797364.890000002</v>
      </c>
      <c r="E15" s="150">
        <f t="shared" si="0"/>
        <v>26.890429630150507</v>
      </c>
      <c r="F15" s="150">
        <f t="shared" si="3"/>
        <v>51.15932822685502</v>
      </c>
      <c r="G15" s="155">
        <f>G38+G61+G70+G80+G89+G97+G105+G114+G122+G130+G138+G153+G210+G218</f>
        <v>3349774.89</v>
      </c>
      <c r="I15" s="154" t="s">
        <v>873</v>
      </c>
      <c r="J15" s="157">
        <f>J38+J61+J70+J80+J89+J97+J105+J114+J122+J130+J138+J153+J210+J218</f>
        <v>51309</v>
      </c>
      <c r="K15" s="157">
        <f>K38+K61+K70+K80+K89+K97+K105+K114+K122+K130+K138+K153+K210+K218</f>
        <v>26969</v>
      </c>
      <c r="L15" s="157">
        <f>L38+L61+L70+L80+L89+L97+L105+L114+L122+L130+L138+L153+L210+L218</f>
        <v>13797</v>
      </c>
      <c r="M15" s="158">
        <f t="shared" si="1"/>
        <v>26.89001929486055</v>
      </c>
      <c r="N15" s="158">
        <f t="shared" si="4"/>
        <v>51.158737810078236</v>
      </c>
      <c r="O15" s="157">
        <f>O38+O61+O70+O80+O89+O97+O105+O114+O122+O130+O138+O153+O210+O218</f>
        <v>3350</v>
      </c>
      <c r="Q15" s="157">
        <v>13797</v>
      </c>
      <c r="R15" s="157">
        <v>10447</v>
      </c>
      <c r="S15" s="140">
        <f t="shared" si="2"/>
        <v>3350</v>
      </c>
    </row>
    <row r="16" spans="1:88" s="143" customFormat="1" ht="12.75" customHeight="1">
      <c r="A16" s="160" t="s">
        <v>874</v>
      </c>
      <c r="B16" s="161">
        <f>B24+B31+B39+B46+B53+B62+B71+B81+B90+B98+B106+B115+B123+B131+B139+B146+B154+B161+B167+B174+B180+B186+B192+B198+B204+B211+B219+B225+B232+B238</f>
        <v>832064074</v>
      </c>
      <c r="C16" s="161">
        <f>C24+C31+C39+C46+C53+C62+C71+C81+C90+C98+C106+C115+C123+C131+C139+C146+C154+C161+C167+C174+C180+C186+C192+C198+C204+C211+C219+C225+C232+C238</f>
        <v>610134727</v>
      </c>
      <c r="D16" s="161">
        <f>D24+D31+D39+D46+D53+D62+D71+D81+D90+D98+D106+D115+D123+D131+D139+D146+D154+D161+D167+D174+D180+D186+D192+D198+D204+D211+D219+D225+D232+D238</f>
        <v>569677845.72</v>
      </c>
      <c r="E16" s="149">
        <f t="shared" si="0"/>
        <v>68.46562224245245</v>
      </c>
      <c r="F16" s="149">
        <f t="shared" si="3"/>
        <v>93.36918888735865</v>
      </c>
      <c r="G16" s="161">
        <f>G24+G31+G39+G46+G53+G62+G71+G81+G90+G98+G106+G115+G123+G131+G139+G146+G154+G161+G167+G174+G180+G186+G192+G198+G204+G211+G219+G225+G232+G238</f>
        <v>61769008.389999986</v>
      </c>
      <c r="H16" s="140"/>
      <c r="I16" s="160" t="s">
        <v>874</v>
      </c>
      <c r="J16" s="147">
        <f>J17+J18</f>
        <v>832064</v>
      </c>
      <c r="K16" s="147">
        <f>K17+K18</f>
        <v>610134</v>
      </c>
      <c r="L16" s="147">
        <f>L17+L18</f>
        <v>569678</v>
      </c>
      <c r="M16" s="156">
        <f t="shared" si="1"/>
        <v>68.46564687331743</v>
      </c>
      <c r="N16" s="156">
        <f t="shared" si="4"/>
        <v>93.36932542687344</v>
      </c>
      <c r="O16" s="147">
        <f>O24+O31+O39+O46+O53+O62+O71+O81+O90+O98+O106+O115+O123+O131+O139+O146+O154+O161+O167+O174+O180+O186+O192+O198+O204+O211+O219+O225+O232+O238</f>
        <v>61769</v>
      </c>
      <c r="P16" s="140"/>
      <c r="Q16" s="147">
        <v>569678</v>
      </c>
      <c r="R16" s="147">
        <v>507909</v>
      </c>
      <c r="S16" s="140">
        <f t="shared" si="2"/>
        <v>61769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</row>
    <row r="17" spans="1:88" s="673" customFormat="1" ht="12.75" customHeight="1">
      <c r="A17" s="162" t="s">
        <v>875</v>
      </c>
      <c r="B17" s="163">
        <f>B25+B32+B40+B47+B54+B63+B72+B82+B91+B99+B107+B116+B124+B132+B140+B147+B155+B162+B175+B181+B187+B193+B199+B205+B212+B220+B226+B233+B239+B168</f>
        <v>754923325</v>
      </c>
      <c r="C17" s="163">
        <f>C25+C32+C40+C47+C54+C63+C72+C82+C91+C99+C107+C116+C124+C132+C140+C147+C155+C162+C175+C181+C187+C193+C199+C205+C212+C220+C226+C233+C239+C168</f>
        <v>552257325</v>
      </c>
      <c r="D17" s="163">
        <f>D25+D32+D40+D47+D54+D63+D72+D82+D91+D99+D107+D116+D124+D132+D140+D147+D155+D162+D175+D181+D187+D193+D199+D205+D212+D220+D226+D233+D239+D168</f>
        <v>529859890.85</v>
      </c>
      <c r="E17" s="150">
        <f t="shared" si="0"/>
        <v>70.18724594977908</v>
      </c>
      <c r="F17" s="150">
        <f t="shared" si="3"/>
        <v>95.94438441355214</v>
      </c>
      <c r="G17" s="163">
        <f>G25+G32+G40+G47+G54+G63+G72+G82+G91+G99+G107+G116+G124+G132+G140+G147+G155+G162+G175+G181+G187+G193+G199+G205+G212+G220+G226+G233+G239+G168</f>
        <v>56302981.93999999</v>
      </c>
      <c r="H17" s="140"/>
      <c r="I17" s="162" t="s">
        <v>875</v>
      </c>
      <c r="J17" s="163">
        <f>J25+J32+J40+J47+J54+J63+J72+J82+J91+J99+J107+J116+J124+J132+J140+J147+J155+J162+J175+J181+J187+J193+J199+J205+J212+J220+J226+J233+J239+J168</f>
        <v>754923</v>
      </c>
      <c r="K17" s="163">
        <f>K25+K32+K40+K47+K54+K63+K72+K82+K91+K99+K107+K116+K124+K132+K140+K147+K155+K162+K175+K181+K187+K193+K199+K205+K212+K220+K226+K233+K239+K168</f>
        <v>552257</v>
      </c>
      <c r="L17" s="163">
        <f>L25+L32+L40+L47+L54+L63+L72+L82+L91+L99+L107+L116+L124+L132+L140+L147+L155+L162+L175+L181+L187+L193+L199+L205+L212+L220+L226+L233+L239+L168</f>
        <v>529860</v>
      </c>
      <c r="M17" s="158">
        <f t="shared" si="1"/>
        <v>70.18729062434183</v>
      </c>
      <c r="N17" s="158">
        <f t="shared" si="4"/>
        <v>95.94446064060755</v>
      </c>
      <c r="O17" s="157">
        <f>O25+O32+O40+O47+O54+O63+O72+O82+O91+O99+O107+O116+O124+O132+O140+O147+O155+O162+O175+O181+O187+O193+O199+O205+O212+O220+O226+O233+O239+O168</f>
        <v>56303</v>
      </c>
      <c r="P17" s="140"/>
      <c r="Q17" s="163">
        <v>529860</v>
      </c>
      <c r="R17" s="163">
        <v>473557</v>
      </c>
      <c r="S17" s="140">
        <f t="shared" si="2"/>
        <v>56303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</row>
    <row r="18" spans="1:88" s="673" customFormat="1" ht="12.75" customHeight="1">
      <c r="A18" s="162" t="s">
        <v>876</v>
      </c>
      <c r="B18" s="163">
        <f>B26+B33+B41+B48+B55+B64+B73+B83+B92+B100+B108+B117+B125+B133+B141+B148+B156+B169+B176+B182+B200+B213+B221+B227+B234</f>
        <v>77140749</v>
      </c>
      <c r="C18" s="163">
        <f>C26+C33+C41+C48+C55+C64+C73+C83+C92+C100+C108+C117+C125+C133+C141+C148+C156+C163+C176+C182+C188+C194+C200+C206+C213+C221+C227+C234+C240+C169</f>
        <v>57877402</v>
      </c>
      <c r="D18" s="163">
        <f>D26+D33+D41+D48+D55+D64+D73+D83+D92+D100+D108+D117+D125+D133+D141+D148+D156+D169+D176+D182+D200+D213+D221+D227+D234</f>
        <v>39817954.870000005</v>
      </c>
      <c r="E18" s="150">
        <f t="shared" si="0"/>
        <v>51.617278009577014</v>
      </c>
      <c r="F18" s="150">
        <f t="shared" si="3"/>
        <v>68.79706672044472</v>
      </c>
      <c r="G18" s="163">
        <f>G26+G33+G41+G48+G55+G64+G73+G83+G92+G100+G108+G117+G125+G133+G141+G148+G156+G169+G176+G182+G200+G213+G221+G227+G234</f>
        <v>5466026.449999999</v>
      </c>
      <c r="H18" s="140"/>
      <c r="I18" s="162" t="s">
        <v>876</v>
      </c>
      <c r="J18" s="163">
        <f>J26+J33+J41+J48+J55+J64+J73+J83+J92+J100+J108+J117+J125+J133+J141+J148+J156+J169+J176+J182+J200+J213+J221+J227+J234</f>
        <v>77141</v>
      </c>
      <c r="K18" s="163">
        <f>K26+K33+K41+K48+K55+K64+K73+K83+K92+K100+K108+K117+K125+K133+K141+K148+K156+K169+K176+K182+K200+K213+K221+K227+K234</f>
        <v>57877</v>
      </c>
      <c r="L18" s="163">
        <f>L26+L33+L41+L48+L55+L64+L73+L83+L92+L100+L108+L117+L125+L133+L141+L148+L156+L169+L176+L182+L200+L213+L221+L227+L234</f>
        <v>39818</v>
      </c>
      <c r="M18" s="158">
        <f t="shared" si="1"/>
        <v>51.61716856146536</v>
      </c>
      <c r="N18" s="158">
        <f t="shared" si="4"/>
        <v>68.79762254436132</v>
      </c>
      <c r="O18" s="157">
        <f>O26+O33+O41+O48+O55+O64+O73+O83+O92+O100+O108+O117+O125+O133+O141+O148+O156+O169+O176+O182+O200+O213+O221+O227+O234</f>
        <v>5466</v>
      </c>
      <c r="P18" s="140"/>
      <c r="Q18" s="163">
        <v>39818</v>
      </c>
      <c r="R18" s="163">
        <v>34352</v>
      </c>
      <c r="S18" s="140">
        <f t="shared" si="2"/>
        <v>5466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</row>
    <row r="19" spans="1:19" ht="12.75" customHeight="1">
      <c r="A19" s="119" t="s">
        <v>877</v>
      </c>
      <c r="B19" s="164">
        <f>B74</f>
        <v>48031380</v>
      </c>
      <c r="C19" s="164"/>
      <c r="D19" s="164">
        <f>D74</f>
        <v>23275514</v>
      </c>
      <c r="E19" s="150">
        <f t="shared" si="0"/>
        <v>48.45897411234073</v>
      </c>
      <c r="F19" s="164"/>
      <c r="G19" s="164">
        <f>G74</f>
        <v>133018</v>
      </c>
      <c r="I19" s="119" t="s">
        <v>877</v>
      </c>
      <c r="J19" s="157">
        <f>ROUND(B19/1000,0)</f>
        <v>48031</v>
      </c>
      <c r="K19" s="152"/>
      <c r="L19" s="157">
        <f>L74</f>
        <v>23275</v>
      </c>
      <c r="M19" s="158">
        <f t="shared" si="1"/>
        <v>48.45828735608253</v>
      </c>
      <c r="N19" s="153"/>
      <c r="O19" s="157">
        <f>O74</f>
        <v>133</v>
      </c>
      <c r="Q19" s="157">
        <v>23275</v>
      </c>
      <c r="R19" s="157">
        <v>23142</v>
      </c>
      <c r="S19" s="140">
        <f t="shared" si="2"/>
        <v>133</v>
      </c>
    </row>
    <row r="20" spans="1:19" ht="12.75" customHeight="1">
      <c r="A20" s="119" t="s">
        <v>878</v>
      </c>
      <c r="B20" s="164">
        <f>B10-B16-B19</f>
        <v>-84749496</v>
      </c>
      <c r="C20" s="164"/>
      <c r="D20" s="164">
        <f>D10-D16-D19</f>
        <v>-39117413.72000003</v>
      </c>
      <c r="E20" s="150">
        <f>E10-E16-E19</f>
        <v>-47.290000185763546</v>
      </c>
      <c r="F20" s="150"/>
      <c r="G20" s="164">
        <f>G10-G16-G19</f>
        <v>-3945309.3899999857</v>
      </c>
      <c r="I20" s="119" t="s">
        <v>878</v>
      </c>
      <c r="J20" s="157">
        <f>J10-J16-J19</f>
        <v>-84749</v>
      </c>
      <c r="K20" s="152"/>
      <c r="L20" s="157">
        <f>L10-L16-L19</f>
        <v>-39117</v>
      </c>
      <c r="M20" s="158">
        <f t="shared" si="1"/>
        <v>46.15629682946111</v>
      </c>
      <c r="N20" s="153"/>
      <c r="O20" s="157">
        <f>O10-O16-O19</f>
        <v>-3945</v>
      </c>
      <c r="Q20" s="157">
        <v>-39117</v>
      </c>
      <c r="R20" s="157">
        <v>-35172</v>
      </c>
      <c r="S20" s="140">
        <f t="shared" si="2"/>
        <v>-3945</v>
      </c>
    </row>
    <row r="21" spans="1:88" s="673" customFormat="1" ht="12.75" customHeight="1">
      <c r="A21" s="165" t="s">
        <v>879</v>
      </c>
      <c r="B21" s="166"/>
      <c r="C21" s="166"/>
      <c r="D21" s="166"/>
      <c r="E21" s="166"/>
      <c r="F21" s="166"/>
      <c r="G21" s="166"/>
      <c r="H21" s="140"/>
      <c r="I21" s="165" t="s">
        <v>880</v>
      </c>
      <c r="J21" s="166"/>
      <c r="K21" s="166"/>
      <c r="L21" s="166"/>
      <c r="M21" s="158"/>
      <c r="N21" s="158"/>
      <c r="O21" s="166"/>
      <c r="P21" s="140"/>
      <c r="Q21" s="166"/>
      <c r="R21" s="166"/>
      <c r="S21" s="140">
        <f t="shared" si="2"/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</row>
    <row r="22" spans="1:88" s="673" customFormat="1" ht="12.75" customHeight="1">
      <c r="A22" s="154" t="s">
        <v>869</v>
      </c>
      <c r="B22" s="166">
        <f>B23</f>
        <v>1331732</v>
      </c>
      <c r="C22" s="166">
        <f>SUM(C23:C23)</f>
        <v>951194</v>
      </c>
      <c r="D22" s="166">
        <f>D23</f>
        <v>951194</v>
      </c>
      <c r="E22" s="149">
        <f>IF(ISERROR(D22/B22)," ",(D22/B22))*100</f>
        <v>71.42533182352004</v>
      </c>
      <c r="F22" s="149">
        <f>IF(ISERROR(D22/C22)," ",(D22/C22))*100</f>
        <v>100</v>
      </c>
      <c r="G22" s="166">
        <f>G23</f>
        <v>114188</v>
      </c>
      <c r="H22" s="168"/>
      <c r="I22" s="154" t="s">
        <v>869</v>
      </c>
      <c r="J22" s="147">
        <f>J23</f>
        <v>1332</v>
      </c>
      <c r="K22" s="147">
        <f>K23</f>
        <v>951</v>
      </c>
      <c r="L22" s="147">
        <f>L23</f>
        <v>951</v>
      </c>
      <c r="M22" s="156">
        <f>L22/J22*100</f>
        <v>71.3963963963964</v>
      </c>
      <c r="N22" s="156">
        <f>L22/K22*100</f>
        <v>100</v>
      </c>
      <c r="O22" s="147">
        <f>O23</f>
        <v>114</v>
      </c>
      <c r="P22" s="140"/>
      <c r="Q22" s="147">
        <v>951</v>
      </c>
      <c r="R22" s="147">
        <v>837</v>
      </c>
      <c r="S22" s="140">
        <f t="shared" si="2"/>
        <v>114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</row>
    <row r="23" spans="1:88" s="673" customFormat="1" ht="12">
      <c r="A23" s="154" t="s">
        <v>870</v>
      </c>
      <c r="B23" s="164">
        <v>1331732</v>
      </c>
      <c r="C23" s="164">
        <v>951194</v>
      </c>
      <c r="D23" s="164">
        <v>951194</v>
      </c>
      <c r="E23" s="150">
        <f>IF(ISERROR(D23/B23)," ",(D23/B23))*100</f>
        <v>71.42533182352004</v>
      </c>
      <c r="F23" s="150">
        <f>IF(ISERROR(D23/C23)," ",(D23/C23))*100</f>
        <v>100</v>
      </c>
      <c r="G23" s="164">
        <f>D23-'[5]Augusts'!D23</f>
        <v>114188</v>
      </c>
      <c r="H23" s="140"/>
      <c r="I23" s="154" t="s">
        <v>870</v>
      </c>
      <c r="J23" s="157">
        <f>ROUND(B23/1000,0)</f>
        <v>1332</v>
      </c>
      <c r="K23" s="157">
        <f>ROUND(C23/1000,0)</f>
        <v>951</v>
      </c>
      <c r="L23" s="157">
        <f>ROUND(D23/1000,0)</f>
        <v>951</v>
      </c>
      <c r="M23" s="158">
        <f>L23/J23*100</f>
        <v>71.3963963963964</v>
      </c>
      <c r="N23" s="158">
        <f>L23/K23*100</f>
        <v>100</v>
      </c>
      <c r="O23" s="157">
        <f>L23-'[5]Augusts'!L23</f>
        <v>114</v>
      </c>
      <c r="P23" s="140"/>
      <c r="Q23" s="157">
        <v>951</v>
      </c>
      <c r="R23" s="157">
        <v>837</v>
      </c>
      <c r="S23" s="140">
        <f t="shared" si="2"/>
        <v>114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</row>
    <row r="24" spans="1:88" s="673" customFormat="1" ht="12.75" customHeight="1">
      <c r="A24" s="160" t="s">
        <v>881</v>
      </c>
      <c r="B24" s="166">
        <f>SUM(B25:B26)</f>
        <v>1331732</v>
      </c>
      <c r="C24" s="166">
        <f>SUM(C25:C26)</f>
        <v>951194</v>
      </c>
      <c r="D24" s="166">
        <f>SUM(D25:D26)</f>
        <v>939338.34</v>
      </c>
      <c r="E24" s="149">
        <f>IF(ISERROR(D24/B24)," ",(D24/B24))*100</f>
        <v>70.53508814085717</v>
      </c>
      <c r="F24" s="149">
        <f>IF(ISERROR(D24/C24)," ",(D24/C24))*100</f>
        <v>98.75360231456463</v>
      </c>
      <c r="G24" s="166">
        <f>SUM(G25:G26)</f>
        <v>106421.42999999993</v>
      </c>
      <c r="H24" s="140"/>
      <c r="I24" s="160" t="s">
        <v>881</v>
      </c>
      <c r="J24" s="147">
        <f>J25+J26</f>
        <v>1332</v>
      </c>
      <c r="K24" s="147">
        <f>K25+K26</f>
        <v>951</v>
      </c>
      <c r="L24" s="147">
        <f>L25+L26</f>
        <v>939</v>
      </c>
      <c r="M24" s="156">
        <f>L24/J24*100</f>
        <v>70.4954954954955</v>
      </c>
      <c r="N24" s="156">
        <f>L24/K24*100</f>
        <v>98.73817034700315</v>
      </c>
      <c r="O24" s="147">
        <f>SUM(O25:O26)</f>
        <v>106</v>
      </c>
      <c r="P24" s="140"/>
      <c r="Q24" s="147">
        <v>939</v>
      </c>
      <c r="R24" s="147">
        <v>833</v>
      </c>
      <c r="S24" s="140">
        <f t="shared" si="2"/>
        <v>106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</row>
    <row r="25" spans="1:88" s="673" customFormat="1" ht="12.75" customHeight="1">
      <c r="A25" s="162" t="s">
        <v>875</v>
      </c>
      <c r="B25" s="164">
        <v>1257672</v>
      </c>
      <c r="C25" s="164">
        <v>895962</v>
      </c>
      <c r="D25" s="164">
        <v>884106.34</v>
      </c>
      <c r="E25" s="150">
        <f>IF(ISERROR(D25/B25)," ",(D25/B25))*100</f>
        <v>70.29705201356157</v>
      </c>
      <c r="F25" s="150">
        <f>IF(ISERROR(D25/C25)," ",(D25/C25))*100</f>
        <v>98.67676754148054</v>
      </c>
      <c r="G25" s="164">
        <f>D25-'[5]Augusts'!D25</f>
        <v>85980.18999999994</v>
      </c>
      <c r="H25" s="140"/>
      <c r="I25" s="162" t="s">
        <v>875</v>
      </c>
      <c r="J25" s="157">
        <f aca="true" t="shared" si="5" ref="J25:L26">ROUND(B25/1000,0)</f>
        <v>1258</v>
      </c>
      <c r="K25" s="157">
        <f t="shared" si="5"/>
        <v>896</v>
      </c>
      <c r="L25" s="157">
        <f t="shared" si="5"/>
        <v>884</v>
      </c>
      <c r="M25" s="158">
        <f>L25/J25*100</f>
        <v>70.27027027027027</v>
      </c>
      <c r="N25" s="158">
        <f>L25/K25*100</f>
        <v>98.66071428571429</v>
      </c>
      <c r="O25" s="157">
        <f>L25-'[5]Augusts'!L25</f>
        <v>86</v>
      </c>
      <c r="P25" s="140"/>
      <c r="Q25" s="157">
        <v>884</v>
      </c>
      <c r="R25" s="157">
        <v>798</v>
      </c>
      <c r="S25" s="140">
        <f t="shared" si="2"/>
        <v>86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</row>
    <row r="26" spans="1:88" s="673" customFormat="1" ht="12.75" customHeight="1">
      <c r="A26" s="162" t="s">
        <v>876</v>
      </c>
      <c r="B26" s="164">
        <v>74060</v>
      </c>
      <c r="C26" s="164">
        <v>55232</v>
      </c>
      <c r="D26" s="164">
        <v>55232</v>
      </c>
      <c r="E26" s="150">
        <f>IF(ISERROR(D26/B26)," ",(D26/B26))*100</f>
        <v>74.57736970024304</v>
      </c>
      <c r="F26" s="150">
        <f>IF(ISERROR(D26/C26)," ",(D26/C26))*100</f>
        <v>100</v>
      </c>
      <c r="G26" s="164">
        <f>D26-'[5]Augusts'!D26</f>
        <v>20441.239999999998</v>
      </c>
      <c r="H26" s="140"/>
      <c r="I26" s="162" t="s">
        <v>876</v>
      </c>
      <c r="J26" s="157">
        <f t="shared" si="5"/>
        <v>74</v>
      </c>
      <c r="K26" s="157">
        <f t="shared" si="5"/>
        <v>55</v>
      </c>
      <c r="L26" s="157">
        <f t="shared" si="5"/>
        <v>55</v>
      </c>
      <c r="M26" s="158">
        <f>L26/J26*100</f>
        <v>74.32432432432432</v>
      </c>
      <c r="N26" s="158">
        <f>L26/K26*100</f>
        <v>100</v>
      </c>
      <c r="O26" s="157">
        <f>L26-'[5]Augusts'!L26</f>
        <v>20</v>
      </c>
      <c r="P26" s="140"/>
      <c r="Q26" s="157">
        <v>55</v>
      </c>
      <c r="R26" s="157">
        <v>35</v>
      </c>
      <c r="S26" s="140">
        <f t="shared" si="2"/>
        <v>20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</row>
    <row r="27" spans="1:88" s="673" customFormat="1" ht="12.75" customHeight="1">
      <c r="A27" s="160" t="s">
        <v>882</v>
      </c>
      <c r="B27" s="166"/>
      <c r="C27" s="166"/>
      <c r="D27" s="166"/>
      <c r="E27" s="166"/>
      <c r="F27" s="166"/>
      <c r="G27" s="164"/>
      <c r="H27" s="140"/>
      <c r="I27" s="160" t="s">
        <v>883</v>
      </c>
      <c r="J27" s="166"/>
      <c r="K27" s="166"/>
      <c r="L27" s="166"/>
      <c r="M27" s="158"/>
      <c r="N27" s="158"/>
      <c r="O27" s="166"/>
      <c r="P27" s="140"/>
      <c r="Q27" s="166"/>
      <c r="R27" s="166"/>
      <c r="S27" s="140">
        <f t="shared" si="2"/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</row>
    <row r="28" spans="1:88" s="673" customFormat="1" ht="12.75" customHeight="1">
      <c r="A28" s="154" t="s">
        <v>869</v>
      </c>
      <c r="B28" s="164">
        <f>SUM(B29:B30)</f>
        <v>7212591</v>
      </c>
      <c r="C28" s="166">
        <f>SUM(C29:C30)</f>
        <v>5385823</v>
      </c>
      <c r="D28" s="166">
        <f>SUM(D29:D30)</f>
        <v>5436579.52</v>
      </c>
      <c r="E28" s="149">
        <f aca="true" t="shared" si="6" ref="E28:E33">IF(ISERROR(D28/B28)," ",(D28/B28))*100</f>
        <v>75.37623469845995</v>
      </c>
      <c r="F28" s="149">
        <f aca="true" t="shared" si="7" ref="F28:F33">IF(ISERROR(D28/C28)," ",(D28/C28))*100</f>
        <v>100.9424097301378</v>
      </c>
      <c r="G28" s="166">
        <f>SUM(G29:G30)</f>
        <v>624521.82</v>
      </c>
      <c r="H28" s="140"/>
      <c r="I28" s="154" t="s">
        <v>869</v>
      </c>
      <c r="J28" s="147">
        <f>J29+J30</f>
        <v>7213</v>
      </c>
      <c r="K28" s="147">
        <f>K29+K30</f>
        <v>5386</v>
      </c>
      <c r="L28" s="147">
        <f>L29+L30</f>
        <v>5437</v>
      </c>
      <c r="M28" s="156">
        <f aca="true" t="shared" si="8" ref="M28:M33">L28/J28*100</f>
        <v>75.37779010120616</v>
      </c>
      <c r="N28" s="156">
        <f aca="true" t="shared" si="9" ref="N28:N33">L28/K28*100</f>
        <v>100.94689936873375</v>
      </c>
      <c r="O28" s="147">
        <f>SUM(O29:O30)</f>
        <v>625</v>
      </c>
      <c r="P28" s="140"/>
      <c r="Q28" s="147">
        <v>5437</v>
      </c>
      <c r="R28" s="147">
        <v>4812</v>
      </c>
      <c r="S28" s="140">
        <f t="shared" si="2"/>
        <v>625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</row>
    <row r="29" spans="1:88" s="673" customFormat="1" ht="12.75" customHeight="1">
      <c r="A29" s="154" t="s">
        <v>870</v>
      </c>
      <c r="B29" s="164">
        <v>6972591</v>
      </c>
      <c r="C29" s="164">
        <v>5185826</v>
      </c>
      <c r="D29" s="164">
        <v>5185826</v>
      </c>
      <c r="E29" s="150">
        <f t="shared" si="6"/>
        <v>74.3744470312399</v>
      </c>
      <c r="F29" s="150">
        <f t="shared" si="7"/>
        <v>100</v>
      </c>
      <c r="G29" s="164">
        <f>D29-'[5]Augusts'!D29</f>
        <v>598946</v>
      </c>
      <c r="H29" s="140"/>
      <c r="I29" s="154" t="s">
        <v>870</v>
      </c>
      <c r="J29" s="157">
        <f aca="true" t="shared" si="10" ref="J29:L30">ROUND(B29/1000,0)</f>
        <v>6973</v>
      </c>
      <c r="K29" s="157">
        <f t="shared" si="10"/>
        <v>5186</v>
      </c>
      <c r="L29" s="157">
        <f t="shared" si="10"/>
        <v>5186</v>
      </c>
      <c r="M29" s="158">
        <f t="shared" si="8"/>
        <v>74.3725799512405</v>
      </c>
      <c r="N29" s="158">
        <f t="shared" si="9"/>
        <v>100</v>
      </c>
      <c r="O29" s="157">
        <f>L29-'[5]Augusts'!L29</f>
        <v>599</v>
      </c>
      <c r="P29" s="140"/>
      <c r="Q29" s="157">
        <v>5186</v>
      </c>
      <c r="R29" s="157">
        <v>4587</v>
      </c>
      <c r="S29" s="140">
        <f t="shared" si="2"/>
        <v>599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</row>
    <row r="30" spans="1:88" s="673" customFormat="1" ht="12.75" customHeight="1">
      <c r="A30" s="154" t="s">
        <v>872</v>
      </c>
      <c r="B30" s="164">
        <v>240000</v>
      </c>
      <c r="C30" s="164">
        <v>199997</v>
      </c>
      <c r="D30" s="164">
        <v>250753.52</v>
      </c>
      <c r="E30" s="150">
        <f t="shared" si="6"/>
        <v>104.48063333333333</v>
      </c>
      <c r="F30" s="150">
        <f t="shared" si="7"/>
        <v>125.3786406796102</v>
      </c>
      <c r="G30" s="164">
        <f>D30-'[5]Augusts'!D30</f>
        <v>25575.819999999978</v>
      </c>
      <c r="H30" s="140"/>
      <c r="I30" s="154" t="s">
        <v>872</v>
      </c>
      <c r="J30" s="157">
        <f t="shared" si="10"/>
        <v>240</v>
      </c>
      <c r="K30" s="157">
        <f t="shared" si="10"/>
        <v>200</v>
      </c>
      <c r="L30" s="157">
        <f t="shared" si="10"/>
        <v>251</v>
      </c>
      <c r="M30" s="158">
        <f t="shared" si="8"/>
        <v>104.58333333333334</v>
      </c>
      <c r="N30" s="158">
        <f t="shared" si="9"/>
        <v>125.49999999999999</v>
      </c>
      <c r="O30" s="157">
        <f>L30-'[5]Augusts'!L30</f>
        <v>26</v>
      </c>
      <c r="P30" s="140"/>
      <c r="Q30" s="157">
        <v>251</v>
      </c>
      <c r="R30" s="157">
        <v>225</v>
      </c>
      <c r="S30" s="140">
        <f t="shared" si="2"/>
        <v>26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</row>
    <row r="31" spans="1:88" s="673" customFormat="1" ht="12.75" customHeight="1">
      <c r="A31" s="160" t="s">
        <v>874</v>
      </c>
      <c r="B31" s="166">
        <f>SUM(B32:B33)</f>
        <v>7212591</v>
      </c>
      <c r="C31" s="166">
        <f>SUM(C32:C33)</f>
        <v>5385823</v>
      </c>
      <c r="D31" s="166">
        <f>SUM(D32:D33)</f>
        <v>4837553.85</v>
      </c>
      <c r="E31" s="149">
        <f t="shared" si="6"/>
        <v>67.07095757959934</v>
      </c>
      <c r="F31" s="149">
        <f t="shared" si="7"/>
        <v>89.82014169422202</v>
      </c>
      <c r="G31" s="166">
        <f>SUM(G32:G33)</f>
        <v>454001.2499999999</v>
      </c>
      <c r="H31" s="140"/>
      <c r="I31" s="160" t="s">
        <v>874</v>
      </c>
      <c r="J31" s="147">
        <f>J32+J33</f>
        <v>7213</v>
      </c>
      <c r="K31" s="147">
        <f>K32+K33</f>
        <v>5386</v>
      </c>
      <c r="L31" s="147">
        <f>L32+L33</f>
        <v>4838</v>
      </c>
      <c r="M31" s="156">
        <f t="shared" si="8"/>
        <v>67.07333980313324</v>
      </c>
      <c r="N31" s="156">
        <f t="shared" si="9"/>
        <v>89.82547344968437</v>
      </c>
      <c r="O31" s="147">
        <f>SUM(O32:O33)</f>
        <v>454</v>
      </c>
      <c r="P31" s="140"/>
      <c r="Q31" s="147">
        <v>4838</v>
      </c>
      <c r="R31" s="147">
        <v>4384</v>
      </c>
      <c r="S31" s="140">
        <f t="shared" si="2"/>
        <v>454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</row>
    <row r="32" spans="1:88" s="673" customFormat="1" ht="12.75" customHeight="1">
      <c r="A32" s="162" t="s">
        <v>875</v>
      </c>
      <c r="B32" s="164">
        <v>5998635</v>
      </c>
      <c r="C32" s="164">
        <v>4391025</v>
      </c>
      <c r="D32" s="164">
        <v>3954757.75</v>
      </c>
      <c r="E32" s="150">
        <f t="shared" si="6"/>
        <v>65.92762770196886</v>
      </c>
      <c r="F32" s="150">
        <f t="shared" si="7"/>
        <v>90.06456920650645</v>
      </c>
      <c r="G32" s="164">
        <f>D32-'[5]Augusts'!D32</f>
        <v>377085.93999999994</v>
      </c>
      <c r="H32" s="140"/>
      <c r="I32" s="162" t="s">
        <v>875</v>
      </c>
      <c r="J32" s="157">
        <f aca="true" t="shared" si="11" ref="J32:L33">ROUND(B32/1000,0)</f>
        <v>5999</v>
      </c>
      <c r="K32" s="157">
        <f t="shared" si="11"/>
        <v>4391</v>
      </c>
      <c r="L32" s="157">
        <f t="shared" si="11"/>
        <v>3955</v>
      </c>
      <c r="M32" s="158">
        <f t="shared" si="8"/>
        <v>65.92765460910151</v>
      </c>
      <c r="N32" s="158">
        <f t="shared" si="9"/>
        <v>90.07059895240263</v>
      </c>
      <c r="O32" s="157">
        <f>L32-'[5]Augusts'!L32</f>
        <v>377</v>
      </c>
      <c r="P32" s="140"/>
      <c r="Q32" s="157">
        <v>3955</v>
      </c>
      <c r="R32" s="157">
        <v>3578</v>
      </c>
      <c r="S32" s="140">
        <f t="shared" si="2"/>
        <v>377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</row>
    <row r="33" spans="1:88" s="673" customFormat="1" ht="12.75" customHeight="1">
      <c r="A33" s="162" t="s">
        <v>876</v>
      </c>
      <c r="B33" s="164">
        <v>1213956</v>
      </c>
      <c r="C33" s="164">
        <v>994798</v>
      </c>
      <c r="D33" s="164">
        <v>882796.1</v>
      </c>
      <c r="E33" s="150">
        <f t="shared" si="6"/>
        <v>72.72060107615103</v>
      </c>
      <c r="F33" s="150">
        <f t="shared" si="7"/>
        <v>88.74124194057487</v>
      </c>
      <c r="G33" s="164">
        <f>D33-'[5]Augusts'!D33</f>
        <v>76915.30999999994</v>
      </c>
      <c r="H33" s="140"/>
      <c r="I33" s="162" t="s">
        <v>876</v>
      </c>
      <c r="J33" s="157">
        <f t="shared" si="11"/>
        <v>1214</v>
      </c>
      <c r="K33" s="157">
        <f t="shared" si="11"/>
        <v>995</v>
      </c>
      <c r="L33" s="157">
        <f t="shared" si="11"/>
        <v>883</v>
      </c>
      <c r="M33" s="158">
        <f t="shared" si="8"/>
        <v>72.73476112026358</v>
      </c>
      <c r="N33" s="158">
        <f t="shared" si="9"/>
        <v>88.74371859296483</v>
      </c>
      <c r="O33" s="157">
        <f>L33-'[5]Augusts'!L33</f>
        <v>77</v>
      </c>
      <c r="P33" s="140"/>
      <c r="Q33" s="157">
        <v>883</v>
      </c>
      <c r="R33" s="157">
        <v>806</v>
      </c>
      <c r="S33" s="140">
        <f t="shared" si="2"/>
        <v>77</v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</row>
    <row r="34" spans="1:88" s="673" customFormat="1" ht="12.75" customHeight="1">
      <c r="A34" s="160" t="s">
        <v>884</v>
      </c>
      <c r="B34" s="164"/>
      <c r="C34" s="164"/>
      <c r="D34" s="164"/>
      <c r="E34" s="164"/>
      <c r="F34" s="164"/>
      <c r="G34" s="164"/>
      <c r="H34" s="140"/>
      <c r="I34" s="160" t="s">
        <v>885</v>
      </c>
      <c r="J34" s="164"/>
      <c r="K34" s="164"/>
      <c r="L34" s="164"/>
      <c r="M34" s="158"/>
      <c r="N34" s="158"/>
      <c r="O34" s="164"/>
      <c r="P34" s="140"/>
      <c r="Q34" s="164"/>
      <c r="R34" s="164"/>
      <c r="S34" s="140">
        <f t="shared" si="2"/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</row>
    <row r="35" spans="1:88" s="673" customFormat="1" ht="12.75" customHeight="1">
      <c r="A35" s="154" t="s">
        <v>869</v>
      </c>
      <c r="B35" s="164">
        <f>SUM(B36:B38)</f>
        <v>3633702</v>
      </c>
      <c r="C35" s="166">
        <f>SUM(C36:C38)</f>
        <v>2723683</v>
      </c>
      <c r="D35" s="166">
        <f>SUM(D36:D38)</f>
        <v>2542426.1599999997</v>
      </c>
      <c r="E35" s="149">
        <f aca="true" t="shared" si="12" ref="E35:E41">IF(ISERROR(D35/B35)," ",(D35/B35))*100</f>
        <v>69.96793242814077</v>
      </c>
      <c r="F35" s="149">
        <f aca="true" t="shared" si="13" ref="F35:F41">IF(ISERROR(D35/C35)," ",(D35/C35))*100</f>
        <v>93.34515653987633</v>
      </c>
      <c r="G35" s="166">
        <f>SUM(G36:G38)</f>
        <v>383705.85</v>
      </c>
      <c r="H35" s="140"/>
      <c r="I35" s="154" t="s">
        <v>869</v>
      </c>
      <c r="J35" s="147">
        <f>J36+J37+J38</f>
        <v>3634</v>
      </c>
      <c r="K35" s="147">
        <f>K36+K37+K38</f>
        <v>2724</v>
      </c>
      <c r="L35" s="147">
        <f>L36+L37+L38</f>
        <v>2543</v>
      </c>
      <c r="M35" s="156">
        <f aca="true" t="shared" si="14" ref="M35:M41">L35/J35*100</f>
        <v>69.97798569069896</v>
      </c>
      <c r="N35" s="156">
        <f aca="true" t="shared" si="15" ref="N35:N41">L35/K35*100</f>
        <v>93.35535976505139</v>
      </c>
      <c r="O35" s="147">
        <f>SUM(O36:O38)</f>
        <v>384</v>
      </c>
      <c r="P35" s="140"/>
      <c r="Q35" s="147">
        <v>2543</v>
      </c>
      <c r="R35" s="147">
        <v>2159</v>
      </c>
      <c r="S35" s="140">
        <f t="shared" si="2"/>
        <v>384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</row>
    <row r="36" spans="1:88" s="673" customFormat="1" ht="12.75" customHeight="1">
      <c r="A36" s="154" t="s">
        <v>870</v>
      </c>
      <c r="B36" s="164">
        <v>3048776</v>
      </c>
      <c r="C36" s="164">
        <v>2210667</v>
      </c>
      <c r="D36" s="164">
        <v>2210667</v>
      </c>
      <c r="E36" s="150">
        <f t="shared" si="12"/>
        <v>72.50998433469694</v>
      </c>
      <c r="F36" s="150">
        <f t="shared" si="13"/>
        <v>100</v>
      </c>
      <c r="G36" s="164">
        <f>D36-'[5]Augusts'!D36</f>
        <v>261890</v>
      </c>
      <c r="H36" s="140"/>
      <c r="I36" s="154" t="s">
        <v>870</v>
      </c>
      <c r="J36" s="157">
        <f>ROUND(B36/1000,0)</f>
        <v>3049</v>
      </c>
      <c r="K36" s="157">
        <f aca="true" t="shared" si="16" ref="K36:L38">ROUND(C36/1000,0)</f>
        <v>2211</v>
      </c>
      <c r="L36" s="157">
        <f t="shared" si="16"/>
        <v>2211</v>
      </c>
      <c r="M36" s="158">
        <f t="shared" si="14"/>
        <v>72.51557887832077</v>
      </c>
      <c r="N36" s="158">
        <f t="shared" si="15"/>
        <v>100</v>
      </c>
      <c r="O36" s="157">
        <f>L36-'[5]Augusts'!L36</f>
        <v>262</v>
      </c>
      <c r="P36" s="140"/>
      <c r="Q36" s="157">
        <v>2211</v>
      </c>
      <c r="R36" s="157">
        <v>1949</v>
      </c>
      <c r="S36" s="140">
        <f t="shared" si="2"/>
        <v>262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</row>
    <row r="37" spans="1:88" s="673" customFormat="1" ht="12.75" customHeight="1">
      <c r="A37" s="154" t="s">
        <v>872</v>
      </c>
      <c r="B37" s="164">
        <v>323000</v>
      </c>
      <c r="C37" s="164">
        <v>251090</v>
      </c>
      <c r="D37" s="164">
        <v>210660.55</v>
      </c>
      <c r="E37" s="150">
        <f t="shared" si="12"/>
        <v>65.21998452012383</v>
      </c>
      <c r="F37" s="150">
        <f t="shared" si="13"/>
        <v>83.8984228762595</v>
      </c>
      <c r="G37" s="164">
        <f>D37-'[5]Augusts'!D37</f>
        <v>22428.23999999999</v>
      </c>
      <c r="H37" s="140"/>
      <c r="I37" s="154" t="s">
        <v>872</v>
      </c>
      <c r="J37" s="157">
        <f>ROUND(B37/1000,0)</f>
        <v>323</v>
      </c>
      <c r="K37" s="157">
        <f>ROUND(C37/1000,0)</f>
        <v>251</v>
      </c>
      <c r="L37" s="157">
        <f t="shared" si="16"/>
        <v>211</v>
      </c>
      <c r="M37" s="158">
        <f t="shared" si="14"/>
        <v>65.3250773993808</v>
      </c>
      <c r="N37" s="158">
        <f t="shared" si="15"/>
        <v>84.06374501992032</v>
      </c>
      <c r="O37" s="157">
        <f>L37-'[5]Augusts'!L37</f>
        <v>23</v>
      </c>
      <c r="P37" s="140"/>
      <c r="Q37" s="157">
        <v>211</v>
      </c>
      <c r="R37" s="157">
        <v>188</v>
      </c>
      <c r="S37" s="140">
        <f t="shared" si="2"/>
        <v>23</v>
      </c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</row>
    <row r="38" spans="1:88" s="673" customFormat="1" ht="12.75" customHeight="1">
      <c r="A38" s="154" t="s">
        <v>873</v>
      </c>
      <c r="B38" s="164">
        <v>261926</v>
      </c>
      <c r="C38" s="164">
        <v>261926</v>
      </c>
      <c r="D38" s="164">
        <v>121098.61</v>
      </c>
      <c r="E38" s="150">
        <f t="shared" si="12"/>
        <v>46.23390194176981</v>
      </c>
      <c r="F38" s="150">
        <f t="shared" si="13"/>
        <v>46.23390194176981</v>
      </c>
      <c r="G38" s="164">
        <f>D38-'[5]Augusts'!D38</f>
        <v>99387.61</v>
      </c>
      <c r="H38" s="140"/>
      <c r="I38" s="154" t="s">
        <v>873</v>
      </c>
      <c r="J38" s="157">
        <f>ROUND(B38/1000,0)</f>
        <v>262</v>
      </c>
      <c r="K38" s="157">
        <f>ROUND(C38/1000,0)</f>
        <v>262</v>
      </c>
      <c r="L38" s="157">
        <f t="shared" si="16"/>
        <v>121</v>
      </c>
      <c r="M38" s="158">
        <f t="shared" si="14"/>
        <v>46.18320610687023</v>
      </c>
      <c r="N38" s="158">
        <f t="shared" si="15"/>
        <v>46.18320610687023</v>
      </c>
      <c r="O38" s="157">
        <f>L38-'[5]Augusts'!L38</f>
        <v>99</v>
      </c>
      <c r="P38" s="140"/>
      <c r="Q38" s="157">
        <v>121</v>
      </c>
      <c r="R38" s="157">
        <v>22</v>
      </c>
      <c r="S38" s="140">
        <f t="shared" si="2"/>
        <v>99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</row>
    <row r="39" spans="1:88" s="673" customFormat="1" ht="12.75" customHeight="1">
      <c r="A39" s="160" t="s">
        <v>874</v>
      </c>
      <c r="B39" s="166">
        <f>SUM(B40:B41)</f>
        <v>3633702</v>
      </c>
      <c r="C39" s="166">
        <f>SUM(C40:C41)</f>
        <v>2723683</v>
      </c>
      <c r="D39" s="166">
        <f>SUM(D40:D41)</f>
        <v>2519033.28</v>
      </c>
      <c r="E39" s="150">
        <f t="shared" si="12"/>
        <v>69.32415701672839</v>
      </c>
      <c r="F39" s="150">
        <f t="shared" si="13"/>
        <v>92.486287134002</v>
      </c>
      <c r="G39" s="166">
        <f>SUM(G40:G41)</f>
        <v>403872.15999999986</v>
      </c>
      <c r="H39" s="140"/>
      <c r="I39" s="160" t="s">
        <v>874</v>
      </c>
      <c r="J39" s="147">
        <f>J40+J41</f>
        <v>3633</v>
      </c>
      <c r="K39" s="147">
        <f>K40+K41</f>
        <v>2724</v>
      </c>
      <c r="L39" s="147">
        <f>L40+L41</f>
        <v>2519</v>
      </c>
      <c r="M39" s="156">
        <f t="shared" si="14"/>
        <v>69.33663638865951</v>
      </c>
      <c r="N39" s="156">
        <f t="shared" si="15"/>
        <v>92.47430249632893</v>
      </c>
      <c r="O39" s="147">
        <f>SUM(O40:O41)</f>
        <v>404</v>
      </c>
      <c r="P39" s="140"/>
      <c r="Q39" s="147">
        <v>2519</v>
      </c>
      <c r="R39" s="147">
        <v>2115</v>
      </c>
      <c r="S39" s="140">
        <f t="shared" si="2"/>
        <v>404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</row>
    <row r="40" spans="1:88" s="673" customFormat="1" ht="12.75" customHeight="1">
      <c r="A40" s="162" t="s">
        <v>875</v>
      </c>
      <c r="B40" s="164">
        <v>3505402</v>
      </c>
      <c r="C40" s="164">
        <v>2635443</v>
      </c>
      <c r="D40" s="164">
        <v>2437026.03</v>
      </c>
      <c r="E40" s="150">
        <f t="shared" si="12"/>
        <v>69.5220128818321</v>
      </c>
      <c r="F40" s="150">
        <f t="shared" si="13"/>
        <v>92.47120996356209</v>
      </c>
      <c r="G40" s="164">
        <f>D40-'[5]Augusts'!D40</f>
        <v>396155.08999999985</v>
      </c>
      <c r="H40" s="140"/>
      <c r="I40" s="162" t="s">
        <v>875</v>
      </c>
      <c r="J40" s="157">
        <f>ROUND(B40/1000,0)</f>
        <v>3505</v>
      </c>
      <c r="K40" s="157">
        <f>ROUND(C40/1000,0)+1</f>
        <v>2636</v>
      </c>
      <c r="L40" s="157">
        <f aca="true" t="shared" si="17" ref="J40:L41">ROUND(D40/1000,0)</f>
        <v>2437</v>
      </c>
      <c r="M40" s="158">
        <f t="shared" si="14"/>
        <v>69.52924393723252</v>
      </c>
      <c r="N40" s="158">
        <f t="shared" si="15"/>
        <v>92.45068285280729</v>
      </c>
      <c r="O40" s="157">
        <f>L40-'[5]Augusts'!L40</f>
        <v>396</v>
      </c>
      <c r="P40" s="140"/>
      <c r="Q40" s="157">
        <v>2437</v>
      </c>
      <c r="R40" s="157">
        <v>2041</v>
      </c>
      <c r="S40" s="140">
        <f t="shared" si="2"/>
        <v>396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</row>
    <row r="41" spans="1:88" s="673" customFormat="1" ht="12.75" customHeight="1">
      <c r="A41" s="162" t="s">
        <v>876</v>
      </c>
      <c r="B41" s="164">
        <v>128300</v>
      </c>
      <c r="C41" s="164">
        <v>88240</v>
      </c>
      <c r="D41" s="164">
        <v>82007.25</v>
      </c>
      <c r="E41" s="150">
        <f t="shared" si="12"/>
        <v>63.918355416991425</v>
      </c>
      <c r="F41" s="150">
        <f t="shared" si="13"/>
        <v>92.93659338168631</v>
      </c>
      <c r="G41" s="164">
        <f>D41-'[5]Augusts'!D41</f>
        <v>7717.070000000007</v>
      </c>
      <c r="H41" s="140"/>
      <c r="I41" s="162" t="s">
        <v>876</v>
      </c>
      <c r="J41" s="157">
        <f t="shared" si="17"/>
        <v>128</v>
      </c>
      <c r="K41" s="157">
        <f t="shared" si="17"/>
        <v>88</v>
      </c>
      <c r="L41" s="157">
        <f t="shared" si="17"/>
        <v>82</v>
      </c>
      <c r="M41" s="158">
        <f t="shared" si="14"/>
        <v>64.0625</v>
      </c>
      <c r="N41" s="158">
        <f t="shared" si="15"/>
        <v>93.18181818181817</v>
      </c>
      <c r="O41" s="157">
        <f>L41-'[5]Augusts'!L41</f>
        <v>8</v>
      </c>
      <c r="P41" s="140"/>
      <c r="Q41" s="157">
        <v>82</v>
      </c>
      <c r="R41" s="157">
        <v>74</v>
      </c>
      <c r="S41" s="140">
        <f t="shared" si="2"/>
        <v>8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</row>
    <row r="42" spans="1:88" s="673" customFormat="1" ht="12.75" customHeight="1">
      <c r="A42" s="160" t="s">
        <v>886</v>
      </c>
      <c r="B42" s="164"/>
      <c r="C42" s="164"/>
      <c r="D42" s="164"/>
      <c r="E42" s="164"/>
      <c r="F42" s="164"/>
      <c r="G42" s="164"/>
      <c r="H42" s="140"/>
      <c r="I42" s="160" t="s">
        <v>887</v>
      </c>
      <c r="J42" s="164"/>
      <c r="K42" s="164"/>
      <c r="L42" s="164"/>
      <c r="M42" s="158"/>
      <c r="N42" s="158"/>
      <c r="O42" s="164"/>
      <c r="P42" s="140"/>
      <c r="Q42" s="164"/>
      <c r="R42" s="164"/>
      <c r="S42" s="140">
        <f t="shared" si="2"/>
        <v>0</v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</row>
    <row r="43" spans="1:88" s="673" customFormat="1" ht="12.75" customHeight="1">
      <c r="A43" s="154" t="s">
        <v>869</v>
      </c>
      <c r="B43" s="164">
        <f>SUM(B44:B45)</f>
        <v>48087428</v>
      </c>
      <c r="C43" s="166">
        <f>SUM(C44:C45)</f>
        <v>36490674</v>
      </c>
      <c r="D43" s="166">
        <f>SUM(D44:D45)</f>
        <v>36334579.59</v>
      </c>
      <c r="E43" s="149">
        <f aca="true" t="shared" si="18" ref="E43:E48">IF(ISERROR(D43/B43)," ",(D43/B43))*100</f>
        <v>75.55941563354148</v>
      </c>
      <c r="F43" s="149">
        <f aca="true" t="shared" si="19" ref="F43:F48">IF(ISERROR(D43/C43)," ",(D43/C43))*100</f>
        <v>99.57223478524952</v>
      </c>
      <c r="G43" s="166">
        <f>SUM(G44:G45)</f>
        <v>4042169.1900000004</v>
      </c>
      <c r="H43" s="140"/>
      <c r="I43" s="154" t="s">
        <v>869</v>
      </c>
      <c r="J43" s="147">
        <f>J44+J45</f>
        <v>48088</v>
      </c>
      <c r="K43" s="147">
        <f>K44+K45</f>
        <v>36490</v>
      </c>
      <c r="L43" s="147">
        <f>L44+L45</f>
        <v>36334</v>
      </c>
      <c r="M43" s="156">
        <f aca="true" t="shared" si="20" ref="M43:M48">L43/J43*100</f>
        <v>75.55731159540842</v>
      </c>
      <c r="N43" s="156">
        <f aca="true" t="shared" si="21" ref="N43:N48">L43/K43*100</f>
        <v>99.57248561249658</v>
      </c>
      <c r="O43" s="147">
        <f>SUM(O44:O45)</f>
        <v>4041</v>
      </c>
      <c r="P43" s="140"/>
      <c r="Q43" s="147">
        <v>36334</v>
      </c>
      <c r="R43" s="147">
        <v>32293</v>
      </c>
      <c r="S43" s="140">
        <f t="shared" si="2"/>
        <v>4041</v>
      </c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</row>
    <row r="44" spans="1:88" s="673" customFormat="1" ht="12.75" customHeight="1">
      <c r="A44" s="154" t="s">
        <v>870</v>
      </c>
      <c r="B44" s="164">
        <v>46214691</v>
      </c>
      <c r="C44" s="164">
        <v>35094300</v>
      </c>
      <c r="D44" s="164">
        <v>35094300</v>
      </c>
      <c r="E44" s="150">
        <f t="shared" si="18"/>
        <v>75.93754115980133</v>
      </c>
      <c r="F44" s="150">
        <f t="shared" si="19"/>
        <v>100</v>
      </c>
      <c r="G44" s="164">
        <f>D44-'[5]Augusts'!D44</f>
        <v>3907284</v>
      </c>
      <c r="H44" s="140"/>
      <c r="I44" s="154" t="s">
        <v>870</v>
      </c>
      <c r="J44" s="157">
        <f aca="true" t="shared" si="22" ref="J44:L45">ROUND(B44/1000,0)</f>
        <v>46215</v>
      </c>
      <c r="K44" s="157">
        <f t="shared" si="22"/>
        <v>35094</v>
      </c>
      <c r="L44" s="157">
        <f t="shared" si="22"/>
        <v>35094</v>
      </c>
      <c r="M44" s="158">
        <f t="shared" si="20"/>
        <v>75.93638429081467</v>
      </c>
      <c r="N44" s="158">
        <f t="shared" si="21"/>
        <v>100</v>
      </c>
      <c r="O44" s="157">
        <f>L44-'[5]Augusts'!L44</f>
        <v>3907</v>
      </c>
      <c r="P44" s="140"/>
      <c r="Q44" s="157">
        <v>35094</v>
      </c>
      <c r="R44" s="157">
        <v>31187</v>
      </c>
      <c r="S44" s="140">
        <f t="shared" si="2"/>
        <v>3907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</row>
    <row r="45" spans="1:88" s="673" customFormat="1" ht="12.75" customHeight="1">
      <c r="A45" s="154" t="s">
        <v>872</v>
      </c>
      <c r="B45" s="164">
        <v>1872737</v>
      </c>
      <c r="C45" s="164">
        <v>1396374</v>
      </c>
      <c r="D45" s="164">
        <v>1240279.59</v>
      </c>
      <c r="E45" s="150">
        <f t="shared" si="18"/>
        <v>66.22817779538718</v>
      </c>
      <c r="F45" s="150">
        <f t="shared" si="19"/>
        <v>88.82144683301179</v>
      </c>
      <c r="G45" s="164">
        <f>D45-'[5]Augusts'!D45</f>
        <v>134885.19000000018</v>
      </c>
      <c r="H45" s="140"/>
      <c r="I45" s="154" t="s">
        <v>872</v>
      </c>
      <c r="J45" s="157">
        <f t="shared" si="22"/>
        <v>1873</v>
      </c>
      <c r="K45" s="157">
        <f t="shared" si="22"/>
        <v>1396</v>
      </c>
      <c r="L45" s="157">
        <f>ROUND(D45/1000,0)</f>
        <v>1240</v>
      </c>
      <c r="M45" s="158">
        <f t="shared" si="20"/>
        <v>66.20395088093967</v>
      </c>
      <c r="N45" s="158">
        <f t="shared" si="21"/>
        <v>88.82521489971347</v>
      </c>
      <c r="O45" s="157">
        <f>L45-'[5]Augusts'!L45</f>
        <v>134</v>
      </c>
      <c r="P45" s="140"/>
      <c r="Q45" s="157">
        <v>1240</v>
      </c>
      <c r="R45" s="157">
        <v>1106</v>
      </c>
      <c r="S45" s="140">
        <f t="shared" si="2"/>
        <v>134</v>
      </c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</row>
    <row r="46" spans="1:88" s="673" customFormat="1" ht="12.75" customHeight="1">
      <c r="A46" s="160" t="s">
        <v>874</v>
      </c>
      <c r="B46" s="166">
        <f>SUM(B47:B48)</f>
        <v>48087428</v>
      </c>
      <c r="C46" s="166">
        <f>SUM(C47:C48)</f>
        <v>36490674</v>
      </c>
      <c r="D46" s="166">
        <f>SUM(D47:D48)</f>
        <v>34399084.18</v>
      </c>
      <c r="E46" s="150">
        <f t="shared" si="18"/>
        <v>71.53446464219296</v>
      </c>
      <c r="F46" s="150">
        <f t="shared" si="19"/>
        <v>94.26815240518714</v>
      </c>
      <c r="G46" s="166">
        <f>SUM(G47:G48)</f>
        <v>3434254.2399999998</v>
      </c>
      <c r="H46" s="140"/>
      <c r="I46" s="160" t="s">
        <v>874</v>
      </c>
      <c r="J46" s="147">
        <f>J47+J48</f>
        <v>48088</v>
      </c>
      <c r="K46" s="147">
        <f>K47+K48</f>
        <v>36490</v>
      </c>
      <c r="L46" s="147">
        <f>L47+L48</f>
        <v>34399</v>
      </c>
      <c r="M46" s="156">
        <f t="shared" si="20"/>
        <v>71.5334386957245</v>
      </c>
      <c r="N46" s="156">
        <f t="shared" si="21"/>
        <v>94.26966292134831</v>
      </c>
      <c r="O46" s="147">
        <f>SUM(O47:O48)</f>
        <v>3434</v>
      </c>
      <c r="P46" s="140"/>
      <c r="Q46" s="147">
        <v>34399</v>
      </c>
      <c r="R46" s="147">
        <v>30965</v>
      </c>
      <c r="S46" s="140">
        <f t="shared" si="2"/>
        <v>3434</v>
      </c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</row>
    <row r="47" spans="1:88" s="673" customFormat="1" ht="12.75" customHeight="1">
      <c r="A47" s="126" t="s">
        <v>875</v>
      </c>
      <c r="B47" s="164">
        <v>43342782</v>
      </c>
      <c r="C47" s="164">
        <v>32706554</v>
      </c>
      <c r="D47" s="164">
        <v>31385049.81</v>
      </c>
      <c r="E47" s="150">
        <f t="shared" si="18"/>
        <v>72.411249028731</v>
      </c>
      <c r="F47" s="150">
        <f t="shared" si="19"/>
        <v>95.95951261022485</v>
      </c>
      <c r="G47" s="164">
        <f>D47-'[5]Augusts'!D47</f>
        <v>3253580.84</v>
      </c>
      <c r="H47" s="140"/>
      <c r="I47" s="126" t="s">
        <v>875</v>
      </c>
      <c r="J47" s="157">
        <f aca="true" t="shared" si="23" ref="J47:L48">ROUND(B47/1000,0)</f>
        <v>43343</v>
      </c>
      <c r="K47" s="157">
        <f>ROUND(C47/1000,0)-1</f>
        <v>32706</v>
      </c>
      <c r="L47" s="157">
        <f>ROUND(D47/1000,0)</f>
        <v>31385</v>
      </c>
      <c r="M47" s="158">
        <f t="shared" si="20"/>
        <v>72.410769905175</v>
      </c>
      <c r="N47" s="158">
        <f t="shared" si="21"/>
        <v>95.96098575184982</v>
      </c>
      <c r="O47" s="157">
        <f>L47-'[5]Augusts'!L47</f>
        <v>3253</v>
      </c>
      <c r="P47" s="140"/>
      <c r="Q47" s="157">
        <v>31385</v>
      </c>
      <c r="R47" s="157">
        <v>28132</v>
      </c>
      <c r="S47" s="140">
        <f t="shared" si="2"/>
        <v>3253</v>
      </c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</row>
    <row r="48" spans="1:88" s="673" customFormat="1" ht="12.75" customHeight="1">
      <c r="A48" s="126" t="s">
        <v>876</v>
      </c>
      <c r="B48" s="164">
        <v>4744646</v>
      </c>
      <c r="C48" s="164">
        <v>3784120</v>
      </c>
      <c r="D48" s="164">
        <v>3014034.37</v>
      </c>
      <c r="E48" s="150">
        <f t="shared" si="18"/>
        <v>63.524957815609426</v>
      </c>
      <c r="F48" s="150">
        <f t="shared" si="19"/>
        <v>79.64954520469753</v>
      </c>
      <c r="G48" s="164">
        <f>D48-'[5]Augusts'!D48</f>
        <v>180673.3999999999</v>
      </c>
      <c r="H48" s="140"/>
      <c r="I48" s="126" t="s">
        <v>876</v>
      </c>
      <c r="J48" s="157">
        <f t="shared" si="23"/>
        <v>4745</v>
      </c>
      <c r="K48" s="157">
        <f t="shared" si="23"/>
        <v>3784</v>
      </c>
      <c r="L48" s="157">
        <f t="shared" si="23"/>
        <v>3014</v>
      </c>
      <c r="M48" s="158">
        <f t="shared" si="20"/>
        <v>63.51949420442571</v>
      </c>
      <c r="N48" s="158">
        <f t="shared" si="21"/>
        <v>79.65116279069767</v>
      </c>
      <c r="O48" s="157">
        <f>L48-'[5]Augusts'!L48</f>
        <v>181</v>
      </c>
      <c r="P48" s="140"/>
      <c r="Q48" s="157">
        <v>3014</v>
      </c>
      <c r="R48" s="157">
        <v>2833</v>
      </c>
      <c r="S48" s="140">
        <f t="shared" si="2"/>
        <v>181</v>
      </c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</row>
    <row r="49" spans="1:88" s="673" customFormat="1" ht="12.75" customHeight="1">
      <c r="A49" s="160" t="s">
        <v>888</v>
      </c>
      <c r="B49" s="164"/>
      <c r="C49" s="164"/>
      <c r="D49" s="164"/>
      <c r="E49" s="150"/>
      <c r="F49" s="164"/>
      <c r="G49" s="164"/>
      <c r="H49" s="140"/>
      <c r="I49" s="160" t="s">
        <v>889</v>
      </c>
      <c r="J49" s="164"/>
      <c r="K49" s="164"/>
      <c r="L49" s="164"/>
      <c r="M49" s="158"/>
      <c r="N49" s="158"/>
      <c r="O49" s="164"/>
      <c r="P49" s="140"/>
      <c r="Q49" s="164"/>
      <c r="R49" s="164"/>
      <c r="S49" s="140">
        <f t="shared" si="2"/>
        <v>0</v>
      </c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</row>
    <row r="50" spans="1:88" s="673" customFormat="1" ht="12.75" customHeight="1">
      <c r="A50" s="154" t="s">
        <v>869</v>
      </c>
      <c r="B50" s="164">
        <f>SUM(B51:B52)</f>
        <v>11218968</v>
      </c>
      <c r="C50" s="166">
        <f>SUM(C51:C52)</f>
        <v>8435806</v>
      </c>
      <c r="D50" s="166">
        <f>SUM(D51:D52)</f>
        <v>8351658.22</v>
      </c>
      <c r="E50" s="149">
        <f aca="true" t="shared" si="24" ref="E50:E55">IF(ISERROR(D50/B50)," ",(D50/B50))*100</f>
        <v>74.44230360582185</v>
      </c>
      <c r="F50" s="149">
        <f aca="true" t="shared" si="25" ref="F50:F55">IF(ISERROR(D50/C50)," ",(D50/C50))*100</f>
        <v>99.00249270786928</v>
      </c>
      <c r="G50" s="166">
        <f>SUM(G51:G52)</f>
        <v>830319.79</v>
      </c>
      <c r="H50" s="140"/>
      <c r="I50" s="154" t="s">
        <v>869</v>
      </c>
      <c r="J50" s="147">
        <f>J51+J52</f>
        <v>11219</v>
      </c>
      <c r="K50" s="147">
        <f>K51+K52</f>
        <v>8436</v>
      </c>
      <c r="L50" s="147">
        <f>L51+L52</f>
        <v>8351</v>
      </c>
      <c r="M50" s="156">
        <f aca="true" t="shared" si="26" ref="M50:M55">L50/J50*100</f>
        <v>74.43622426241198</v>
      </c>
      <c r="N50" s="156">
        <f aca="true" t="shared" si="27" ref="N50:N55">L50/K50*100</f>
        <v>98.99241346609767</v>
      </c>
      <c r="O50" s="147">
        <f>SUM(O51:O52)</f>
        <v>830</v>
      </c>
      <c r="P50" s="140"/>
      <c r="Q50" s="147">
        <v>8351</v>
      </c>
      <c r="R50" s="147">
        <v>7521</v>
      </c>
      <c r="S50" s="140">
        <f t="shared" si="2"/>
        <v>830</v>
      </c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</row>
    <row r="51" spans="1:88" s="673" customFormat="1" ht="12.75" customHeight="1">
      <c r="A51" s="154" t="s">
        <v>870</v>
      </c>
      <c r="B51" s="164">
        <v>10847968</v>
      </c>
      <c r="C51" s="164">
        <v>8230306</v>
      </c>
      <c r="D51" s="164">
        <v>8230306</v>
      </c>
      <c r="E51" s="150">
        <f t="shared" si="24"/>
        <v>75.86956377452441</v>
      </c>
      <c r="F51" s="150">
        <f t="shared" si="25"/>
        <v>100</v>
      </c>
      <c r="G51" s="164">
        <f>D51-'[5]Augusts'!D51</f>
        <v>817959</v>
      </c>
      <c r="H51" s="140"/>
      <c r="I51" s="154" t="s">
        <v>870</v>
      </c>
      <c r="J51" s="157">
        <f aca="true" t="shared" si="28" ref="J51:L52">ROUND(B51/1000,0)</f>
        <v>10848</v>
      </c>
      <c r="K51" s="157">
        <f t="shared" si="28"/>
        <v>8230</v>
      </c>
      <c r="L51" s="157">
        <f t="shared" si="28"/>
        <v>8230</v>
      </c>
      <c r="M51" s="158">
        <f t="shared" si="26"/>
        <v>75.8665191740413</v>
      </c>
      <c r="N51" s="158">
        <f t="shared" si="27"/>
        <v>100</v>
      </c>
      <c r="O51" s="157">
        <f>L51-'[5]Augusts'!L51</f>
        <v>818</v>
      </c>
      <c r="P51" s="140"/>
      <c r="Q51" s="157">
        <v>8230</v>
      </c>
      <c r="R51" s="157">
        <v>7412</v>
      </c>
      <c r="S51" s="140">
        <f t="shared" si="2"/>
        <v>818</v>
      </c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</row>
    <row r="52" spans="1:19" ht="12.75" customHeight="1">
      <c r="A52" s="154" t="s">
        <v>872</v>
      </c>
      <c r="B52" s="164">
        <v>371000</v>
      </c>
      <c r="C52" s="164">
        <v>205500</v>
      </c>
      <c r="D52" s="164">
        <v>121352.22</v>
      </c>
      <c r="E52" s="150">
        <f t="shared" si="24"/>
        <v>32.70949326145553</v>
      </c>
      <c r="F52" s="150">
        <f t="shared" si="25"/>
        <v>59.05217518248175</v>
      </c>
      <c r="G52" s="164">
        <f>D52-'[5]Augusts'!D52</f>
        <v>12360.790000000008</v>
      </c>
      <c r="I52" s="154" t="s">
        <v>872</v>
      </c>
      <c r="J52" s="157">
        <f t="shared" si="28"/>
        <v>371</v>
      </c>
      <c r="K52" s="157">
        <f t="shared" si="28"/>
        <v>206</v>
      </c>
      <c r="L52" s="157">
        <f t="shared" si="28"/>
        <v>121</v>
      </c>
      <c r="M52" s="158">
        <f t="shared" si="26"/>
        <v>32.61455525606469</v>
      </c>
      <c r="N52" s="158">
        <f t="shared" si="27"/>
        <v>58.7378640776699</v>
      </c>
      <c r="O52" s="157">
        <f>L52-'[5]Augusts'!L52</f>
        <v>12</v>
      </c>
      <c r="Q52" s="157">
        <v>121</v>
      </c>
      <c r="R52" s="157">
        <v>109</v>
      </c>
      <c r="S52" s="140">
        <f t="shared" si="2"/>
        <v>12</v>
      </c>
    </row>
    <row r="53" spans="1:88" s="673" customFormat="1" ht="12.75" customHeight="1">
      <c r="A53" s="160" t="s">
        <v>874</v>
      </c>
      <c r="B53" s="166">
        <f>SUM(B54:B55)</f>
        <v>11218968</v>
      </c>
      <c r="C53" s="166">
        <f>SUM(C54:C55)</f>
        <v>8435806</v>
      </c>
      <c r="D53" s="166">
        <f>SUM(D54:D55)</f>
        <v>8130669.880000001</v>
      </c>
      <c r="E53" s="150">
        <f t="shared" si="24"/>
        <v>72.472529380599</v>
      </c>
      <c r="F53" s="150">
        <f t="shared" si="25"/>
        <v>96.38284569370136</v>
      </c>
      <c r="G53" s="166">
        <f>SUM(G54:G55)</f>
        <v>1054428.7400000002</v>
      </c>
      <c r="H53" s="140"/>
      <c r="I53" s="160" t="s">
        <v>874</v>
      </c>
      <c r="J53" s="147">
        <f>J54+J55</f>
        <v>11219</v>
      </c>
      <c r="K53" s="147">
        <f>K54+K55</f>
        <v>8436</v>
      </c>
      <c r="L53" s="147">
        <f>L54+L55</f>
        <v>8131</v>
      </c>
      <c r="M53" s="156">
        <f t="shared" si="26"/>
        <v>72.47526517514929</v>
      </c>
      <c r="N53" s="156">
        <f t="shared" si="27"/>
        <v>96.38454243717402</v>
      </c>
      <c r="O53" s="147">
        <f>SUM(O54:O55)</f>
        <v>1055</v>
      </c>
      <c r="P53" s="140"/>
      <c r="Q53" s="147">
        <v>8131</v>
      </c>
      <c r="R53" s="147">
        <v>7076</v>
      </c>
      <c r="S53" s="140">
        <f t="shared" si="2"/>
        <v>1055</v>
      </c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</row>
    <row r="54" spans="1:88" s="673" customFormat="1" ht="12.75" customHeight="1">
      <c r="A54" s="126" t="s">
        <v>875</v>
      </c>
      <c r="B54" s="164">
        <v>10631758</v>
      </c>
      <c r="C54" s="164">
        <v>7951796</v>
      </c>
      <c r="D54" s="164">
        <v>7856823.36</v>
      </c>
      <c r="E54" s="150">
        <f t="shared" si="24"/>
        <v>73.89956919636434</v>
      </c>
      <c r="F54" s="150">
        <f t="shared" si="25"/>
        <v>98.80564541645687</v>
      </c>
      <c r="G54" s="164">
        <f>D54-'[5]Augusts'!D54</f>
        <v>1023235.5700000003</v>
      </c>
      <c r="H54" s="140"/>
      <c r="I54" s="126" t="s">
        <v>875</v>
      </c>
      <c r="J54" s="157">
        <f aca="true" t="shared" si="29" ref="J54:L55">ROUND(B54/1000,0)</f>
        <v>10632</v>
      </c>
      <c r="K54" s="157">
        <f t="shared" si="29"/>
        <v>7952</v>
      </c>
      <c r="L54" s="157">
        <f t="shared" si="29"/>
        <v>7857</v>
      </c>
      <c r="M54" s="158">
        <f t="shared" si="26"/>
        <v>73.89954853273137</v>
      </c>
      <c r="N54" s="158">
        <f t="shared" si="27"/>
        <v>98.8053319919517</v>
      </c>
      <c r="O54" s="157">
        <f>L54-'[5]Augusts'!L54</f>
        <v>1023</v>
      </c>
      <c r="P54" s="140"/>
      <c r="Q54" s="157">
        <v>7857</v>
      </c>
      <c r="R54" s="157">
        <v>6834</v>
      </c>
      <c r="S54" s="140">
        <f t="shared" si="2"/>
        <v>1023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</row>
    <row r="55" spans="1:88" s="673" customFormat="1" ht="12.75" customHeight="1">
      <c r="A55" s="126" t="s">
        <v>876</v>
      </c>
      <c r="B55" s="164">
        <v>587210</v>
      </c>
      <c r="C55" s="164">
        <v>484010</v>
      </c>
      <c r="D55" s="164">
        <v>273846.52</v>
      </c>
      <c r="E55" s="150">
        <f t="shared" si="24"/>
        <v>46.63519354234431</v>
      </c>
      <c r="F55" s="150">
        <f t="shared" si="25"/>
        <v>56.57869052292308</v>
      </c>
      <c r="G55" s="164">
        <f>D55-'[5]Augusts'!D55</f>
        <v>31193.170000000013</v>
      </c>
      <c r="H55" s="140"/>
      <c r="I55" s="126" t="s">
        <v>876</v>
      </c>
      <c r="J55" s="157">
        <f t="shared" si="29"/>
        <v>587</v>
      </c>
      <c r="K55" s="157">
        <f t="shared" si="29"/>
        <v>484</v>
      </c>
      <c r="L55" s="157">
        <f>ROUND(D55/1000,0)</f>
        <v>274</v>
      </c>
      <c r="M55" s="158">
        <f t="shared" si="26"/>
        <v>46.678023850085175</v>
      </c>
      <c r="N55" s="158">
        <f t="shared" si="27"/>
        <v>56.611570247933884</v>
      </c>
      <c r="O55" s="157">
        <f>L55-'[5]Augusts'!L55</f>
        <v>32</v>
      </c>
      <c r="P55" s="140"/>
      <c r="Q55" s="157">
        <v>274</v>
      </c>
      <c r="R55" s="157">
        <v>242</v>
      </c>
      <c r="S55" s="140">
        <f t="shared" si="2"/>
        <v>32</v>
      </c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</row>
    <row r="56" spans="1:88" s="673" customFormat="1" ht="12.75" customHeight="1">
      <c r="A56" s="160" t="s">
        <v>890</v>
      </c>
      <c r="B56" s="164"/>
      <c r="C56" s="164"/>
      <c r="D56" s="164"/>
      <c r="E56" s="164"/>
      <c r="F56" s="164"/>
      <c r="G56" s="164"/>
      <c r="H56" s="140"/>
      <c r="I56" s="160" t="s">
        <v>891</v>
      </c>
      <c r="J56" s="164"/>
      <c r="K56" s="164"/>
      <c r="L56" s="164"/>
      <c r="M56" s="158"/>
      <c r="N56" s="158"/>
      <c r="O56" s="164"/>
      <c r="P56" s="140"/>
      <c r="Q56" s="164"/>
      <c r="R56" s="164"/>
      <c r="S56" s="140">
        <f t="shared" si="2"/>
        <v>0</v>
      </c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</row>
    <row r="57" spans="1:88" s="673" customFormat="1" ht="12.75" customHeight="1">
      <c r="A57" s="154" t="s">
        <v>869</v>
      </c>
      <c r="B57" s="164">
        <f>SUM(B58:B61)</f>
        <v>10882637</v>
      </c>
      <c r="C57" s="166">
        <f>SUM(C58:C61)</f>
        <v>8104122</v>
      </c>
      <c r="D57" s="166">
        <f>SUM(D58:D61)</f>
        <v>6598978.859999999</v>
      </c>
      <c r="E57" s="149">
        <f aca="true" t="shared" si="30" ref="E57:E64">IF(ISERROR(D57/B57)," ",(D57/B57))*100</f>
        <v>60.63768239260392</v>
      </c>
      <c r="F57" s="149">
        <f aca="true" t="shared" si="31" ref="F57:F63">IF(ISERROR(D57/C57)," ",(D57/C57))*100</f>
        <v>81.42743729672381</v>
      </c>
      <c r="G57" s="166">
        <f>SUM(G58:G61)</f>
        <v>492224.33999999997</v>
      </c>
      <c r="H57" s="140"/>
      <c r="I57" s="154" t="s">
        <v>869</v>
      </c>
      <c r="J57" s="147">
        <f>J58+J59+J60+J61</f>
        <v>10882</v>
      </c>
      <c r="K57" s="147">
        <f>K58+K59+K60+K61</f>
        <v>8104</v>
      </c>
      <c r="L57" s="147">
        <f>L58+L59+L60+L61</f>
        <v>6599</v>
      </c>
      <c r="M57" s="156">
        <f aca="true" t="shared" si="32" ref="M57:M64">L57/J57*100</f>
        <v>60.64142620841757</v>
      </c>
      <c r="N57" s="156">
        <f aca="true" t="shared" si="33" ref="N57:N64">L57/K57*100</f>
        <v>81.428923988154</v>
      </c>
      <c r="O57" s="147">
        <f>SUM(O58:O61)</f>
        <v>493</v>
      </c>
      <c r="P57" s="140"/>
      <c r="Q57" s="147">
        <v>6599</v>
      </c>
      <c r="R57" s="147">
        <v>6106</v>
      </c>
      <c r="S57" s="140">
        <f t="shared" si="2"/>
        <v>493</v>
      </c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</row>
    <row r="58" spans="1:88" s="673" customFormat="1" ht="12.75" customHeight="1">
      <c r="A58" s="154" t="s">
        <v>870</v>
      </c>
      <c r="B58" s="164">
        <v>6323187</v>
      </c>
      <c r="C58" s="164">
        <v>4830318</v>
      </c>
      <c r="D58" s="164">
        <v>4830318</v>
      </c>
      <c r="E58" s="150">
        <f t="shared" si="30"/>
        <v>76.39056064607927</v>
      </c>
      <c r="F58" s="150">
        <f t="shared" si="31"/>
        <v>100</v>
      </c>
      <c r="G58" s="164">
        <f>D58-'[5]Augusts'!D58</f>
        <v>396966</v>
      </c>
      <c r="H58" s="140"/>
      <c r="I58" s="154" t="s">
        <v>870</v>
      </c>
      <c r="J58" s="157">
        <f>ROUND(B58/1000,0)</f>
        <v>6323</v>
      </c>
      <c r="K58" s="157">
        <f aca="true" t="shared" si="34" ref="K58:L61">ROUND(C58/1000,0)</f>
        <v>4830</v>
      </c>
      <c r="L58" s="157">
        <f t="shared" si="34"/>
        <v>4830</v>
      </c>
      <c r="M58" s="158">
        <f t="shared" si="32"/>
        <v>76.38779060572513</v>
      </c>
      <c r="N58" s="158">
        <f t="shared" si="33"/>
        <v>100</v>
      </c>
      <c r="O58" s="157">
        <f>L58-'[5]Augusts'!L58</f>
        <v>397</v>
      </c>
      <c r="P58" s="140"/>
      <c r="Q58" s="157">
        <v>4830</v>
      </c>
      <c r="R58" s="157">
        <v>4433</v>
      </c>
      <c r="S58" s="140">
        <f t="shared" si="2"/>
        <v>397</v>
      </c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</row>
    <row r="59" spans="1:88" s="673" customFormat="1" ht="12.75" customHeight="1">
      <c r="A59" s="154" t="s">
        <v>871</v>
      </c>
      <c r="B59" s="164">
        <v>12122</v>
      </c>
      <c r="C59" s="164">
        <v>12122</v>
      </c>
      <c r="D59" s="164">
        <v>11722.22</v>
      </c>
      <c r="E59" s="150">
        <f t="shared" si="30"/>
        <v>96.70202936809108</v>
      </c>
      <c r="F59" s="150">
        <f t="shared" si="31"/>
        <v>96.70202936809108</v>
      </c>
      <c r="G59" s="164">
        <f>D59-'[5]Augusts'!D59</f>
        <v>0</v>
      </c>
      <c r="H59" s="140"/>
      <c r="I59" s="154" t="s">
        <v>871</v>
      </c>
      <c r="J59" s="157">
        <f>ROUND(B59/1000,0)</f>
        <v>12</v>
      </c>
      <c r="K59" s="157">
        <f t="shared" si="34"/>
        <v>12</v>
      </c>
      <c r="L59" s="157">
        <f>ROUND(D59/1000,0)</f>
        <v>12</v>
      </c>
      <c r="M59" s="158">
        <f t="shared" si="32"/>
        <v>100</v>
      </c>
      <c r="N59" s="158">
        <f t="shared" si="33"/>
        <v>100</v>
      </c>
      <c r="O59" s="157">
        <f>L59-'[5]Augusts'!L59</f>
        <v>0</v>
      </c>
      <c r="P59" s="140"/>
      <c r="Q59" s="157">
        <v>12</v>
      </c>
      <c r="R59" s="157">
        <v>12</v>
      </c>
      <c r="S59" s="140">
        <f t="shared" si="2"/>
        <v>0</v>
      </c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</row>
    <row r="60" spans="1:88" s="673" customFormat="1" ht="12.75" customHeight="1">
      <c r="A60" s="154" t="s">
        <v>872</v>
      </c>
      <c r="B60" s="164">
        <v>1444942</v>
      </c>
      <c r="C60" s="164">
        <v>593829</v>
      </c>
      <c r="D60" s="164">
        <v>703732.67</v>
      </c>
      <c r="E60" s="150">
        <f t="shared" si="30"/>
        <v>48.70317770540271</v>
      </c>
      <c r="F60" s="150">
        <f t="shared" si="31"/>
        <v>118.50762930069094</v>
      </c>
      <c r="G60" s="164">
        <f>D60-'[5]Augusts'!D60</f>
        <v>38743.369999999995</v>
      </c>
      <c r="H60" s="140"/>
      <c r="I60" s="154" t="s">
        <v>872</v>
      </c>
      <c r="J60" s="157">
        <f>ROUND(B60/1000,0)</f>
        <v>1445</v>
      </c>
      <c r="K60" s="157">
        <f>ROUND(C60/1000,0)</f>
        <v>594</v>
      </c>
      <c r="L60" s="157">
        <f t="shared" si="34"/>
        <v>704</v>
      </c>
      <c r="M60" s="158">
        <f t="shared" si="32"/>
        <v>48.719723183391004</v>
      </c>
      <c r="N60" s="158">
        <f t="shared" si="33"/>
        <v>118.5185185185185</v>
      </c>
      <c r="O60" s="157">
        <f>L60-'[5]Augusts'!L60</f>
        <v>39</v>
      </c>
      <c r="P60" s="140"/>
      <c r="Q60" s="157">
        <v>704</v>
      </c>
      <c r="R60" s="157">
        <v>665</v>
      </c>
      <c r="S60" s="140">
        <f t="shared" si="2"/>
        <v>39</v>
      </c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</row>
    <row r="61" spans="1:88" s="673" customFormat="1" ht="12.75" customHeight="1">
      <c r="A61" s="154" t="s">
        <v>873</v>
      </c>
      <c r="B61" s="164">
        <v>3102386</v>
      </c>
      <c r="C61" s="164">
        <v>2667853</v>
      </c>
      <c r="D61" s="164">
        <v>1053205.97</v>
      </c>
      <c r="E61" s="150">
        <f t="shared" si="30"/>
        <v>33.948256922252746</v>
      </c>
      <c r="F61" s="150">
        <f t="shared" si="31"/>
        <v>39.477661250451206</v>
      </c>
      <c r="G61" s="164">
        <f>D61-'[5]Augusts'!D61</f>
        <v>56514.96999999997</v>
      </c>
      <c r="H61" s="140"/>
      <c r="I61" s="154" t="s">
        <v>873</v>
      </c>
      <c r="J61" s="157">
        <f>ROUND(B61/1000,0)</f>
        <v>3102</v>
      </c>
      <c r="K61" s="157">
        <f t="shared" si="34"/>
        <v>2668</v>
      </c>
      <c r="L61" s="157">
        <f>ROUND(D61/1000,0)</f>
        <v>1053</v>
      </c>
      <c r="M61" s="158">
        <f t="shared" si="32"/>
        <v>33.9458413926499</v>
      </c>
      <c r="N61" s="158">
        <f t="shared" si="33"/>
        <v>39.467766116941526</v>
      </c>
      <c r="O61" s="157">
        <f>L61-'[5]Augusts'!L61</f>
        <v>57</v>
      </c>
      <c r="P61" s="140"/>
      <c r="Q61" s="157">
        <v>1053</v>
      </c>
      <c r="R61" s="157">
        <v>996</v>
      </c>
      <c r="S61" s="140">
        <f t="shared" si="2"/>
        <v>57</v>
      </c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</row>
    <row r="62" spans="1:88" s="673" customFormat="1" ht="12.75" customHeight="1">
      <c r="A62" s="160" t="s">
        <v>874</v>
      </c>
      <c r="B62" s="166">
        <f>SUM(B63:B64)</f>
        <v>10967003</v>
      </c>
      <c r="C62" s="166">
        <f>SUM(C63:C64)</f>
        <v>8181078</v>
      </c>
      <c r="D62" s="166">
        <f>SUM(D63:D64)</f>
        <v>6241865.31</v>
      </c>
      <c r="E62" s="150">
        <f t="shared" si="30"/>
        <v>56.91495944698839</v>
      </c>
      <c r="F62" s="150">
        <f t="shared" si="31"/>
        <v>76.29636717801736</v>
      </c>
      <c r="G62" s="166">
        <f>SUM(G63:G64)</f>
        <v>534500.2000000002</v>
      </c>
      <c r="H62" s="140"/>
      <c r="I62" s="160" t="s">
        <v>874</v>
      </c>
      <c r="J62" s="147">
        <f>J63+J64</f>
        <v>10967</v>
      </c>
      <c r="K62" s="147">
        <f>K63+K64</f>
        <v>8181</v>
      </c>
      <c r="L62" s="147">
        <f>L63+L64</f>
        <v>6242</v>
      </c>
      <c r="M62" s="156">
        <f t="shared" si="32"/>
        <v>56.9162031549193</v>
      </c>
      <c r="N62" s="156">
        <f t="shared" si="33"/>
        <v>76.29874098520963</v>
      </c>
      <c r="O62" s="147">
        <f>SUM(O63:O64)</f>
        <v>534</v>
      </c>
      <c r="P62" s="140"/>
      <c r="Q62" s="147">
        <v>6242</v>
      </c>
      <c r="R62" s="147">
        <v>5708</v>
      </c>
      <c r="S62" s="140">
        <f t="shared" si="2"/>
        <v>534</v>
      </c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</row>
    <row r="63" spans="1:88" s="673" customFormat="1" ht="12.75" customHeight="1">
      <c r="A63" s="162" t="s">
        <v>875</v>
      </c>
      <c r="B63" s="164">
        <v>10381097</v>
      </c>
      <c r="C63" s="164">
        <v>7729922</v>
      </c>
      <c r="D63" s="164">
        <v>5974950.93</v>
      </c>
      <c r="E63" s="150">
        <f t="shared" si="30"/>
        <v>57.556064932251374</v>
      </c>
      <c r="F63" s="150">
        <f t="shared" si="31"/>
        <v>77.29639354705002</v>
      </c>
      <c r="G63" s="164">
        <f>D63-'[5]Augusts'!D63</f>
        <v>510432.66000000015</v>
      </c>
      <c r="H63" s="140"/>
      <c r="I63" s="162" t="s">
        <v>875</v>
      </c>
      <c r="J63" s="157">
        <f aca="true" t="shared" si="35" ref="J63:L64">ROUND(B63/1000,0)</f>
        <v>10381</v>
      </c>
      <c r="K63" s="157">
        <f t="shared" si="35"/>
        <v>7730</v>
      </c>
      <c r="L63" s="157">
        <f t="shared" si="35"/>
        <v>5975</v>
      </c>
      <c r="M63" s="158">
        <f t="shared" si="32"/>
        <v>57.55707542625951</v>
      </c>
      <c r="N63" s="158">
        <f t="shared" si="33"/>
        <v>77.29624838292366</v>
      </c>
      <c r="O63" s="157">
        <f>L63-'[5]Augusts'!L63</f>
        <v>510</v>
      </c>
      <c r="P63" s="140"/>
      <c r="Q63" s="157">
        <v>5975</v>
      </c>
      <c r="R63" s="157">
        <v>5465</v>
      </c>
      <c r="S63" s="140">
        <f t="shared" si="2"/>
        <v>510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</row>
    <row r="64" spans="1:88" s="673" customFormat="1" ht="12.75" customHeight="1">
      <c r="A64" s="162" t="s">
        <v>876</v>
      </c>
      <c r="B64" s="164">
        <v>585906</v>
      </c>
      <c r="C64" s="164">
        <v>451156</v>
      </c>
      <c r="D64" s="164">
        <v>266914.38</v>
      </c>
      <c r="E64" s="150">
        <f t="shared" si="30"/>
        <v>45.55583660177571</v>
      </c>
      <c r="F64" s="150"/>
      <c r="G64" s="164">
        <f>D64-'[5]Augusts'!D64</f>
        <v>24067.540000000008</v>
      </c>
      <c r="H64" s="140"/>
      <c r="I64" s="162" t="s">
        <v>876</v>
      </c>
      <c r="J64" s="157">
        <f t="shared" si="35"/>
        <v>586</v>
      </c>
      <c r="K64" s="157">
        <f t="shared" si="35"/>
        <v>451</v>
      </c>
      <c r="L64" s="157">
        <f t="shared" si="35"/>
        <v>267</v>
      </c>
      <c r="M64" s="158">
        <f t="shared" si="32"/>
        <v>45.563139931740615</v>
      </c>
      <c r="N64" s="158">
        <f t="shared" si="33"/>
        <v>59.20177383592018</v>
      </c>
      <c r="O64" s="157">
        <f>L64-'[5]Augusts'!L64</f>
        <v>24</v>
      </c>
      <c r="P64" s="140"/>
      <c r="Q64" s="157">
        <v>267</v>
      </c>
      <c r="R64" s="157">
        <v>243</v>
      </c>
      <c r="S64" s="140">
        <f t="shared" si="2"/>
        <v>24</v>
      </c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</row>
    <row r="65" spans="1:88" s="673" customFormat="1" ht="12.75" customHeight="1">
      <c r="A65" s="160" t="s">
        <v>892</v>
      </c>
      <c r="B65" s="164"/>
      <c r="C65" s="164"/>
      <c r="D65" s="164"/>
      <c r="E65" s="164"/>
      <c r="F65" s="164"/>
      <c r="G65" s="164"/>
      <c r="H65" s="140"/>
      <c r="I65" s="160" t="s">
        <v>893</v>
      </c>
      <c r="J65" s="164"/>
      <c r="K65" s="164"/>
      <c r="L65" s="164"/>
      <c r="M65" s="158"/>
      <c r="N65" s="158"/>
      <c r="O65" s="164"/>
      <c r="P65" s="140"/>
      <c r="Q65" s="164"/>
      <c r="R65" s="164"/>
      <c r="S65" s="140">
        <f t="shared" si="2"/>
        <v>0</v>
      </c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</row>
    <row r="66" spans="1:88" s="673" customFormat="1" ht="12.75" customHeight="1">
      <c r="A66" s="154" t="s">
        <v>869</v>
      </c>
      <c r="B66" s="164">
        <f>SUM(B67:B70)</f>
        <v>97190095</v>
      </c>
      <c r="C66" s="166">
        <f>SUM(C67:C70)</f>
        <v>71838101</v>
      </c>
      <c r="D66" s="166">
        <f>SUM(D67:D70)</f>
        <v>70468228.45</v>
      </c>
      <c r="E66" s="149">
        <f aca="true" t="shared" si="36" ref="E66:E73">IF(ISERROR(D66/B66)," ",(D66/B66))*100</f>
        <v>72.50556597356963</v>
      </c>
      <c r="F66" s="149">
        <f aca="true" t="shared" si="37" ref="F66:F73">IF(ISERROR(D66/C66)," ",(D66/C66))*100</f>
        <v>98.09311141172844</v>
      </c>
      <c r="G66" s="166">
        <f>SUM(G67:G70)</f>
        <v>8793354</v>
      </c>
      <c r="H66" s="140"/>
      <c r="I66" s="154" t="s">
        <v>869</v>
      </c>
      <c r="J66" s="147">
        <f>J67+J68+J69+J70</f>
        <v>97190</v>
      </c>
      <c r="K66" s="147">
        <f>K67+K68+K69+K70</f>
        <v>71837</v>
      </c>
      <c r="L66" s="147">
        <f>L67+L68+L69+L70</f>
        <v>70467</v>
      </c>
      <c r="M66" s="156">
        <f aca="true" t="shared" si="38" ref="M66:M75">L66/J66*100</f>
        <v>72.5043728778681</v>
      </c>
      <c r="N66" s="156">
        <f aca="true" t="shared" si="39" ref="N66:N73">L66/K66*100</f>
        <v>98.09290477052215</v>
      </c>
      <c r="O66" s="147">
        <f>SUM(O67:O70)</f>
        <v>8792</v>
      </c>
      <c r="P66" s="140"/>
      <c r="Q66" s="147">
        <v>70467</v>
      </c>
      <c r="R66" s="147">
        <v>61675</v>
      </c>
      <c r="S66" s="140">
        <f t="shared" si="2"/>
        <v>8792</v>
      </c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</row>
    <row r="67" spans="1:88" s="673" customFormat="1" ht="12.75" customHeight="1">
      <c r="A67" s="154" t="s">
        <v>870</v>
      </c>
      <c r="B67" s="164">
        <v>88620314</v>
      </c>
      <c r="C67" s="164">
        <v>65982282</v>
      </c>
      <c r="D67" s="164">
        <v>65982282</v>
      </c>
      <c r="E67" s="150">
        <f>IF(ISERROR(D67/B67)," ",(D67/B67))*100</f>
        <v>74.45503070548813</v>
      </c>
      <c r="F67" s="150">
        <f>IF(ISERROR(D67/C67)," ",(D67/C67))*100</f>
        <v>100</v>
      </c>
      <c r="G67" s="164">
        <f>D67-'[5]Augusts'!D67</f>
        <v>8269463</v>
      </c>
      <c r="H67" s="140"/>
      <c r="I67" s="154" t="s">
        <v>870</v>
      </c>
      <c r="J67" s="157">
        <f aca="true" t="shared" si="40" ref="J67:L69">ROUND(B67/1000,0)</f>
        <v>88620</v>
      </c>
      <c r="K67" s="157">
        <f t="shared" si="40"/>
        <v>65982</v>
      </c>
      <c r="L67" s="157">
        <f t="shared" si="40"/>
        <v>65982</v>
      </c>
      <c r="M67" s="158">
        <f t="shared" si="38"/>
        <v>74.45497630331754</v>
      </c>
      <c r="N67" s="158">
        <f t="shared" si="39"/>
        <v>100</v>
      </c>
      <c r="O67" s="157">
        <f>L67-'[5]Augusts'!L67</f>
        <v>8269</v>
      </c>
      <c r="P67" s="140"/>
      <c r="Q67" s="157">
        <v>65982</v>
      </c>
      <c r="R67" s="157">
        <v>57713</v>
      </c>
      <c r="S67" s="140">
        <f t="shared" si="2"/>
        <v>8269</v>
      </c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</row>
    <row r="68" spans="1:88" s="673" customFormat="1" ht="12.75" customHeight="1">
      <c r="A68" s="154" t="s">
        <v>871</v>
      </c>
      <c r="B68" s="164">
        <v>1033000</v>
      </c>
      <c r="C68" s="164">
        <v>566078</v>
      </c>
      <c r="D68" s="164">
        <v>437065.71</v>
      </c>
      <c r="E68" s="150">
        <f t="shared" si="36"/>
        <v>42.310330106485964</v>
      </c>
      <c r="F68" s="150">
        <f t="shared" si="37"/>
        <v>77.20944993446133</v>
      </c>
      <c r="G68" s="164">
        <f>D68-'[5]Augusts'!D68</f>
        <v>30602.360000000044</v>
      </c>
      <c r="H68" s="140"/>
      <c r="I68" s="154" t="s">
        <v>871</v>
      </c>
      <c r="J68" s="157">
        <f t="shared" si="40"/>
        <v>1033</v>
      </c>
      <c r="K68" s="157">
        <f t="shared" si="40"/>
        <v>566</v>
      </c>
      <c r="L68" s="157">
        <f t="shared" si="40"/>
        <v>437</v>
      </c>
      <c r="M68" s="158">
        <f t="shared" si="38"/>
        <v>42.30396902226525</v>
      </c>
      <c r="N68" s="158">
        <f t="shared" si="39"/>
        <v>77.20848056537103</v>
      </c>
      <c r="O68" s="157">
        <f>L68-'[5]Augusts'!L68</f>
        <v>31</v>
      </c>
      <c r="P68" s="140"/>
      <c r="Q68" s="157">
        <v>437</v>
      </c>
      <c r="R68" s="157">
        <v>406</v>
      </c>
      <c r="S68" s="140">
        <f t="shared" si="2"/>
        <v>31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</row>
    <row r="69" spans="1:88" s="673" customFormat="1" ht="12.75" customHeight="1">
      <c r="A69" s="154" t="s">
        <v>872</v>
      </c>
      <c r="B69" s="164">
        <v>4507801</v>
      </c>
      <c r="C69" s="164">
        <v>3214843</v>
      </c>
      <c r="D69" s="164">
        <v>2934526.33</v>
      </c>
      <c r="E69" s="150">
        <f t="shared" si="36"/>
        <v>65.0988437599619</v>
      </c>
      <c r="F69" s="150">
        <f t="shared" si="37"/>
        <v>91.28054869242447</v>
      </c>
      <c r="G69" s="164">
        <f>D69-'[5]Augusts'!D69</f>
        <v>259926.22999999998</v>
      </c>
      <c r="H69" s="140"/>
      <c r="I69" s="154" t="s">
        <v>872</v>
      </c>
      <c r="J69" s="157">
        <f t="shared" si="40"/>
        <v>4508</v>
      </c>
      <c r="K69" s="157">
        <f t="shared" si="40"/>
        <v>3215</v>
      </c>
      <c r="L69" s="157">
        <f>ROUND(D69/1000,0)-1</f>
        <v>2934</v>
      </c>
      <c r="M69" s="158">
        <f t="shared" si="38"/>
        <v>65.08429458740018</v>
      </c>
      <c r="N69" s="158">
        <f t="shared" si="39"/>
        <v>91.25972006220839</v>
      </c>
      <c r="O69" s="157">
        <f>L69-'[5]Augusts'!L69</f>
        <v>259</v>
      </c>
      <c r="P69" s="140"/>
      <c r="Q69" s="157">
        <v>2934</v>
      </c>
      <c r="R69" s="157">
        <v>2675</v>
      </c>
      <c r="S69" s="140">
        <f t="shared" si="2"/>
        <v>259</v>
      </c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</row>
    <row r="70" spans="1:88" s="673" customFormat="1" ht="12.75" customHeight="1">
      <c r="A70" s="154" t="s">
        <v>873</v>
      </c>
      <c r="B70" s="164">
        <v>3028980</v>
      </c>
      <c r="C70" s="164">
        <v>2074898</v>
      </c>
      <c r="D70" s="164">
        <v>1114354.41</v>
      </c>
      <c r="E70" s="150">
        <f t="shared" si="36"/>
        <v>36.789757938315866</v>
      </c>
      <c r="F70" s="150">
        <f t="shared" si="37"/>
        <v>53.7064670166919</v>
      </c>
      <c r="G70" s="164">
        <f>D70-'[5]Augusts'!D70</f>
        <v>233362.40999999992</v>
      </c>
      <c r="H70" s="140"/>
      <c r="I70" s="154" t="s">
        <v>873</v>
      </c>
      <c r="J70" s="157">
        <f>ROUND(B70/1000,0)</f>
        <v>3029</v>
      </c>
      <c r="K70" s="157">
        <f>ROUND(C70/1000,0)-1</f>
        <v>2074</v>
      </c>
      <c r="L70" s="157">
        <f>ROUND(D70/1000,0)</f>
        <v>1114</v>
      </c>
      <c r="M70" s="158">
        <f t="shared" si="38"/>
        <v>36.7778144602179</v>
      </c>
      <c r="N70" s="158">
        <f t="shared" si="39"/>
        <v>53.712632594021215</v>
      </c>
      <c r="O70" s="157">
        <f>L70-'[5]Augusts'!L70</f>
        <v>233</v>
      </c>
      <c r="P70" s="140"/>
      <c r="Q70" s="157">
        <v>1114</v>
      </c>
      <c r="R70" s="157">
        <v>881</v>
      </c>
      <c r="S70" s="140">
        <f t="shared" si="2"/>
        <v>233</v>
      </c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</row>
    <row r="71" spans="1:88" s="673" customFormat="1" ht="12.75" customHeight="1">
      <c r="A71" s="160" t="s">
        <v>874</v>
      </c>
      <c r="B71" s="166">
        <f>SUM(B72:B73)</f>
        <v>97287095</v>
      </c>
      <c r="C71" s="166">
        <f>SUM(C72:C73)</f>
        <v>71932791</v>
      </c>
      <c r="D71" s="166">
        <f>SUM(D72:D73)</f>
        <v>67661014.25999999</v>
      </c>
      <c r="E71" s="150">
        <f t="shared" si="36"/>
        <v>69.54777944597893</v>
      </c>
      <c r="F71" s="150">
        <f t="shared" si="37"/>
        <v>94.06143334546826</v>
      </c>
      <c r="G71" s="166">
        <f>SUM(G72:G73)</f>
        <v>8454755.02</v>
      </c>
      <c r="H71" s="140"/>
      <c r="I71" s="160" t="s">
        <v>874</v>
      </c>
      <c r="J71" s="147">
        <f>J72+J73</f>
        <v>97288</v>
      </c>
      <c r="K71" s="147">
        <f>K72+K73</f>
        <v>71932</v>
      </c>
      <c r="L71" s="147">
        <f>L72+L73</f>
        <v>67661</v>
      </c>
      <c r="M71" s="156">
        <f t="shared" si="38"/>
        <v>69.5471178357043</v>
      </c>
      <c r="N71" s="156">
        <f t="shared" si="39"/>
        <v>94.06244786743035</v>
      </c>
      <c r="O71" s="147">
        <f>SUM(O72:O73)</f>
        <v>8455</v>
      </c>
      <c r="P71" s="167"/>
      <c r="Q71" s="147">
        <v>67661</v>
      </c>
      <c r="R71" s="147">
        <v>59206</v>
      </c>
      <c r="S71" s="140">
        <f t="shared" si="2"/>
        <v>8455</v>
      </c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</row>
    <row r="72" spans="1:88" s="673" customFormat="1" ht="12.75" customHeight="1">
      <c r="A72" s="162" t="s">
        <v>875</v>
      </c>
      <c r="B72" s="164">
        <v>90113100</v>
      </c>
      <c r="C72" s="164">
        <v>66667530</v>
      </c>
      <c r="D72" s="164">
        <v>63772291.55</v>
      </c>
      <c r="E72" s="150">
        <f t="shared" si="36"/>
        <v>70.7691684671818</v>
      </c>
      <c r="F72" s="150">
        <f t="shared" si="37"/>
        <v>95.65719856427859</v>
      </c>
      <c r="G72" s="164">
        <f>D72-'[5]Augusts'!D72</f>
        <v>8039866.82</v>
      </c>
      <c r="H72" s="140"/>
      <c r="I72" s="162" t="s">
        <v>875</v>
      </c>
      <c r="J72" s="157">
        <f>ROUND(B72/1000,0)</f>
        <v>90113</v>
      </c>
      <c r="K72" s="157">
        <f>ROUND(C72/1000,0)-1</f>
        <v>66667</v>
      </c>
      <c r="L72" s="157">
        <f aca="true" t="shared" si="41" ref="K72:L74">ROUND(D72/1000,0)</f>
        <v>63772</v>
      </c>
      <c r="M72" s="158">
        <f t="shared" si="38"/>
        <v>70.76892346276342</v>
      </c>
      <c r="N72" s="158">
        <f t="shared" si="39"/>
        <v>95.65752171239143</v>
      </c>
      <c r="O72" s="157">
        <f>L72-'[5]Augusts'!L72</f>
        <v>8040</v>
      </c>
      <c r="P72" s="140"/>
      <c r="Q72" s="157">
        <v>63772</v>
      </c>
      <c r="R72" s="157">
        <v>55732</v>
      </c>
      <c r="S72" s="140">
        <f t="shared" si="2"/>
        <v>8040</v>
      </c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</row>
    <row r="73" spans="1:88" s="673" customFormat="1" ht="12.75" customHeight="1">
      <c r="A73" s="162" t="s">
        <v>876</v>
      </c>
      <c r="B73" s="164">
        <v>7173995</v>
      </c>
      <c r="C73" s="164">
        <v>5265261</v>
      </c>
      <c r="D73" s="164">
        <v>3888722.71</v>
      </c>
      <c r="E73" s="150">
        <f t="shared" si="36"/>
        <v>54.20581851534605</v>
      </c>
      <c r="F73" s="150">
        <f t="shared" si="37"/>
        <v>73.85621928333657</v>
      </c>
      <c r="G73" s="164">
        <f>D73-'[5]Augusts'!D73</f>
        <v>414888.2000000002</v>
      </c>
      <c r="H73" s="140"/>
      <c r="I73" s="162" t="s">
        <v>876</v>
      </c>
      <c r="J73" s="157">
        <f>ROUND(B73/1000,0)+1</f>
        <v>7175</v>
      </c>
      <c r="K73" s="157">
        <f t="shared" si="41"/>
        <v>5265</v>
      </c>
      <c r="L73" s="157">
        <f t="shared" si="41"/>
        <v>3889</v>
      </c>
      <c r="M73" s="158">
        <f t="shared" si="38"/>
        <v>54.20209059233449</v>
      </c>
      <c r="N73" s="158">
        <f t="shared" si="39"/>
        <v>73.86514719848053</v>
      </c>
      <c r="O73" s="157">
        <f>L73-'[5]Augusts'!L73</f>
        <v>415</v>
      </c>
      <c r="P73" s="140"/>
      <c r="Q73" s="157">
        <v>3889</v>
      </c>
      <c r="R73" s="157">
        <v>3474</v>
      </c>
      <c r="S73" s="140">
        <f t="shared" si="2"/>
        <v>415</v>
      </c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</row>
    <row r="74" spans="1:88" s="673" customFormat="1" ht="12.75" customHeight="1">
      <c r="A74" s="119" t="s">
        <v>877</v>
      </c>
      <c r="B74" s="164">
        <v>48031380</v>
      </c>
      <c r="C74" s="164"/>
      <c r="D74" s="164">
        <v>23275514</v>
      </c>
      <c r="E74" s="150"/>
      <c r="F74" s="150"/>
      <c r="G74" s="164">
        <f>D74-'[5]Augusts'!D74</f>
        <v>133018</v>
      </c>
      <c r="H74" s="140"/>
      <c r="I74" s="119" t="s">
        <v>877</v>
      </c>
      <c r="J74" s="157">
        <f>ROUND(B74/1000,0)</f>
        <v>48031</v>
      </c>
      <c r="K74" s="157">
        <f t="shared" si="41"/>
        <v>0</v>
      </c>
      <c r="L74" s="157">
        <f>ROUND(D74/1000,0)-1</f>
        <v>23275</v>
      </c>
      <c r="M74" s="158">
        <f t="shared" si="38"/>
        <v>48.45828735608253</v>
      </c>
      <c r="N74" s="158"/>
      <c r="O74" s="157">
        <f>L74-'[5]Augusts'!L74</f>
        <v>133</v>
      </c>
      <c r="P74" s="140"/>
      <c r="Q74" s="157">
        <v>23275</v>
      </c>
      <c r="R74" s="157">
        <v>23142</v>
      </c>
      <c r="S74" s="140">
        <f aca="true" t="shared" si="42" ref="S74:S137">Q74-R74</f>
        <v>133</v>
      </c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</row>
    <row r="75" spans="1:88" s="673" customFormat="1" ht="12.75" customHeight="1">
      <c r="A75" s="119" t="s">
        <v>878</v>
      </c>
      <c r="B75" s="164">
        <f>B66-B71-B74</f>
        <v>-48128380</v>
      </c>
      <c r="C75" s="164">
        <f>C66-C71-C74</f>
        <v>-94690</v>
      </c>
      <c r="D75" s="164">
        <f>D66-D71-D74</f>
        <v>-20468299.809999987</v>
      </c>
      <c r="E75" s="164">
        <f>E66-E71-E74</f>
        <v>2.9577865275906987</v>
      </c>
      <c r="F75" s="164">
        <f>F66-F71-F74</f>
        <v>4.031678066260184</v>
      </c>
      <c r="G75" s="164">
        <f>D75-'[5]Augusts'!D75</f>
        <v>205580.98000000417</v>
      </c>
      <c r="H75" s="140"/>
      <c r="I75" s="119" t="s">
        <v>878</v>
      </c>
      <c r="J75" s="157">
        <f>ROUND(B75/1000,0)-1</f>
        <v>-48129</v>
      </c>
      <c r="K75" s="157">
        <f>ROUND(C75/1000,0)</f>
        <v>-95</v>
      </c>
      <c r="L75" s="157">
        <f>L66-L71-L74</f>
        <v>-20469</v>
      </c>
      <c r="M75" s="158">
        <f t="shared" si="38"/>
        <v>42.529452097488004</v>
      </c>
      <c r="N75" s="158"/>
      <c r="O75" s="157">
        <f>L75-'[5]Augusts'!L75</f>
        <v>204</v>
      </c>
      <c r="P75" s="140"/>
      <c r="Q75" s="157">
        <v>-20469</v>
      </c>
      <c r="R75" s="157">
        <v>-20673</v>
      </c>
      <c r="S75" s="140">
        <f t="shared" si="42"/>
        <v>204</v>
      </c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</row>
    <row r="76" spans="1:88" s="673" customFormat="1" ht="12.75" customHeight="1">
      <c r="A76" s="160" t="s">
        <v>894</v>
      </c>
      <c r="B76" s="164"/>
      <c r="C76" s="164"/>
      <c r="D76" s="164"/>
      <c r="E76" s="164"/>
      <c r="F76" s="164"/>
      <c r="G76" s="164"/>
      <c r="H76" s="140"/>
      <c r="I76" s="160" t="s">
        <v>895</v>
      </c>
      <c r="J76" s="164"/>
      <c r="K76" s="164"/>
      <c r="L76" s="164"/>
      <c r="M76" s="158"/>
      <c r="N76" s="158"/>
      <c r="O76" s="164"/>
      <c r="P76" s="140"/>
      <c r="Q76" s="164"/>
      <c r="R76" s="164"/>
      <c r="S76" s="140">
        <f t="shared" si="42"/>
        <v>0</v>
      </c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</row>
    <row r="77" spans="1:88" s="673" customFormat="1" ht="12.75" customHeight="1">
      <c r="A77" s="154" t="s">
        <v>869</v>
      </c>
      <c r="B77" s="164">
        <f>SUM(B78:B80)</f>
        <v>89074242</v>
      </c>
      <c r="C77" s="166">
        <f>SUM(C78:C80)</f>
        <v>66450570</v>
      </c>
      <c r="D77" s="166">
        <f>SUM(D78:D80)</f>
        <v>63155782.66</v>
      </c>
      <c r="E77" s="149">
        <f aca="true" t="shared" si="43" ref="E77:E83">IF(ISERROR(D77/B77)," ",(D77/B77))*100</f>
        <v>70.9024081956263</v>
      </c>
      <c r="F77" s="149">
        <f aca="true" t="shared" si="44" ref="F77:F83">IF(ISERROR(D77/C77)," ",(D77/C77))*100</f>
        <v>95.04174706101091</v>
      </c>
      <c r="G77" s="166">
        <f>SUM(G78:G80)</f>
        <v>7442741.850000001</v>
      </c>
      <c r="H77" s="140"/>
      <c r="I77" s="154" t="s">
        <v>869</v>
      </c>
      <c r="J77" s="147">
        <f>J78+J79+J80</f>
        <v>89074</v>
      </c>
      <c r="K77" s="147">
        <f>K78+K79+K80</f>
        <v>66450</v>
      </c>
      <c r="L77" s="147">
        <f>L78+L79+L80</f>
        <v>63156</v>
      </c>
      <c r="M77" s="156">
        <f aca="true" t="shared" si="45" ref="M77:M83">L77/J77*100</f>
        <v>70.90284482565058</v>
      </c>
      <c r="N77" s="156">
        <f aca="true" t="shared" si="46" ref="N77:N83">L77/K77*100</f>
        <v>95.04288939051919</v>
      </c>
      <c r="O77" s="147">
        <f>SUM(O78:O80)</f>
        <v>7443</v>
      </c>
      <c r="P77" s="140"/>
      <c r="Q77" s="147">
        <v>63156</v>
      </c>
      <c r="R77" s="147">
        <v>55713</v>
      </c>
      <c r="S77" s="140">
        <f t="shared" si="42"/>
        <v>7443</v>
      </c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</row>
    <row r="78" spans="1:88" s="673" customFormat="1" ht="12.75" customHeight="1">
      <c r="A78" s="154" t="s">
        <v>870</v>
      </c>
      <c r="B78" s="164">
        <v>77608594</v>
      </c>
      <c r="C78" s="164">
        <v>57542404</v>
      </c>
      <c r="D78" s="164">
        <v>57542404</v>
      </c>
      <c r="E78" s="150">
        <f t="shared" si="43"/>
        <v>74.14437117621277</v>
      </c>
      <c r="F78" s="150">
        <f t="shared" si="44"/>
        <v>100</v>
      </c>
      <c r="G78" s="164">
        <f>D78-'[5]Augusts'!D78</f>
        <v>6642345</v>
      </c>
      <c r="H78" s="140"/>
      <c r="I78" s="154" t="s">
        <v>870</v>
      </c>
      <c r="J78" s="157">
        <f>ROUND(B78/1000,0)</f>
        <v>77609</v>
      </c>
      <c r="K78" s="157">
        <f aca="true" t="shared" si="47" ref="K78:L80">ROUND(C78/1000,0)</f>
        <v>57542</v>
      </c>
      <c r="L78" s="157">
        <f t="shared" si="47"/>
        <v>57542</v>
      </c>
      <c r="M78" s="158">
        <f t="shared" si="45"/>
        <v>74.14346274272314</v>
      </c>
      <c r="N78" s="158">
        <f t="shared" si="46"/>
        <v>100</v>
      </c>
      <c r="O78" s="157">
        <f>L78-'[5]Augusts'!L78</f>
        <v>6642</v>
      </c>
      <c r="P78" s="140"/>
      <c r="Q78" s="157">
        <v>57542</v>
      </c>
      <c r="R78" s="157">
        <v>50900</v>
      </c>
      <c r="S78" s="140">
        <f t="shared" si="42"/>
        <v>6642</v>
      </c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</row>
    <row r="79" spans="1:88" s="673" customFormat="1" ht="12.75" customHeight="1">
      <c r="A79" s="154" t="s">
        <v>872</v>
      </c>
      <c r="B79" s="164">
        <v>8104496</v>
      </c>
      <c r="C79" s="164">
        <v>6134841</v>
      </c>
      <c r="D79" s="164">
        <v>5049567.51</v>
      </c>
      <c r="E79" s="150">
        <f t="shared" si="43"/>
        <v>62.30575608896592</v>
      </c>
      <c r="F79" s="150">
        <f t="shared" si="44"/>
        <v>82.30967208441099</v>
      </c>
      <c r="G79" s="164">
        <f>D79-'[5]Augusts'!D79</f>
        <v>511613.7000000002</v>
      </c>
      <c r="H79" s="140"/>
      <c r="I79" s="154" t="s">
        <v>872</v>
      </c>
      <c r="J79" s="157">
        <f>ROUND(B79/1000,0)</f>
        <v>8104</v>
      </c>
      <c r="K79" s="157">
        <f t="shared" si="47"/>
        <v>6135</v>
      </c>
      <c r="L79" s="157">
        <f>ROUND(D79/1000,0)</f>
        <v>5050</v>
      </c>
      <c r="M79" s="158">
        <f t="shared" si="45"/>
        <v>62.314906219151034</v>
      </c>
      <c r="N79" s="158">
        <f t="shared" si="46"/>
        <v>82.31458842705787</v>
      </c>
      <c r="O79" s="157">
        <f>L79-'[5]Augusts'!L79</f>
        <v>512</v>
      </c>
      <c r="P79" s="140"/>
      <c r="Q79" s="157">
        <v>5050</v>
      </c>
      <c r="R79" s="157">
        <v>4538</v>
      </c>
      <c r="S79" s="140">
        <f t="shared" si="42"/>
        <v>512</v>
      </c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</row>
    <row r="80" spans="1:88" s="673" customFormat="1" ht="12.75" customHeight="1">
      <c r="A80" s="154" t="s">
        <v>873</v>
      </c>
      <c r="B80" s="164">
        <v>3361152</v>
      </c>
      <c r="C80" s="164">
        <v>2773325</v>
      </c>
      <c r="D80" s="164">
        <v>563811.15</v>
      </c>
      <c r="E80" s="150">
        <f t="shared" si="43"/>
        <v>16.774342546841083</v>
      </c>
      <c r="F80" s="150">
        <f t="shared" si="44"/>
        <v>20.32979005345569</v>
      </c>
      <c r="G80" s="164">
        <f>D80-'[5]Augusts'!D80</f>
        <v>288783.15</v>
      </c>
      <c r="H80" s="140"/>
      <c r="I80" s="154" t="s">
        <v>873</v>
      </c>
      <c r="J80" s="157">
        <f>ROUND(B80/1000,0)</f>
        <v>3361</v>
      </c>
      <c r="K80" s="157">
        <f>ROUND(C80/1000,0)</f>
        <v>2773</v>
      </c>
      <c r="L80" s="157">
        <f t="shared" si="47"/>
        <v>564</v>
      </c>
      <c r="M80" s="158">
        <f t="shared" si="45"/>
        <v>16.780720023802438</v>
      </c>
      <c r="N80" s="158">
        <f t="shared" si="46"/>
        <v>20.33898305084746</v>
      </c>
      <c r="O80" s="157">
        <f>L80-'[5]Augusts'!L80</f>
        <v>289</v>
      </c>
      <c r="P80" s="140"/>
      <c r="Q80" s="157">
        <v>564</v>
      </c>
      <c r="R80" s="157">
        <v>275</v>
      </c>
      <c r="S80" s="140">
        <f t="shared" si="42"/>
        <v>289</v>
      </c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</row>
    <row r="81" spans="1:88" s="673" customFormat="1" ht="12.75" customHeight="1">
      <c r="A81" s="160" t="s">
        <v>874</v>
      </c>
      <c r="B81" s="166">
        <f>SUM(B82:B83)</f>
        <v>89074242</v>
      </c>
      <c r="C81" s="166">
        <f>SUM(C82:C83)</f>
        <v>66450570</v>
      </c>
      <c r="D81" s="166">
        <f>SUM(D82:D83)</f>
        <v>61601372.87</v>
      </c>
      <c r="E81" s="150">
        <f t="shared" si="43"/>
        <v>69.15733604558768</v>
      </c>
      <c r="F81" s="150">
        <f t="shared" si="44"/>
        <v>92.70254998565099</v>
      </c>
      <c r="G81" s="166">
        <f>SUM(G82:G83)</f>
        <v>7393126.789999999</v>
      </c>
      <c r="H81" s="140"/>
      <c r="I81" s="160" t="s">
        <v>874</v>
      </c>
      <c r="J81" s="147">
        <f>J82+J83</f>
        <v>89074</v>
      </c>
      <c r="K81" s="147">
        <f>K82+K83</f>
        <v>66450</v>
      </c>
      <c r="L81" s="147">
        <f>L82+L83</f>
        <v>61601</v>
      </c>
      <c r="M81" s="156">
        <f t="shared" si="45"/>
        <v>69.15710532815412</v>
      </c>
      <c r="N81" s="156">
        <f t="shared" si="46"/>
        <v>92.7027840481565</v>
      </c>
      <c r="O81" s="147">
        <f>SUM(O82:O83)</f>
        <v>7393</v>
      </c>
      <c r="P81" s="140"/>
      <c r="Q81" s="147">
        <v>61601</v>
      </c>
      <c r="R81" s="147">
        <v>54208</v>
      </c>
      <c r="S81" s="140">
        <f t="shared" si="42"/>
        <v>7393</v>
      </c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</row>
    <row r="82" spans="1:88" s="673" customFormat="1" ht="12.75" customHeight="1">
      <c r="A82" s="162" t="s">
        <v>875</v>
      </c>
      <c r="B82" s="164">
        <v>74555967</v>
      </c>
      <c r="C82" s="164">
        <v>55804463</v>
      </c>
      <c r="D82" s="164">
        <v>54266067.15</v>
      </c>
      <c r="E82" s="150">
        <f t="shared" si="43"/>
        <v>72.7856794480313</v>
      </c>
      <c r="F82" s="150">
        <f t="shared" si="44"/>
        <v>97.24323868146531</v>
      </c>
      <c r="G82" s="164">
        <f>D82-'[5]Augusts'!D82</f>
        <v>5916884.68</v>
      </c>
      <c r="H82" s="140"/>
      <c r="I82" s="162" t="s">
        <v>875</v>
      </c>
      <c r="J82" s="157">
        <f aca="true" t="shared" si="48" ref="J82:L83">ROUND(B82/1000,0)</f>
        <v>74556</v>
      </c>
      <c r="K82" s="157">
        <f t="shared" si="48"/>
        <v>55804</v>
      </c>
      <c r="L82" s="157">
        <f t="shared" si="48"/>
        <v>54266</v>
      </c>
      <c r="M82" s="158">
        <f t="shared" si="45"/>
        <v>72.78555716508396</v>
      </c>
      <c r="N82" s="158">
        <f t="shared" si="46"/>
        <v>97.24392516665472</v>
      </c>
      <c r="O82" s="157">
        <f>L82-'[5]Augusts'!L82</f>
        <v>5917</v>
      </c>
      <c r="P82" s="140"/>
      <c r="Q82" s="157">
        <v>54266</v>
      </c>
      <c r="R82" s="157">
        <v>48349</v>
      </c>
      <c r="S82" s="140">
        <f t="shared" si="42"/>
        <v>5917</v>
      </c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</row>
    <row r="83" spans="1:88" s="673" customFormat="1" ht="12.75" customHeight="1">
      <c r="A83" s="162" t="s">
        <v>876</v>
      </c>
      <c r="B83" s="164">
        <v>14518275</v>
      </c>
      <c r="C83" s="164">
        <v>10646107</v>
      </c>
      <c r="D83" s="164">
        <v>7335305.72</v>
      </c>
      <c r="E83" s="150">
        <f t="shared" si="43"/>
        <v>50.524636845630766</v>
      </c>
      <c r="F83" s="150">
        <f t="shared" si="44"/>
        <v>68.90129622029912</v>
      </c>
      <c r="G83" s="164">
        <f>D83-'[5]Augusts'!D83</f>
        <v>1476242.1099999994</v>
      </c>
      <c r="H83" s="140"/>
      <c r="I83" s="162" t="s">
        <v>876</v>
      </c>
      <c r="J83" s="157">
        <f t="shared" si="48"/>
        <v>14518</v>
      </c>
      <c r="K83" s="157">
        <f t="shared" si="48"/>
        <v>10646</v>
      </c>
      <c r="L83" s="157">
        <f t="shared" si="48"/>
        <v>7335</v>
      </c>
      <c r="M83" s="158">
        <f t="shared" si="45"/>
        <v>50.523488083758096</v>
      </c>
      <c r="N83" s="158">
        <f t="shared" si="46"/>
        <v>68.89911703926357</v>
      </c>
      <c r="O83" s="157">
        <f>L83-'[5]Augusts'!L83</f>
        <v>1476</v>
      </c>
      <c r="P83" s="140"/>
      <c r="Q83" s="157">
        <v>7335</v>
      </c>
      <c r="R83" s="157">
        <v>5859</v>
      </c>
      <c r="S83" s="140">
        <f t="shared" si="42"/>
        <v>1476</v>
      </c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</row>
    <row r="84" spans="1:88" s="673" customFormat="1" ht="12.75" customHeight="1">
      <c r="A84" s="165" t="s">
        <v>896</v>
      </c>
      <c r="B84" s="164"/>
      <c r="C84" s="164"/>
      <c r="D84" s="164"/>
      <c r="E84" s="150"/>
      <c r="F84" s="164"/>
      <c r="G84" s="164"/>
      <c r="H84" s="140"/>
      <c r="I84" s="165" t="s">
        <v>897</v>
      </c>
      <c r="J84" s="164"/>
      <c r="K84" s="164"/>
      <c r="L84" s="164"/>
      <c r="M84" s="158"/>
      <c r="N84" s="158"/>
      <c r="O84" s="164"/>
      <c r="P84" s="140"/>
      <c r="Q84" s="164"/>
      <c r="R84" s="164"/>
      <c r="S84" s="140">
        <f t="shared" si="42"/>
        <v>0</v>
      </c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</row>
    <row r="85" spans="1:88" s="673" customFormat="1" ht="12.75" customHeight="1">
      <c r="A85" s="154" t="s">
        <v>869</v>
      </c>
      <c r="B85" s="164">
        <f>SUM(B86:B89)</f>
        <v>81833984</v>
      </c>
      <c r="C85" s="166">
        <f>SUM(C86:C89)</f>
        <v>60995792</v>
      </c>
      <c r="D85" s="166">
        <f>SUM(D86:D89)</f>
        <v>61247991.620000005</v>
      </c>
      <c r="E85" s="149">
        <f aca="true" t="shared" si="49" ref="E85:E92">IF(ISERROR(D85/B85)," ",(D85/B85))*100</f>
        <v>74.84420118174866</v>
      </c>
      <c r="F85" s="149">
        <f aca="true" t="shared" si="50" ref="F85:F92">IF(ISERROR(D85/C85)," ",(D85/C85))*100</f>
        <v>100.41347052268787</v>
      </c>
      <c r="G85" s="166">
        <f>SUM(G86:G89)</f>
        <v>7153250.85</v>
      </c>
      <c r="H85" s="140"/>
      <c r="I85" s="154" t="s">
        <v>869</v>
      </c>
      <c r="J85" s="147">
        <f>J86+J87+J88+J89</f>
        <v>81834</v>
      </c>
      <c r="K85" s="147">
        <f>K86+K87+K88+K89</f>
        <v>60996</v>
      </c>
      <c r="L85" s="147">
        <f>L86+L87+L88+L89</f>
        <v>61248</v>
      </c>
      <c r="M85" s="156">
        <f aca="true" t="shared" si="51" ref="M85:M92">L85/J85*100</f>
        <v>74.84419678862086</v>
      </c>
      <c r="N85" s="156">
        <f aca="true" t="shared" si="52" ref="N85:N92">L85/K85*100</f>
        <v>100.41314184536691</v>
      </c>
      <c r="O85" s="147">
        <f>SUM(O86:O89)</f>
        <v>7154</v>
      </c>
      <c r="P85" s="140"/>
      <c r="Q85" s="147">
        <v>61248</v>
      </c>
      <c r="R85" s="147">
        <v>54094</v>
      </c>
      <c r="S85" s="140">
        <f t="shared" si="42"/>
        <v>7154</v>
      </c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</row>
    <row r="86" spans="1:88" s="673" customFormat="1" ht="12.75" customHeight="1">
      <c r="A86" s="154" t="s">
        <v>870</v>
      </c>
      <c r="B86" s="164">
        <v>54546699</v>
      </c>
      <c r="C86" s="164">
        <v>41086984</v>
      </c>
      <c r="D86" s="164">
        <v>41086984</v>
      </c>
      <c r="E86" s="150">
        <f>IF(ISERROR(D86/B86)," ",(D86/B86))*100</f>
        <v>75.32441880671826</v>
      </c>
      <c r="F86" s="150">
        <f>IF(ISERROR(D86/C86)," ",(D86/C86))*100</f>
        <v>100</v>
      </c>
      <c r="G86" s="164">
        <f>D86-'[5]Augusts'!D86</f>
        <v>4284391</v>
      </c>
      <c r="H86" s="140"/>
      <c r="I86" s="154" t="s">
        <v>870</v>
      </c>
      <c r="J86" s="157">
        <f aca="true" t="shared" si="53" ref="J86:L88">ROUND(B86/1000,0)</f>
        <v>54547</v>
      </c>
      <c r="K86" s="157">
        <f>ROUND(C86/1000,0)</f>
        <v>41087</v>
      </c>
      <c r="L86" s="157">
        <f>ROUND(D86/1000,0)</f>
        <v>41087</v>
      </c>
      <c r="M86" s="158">
        <f t="shared" si="51"/>
        <v>75.32403248574624</v>
      </c>
      <c r="N86" s="158">
        <f t="shared" si="52"/>
        <v>100</v>
      </c>
      <c r="O86" s="157">
        <f>L86-'[5]Augusts'!L86</f>
        <v>4285</v>
      </c>
      <c r="P86" s="140"/>
      <c r="Q86" s="157">
        <v>41087</v>
      </c>
      <c r="R86" s="157">
        <v>36802</v>
      </c>
      <c r="S86" s="140">
        <f t="shared" si="42"/>
        <v>4285</v>
      </c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</row>
    <row r="87" spans="1:88" s="673" customFormat="1" ht="12.75" customHeight="1">
      <c r="A87" s="154" t="s">
        <v>871</v>
      </c>
      <c r="B87" s="164">
        <v>2311000</v>
      </c>
      <c r="C87" s="164">
        <v>1609700</v>
      </c>
      <c r="D87" s="164">
        <v>1020253.2</v>
      </c>
      <c r="E87" s="150">
        <f t="shared" si="49"/>
        <v>44.147693639117264</v>
      </c>
      <c r="F87" s="150">
        <f t="shared" si="50"/>
        <v>63.381574206373855</v>
      </c>
      <c r="G87" s="164">
        <f>D87-'[5]Augusts'!D87</f>
        <v>153302.83999999997</v>
      </c>
      <c r="H87" s="140"/>
      <c r="I87" s="154" t="s">
        <v>871</v>
      </c>
      <c r="J87" s="157">
        <f t="shared" si="53"/>
        <v>2311</v>
      </c>
      <c r="K87" s="157">
        <f t="shared" si="53"/>
        <v>1610</v>
      </c>
      <c r="L87" s="157">
        <f t="shared" si="53"/>
        <v>1020</v>
      </c>
      <c r="M87" s="158">
        <f t="shared" si="51"/>
        <v>44.1367373431415</v>
      </c>
      <c r="N87" s="158">
        <f t="shared" si="52"/>
        <v>63.35403726708074</v>
      </c>
      <c r="O87" s="157">
        <f>L87-'[5]Augusts'!L87</f>
        <v>153</v>
      </c>
      <c r="P87" s="140"/>
      <c r="Q87" s="157">
        <v>1020</v>
      </c>
      <c r="R87" s="157">
        <v>867</v>
      </c>
      <c r="S87" s="140">
        <f t="shared" si="42"/>
        <v>153</v>
      </c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</row>
    <row r="88" spans="1:88" s="673" customFormat="1" ht="12.75" customHeight="1">
      <c r="A88" s="154" t="s">
        <v>872</v>
      </c>
      <c r="B88" s="164">
        <v>21683396</v>
      </c>
      <c r="C88" s="164">
        <v>15153719</v>
      </c>
      <c r="D88" s="164">
        <v>16716629.2</v>
      </c>
      <c r="E88" s="150">
        <f t="shared" si="49"/>
        <v>77.09414706072793</v>
      </c>
      <c r="F88" s="150">
        <f t="shared" si="50"/>
        <v>110.31370715004019</v>
      </c>
      <c r="G88" s="164">
        <f>D88-'[5]Augusts'!D88</f>
        <v>2707214.789999999</v>
      </c>
      <c r="H88" s="140"/>
      <c r="I88" s="154" t="s">
        <v>872</v>
      </c>
      <c r="J88" s="157">
        <f t="shared" si="53"/>
        <v>21683</v>
      </c>
      <c r="K88" s="157">
        <f t="shared" si="53"/>
        <v>15154</v>
      </c>
      <c r="L88" s="157">
        <f>ROUND(D88/1000,0)</f>
        <v>16717</v>
      </c>
      <c r="M88" s="158">
        <f t="shared" si="51"/>
        <v>77.09726513858783</v>
      </c>
      <c r="N88" s="158">
        <f t="shared" si="52"/>
        <v>110.31410848620826</v>
      </c>
      <c r="O88" s="157">
        <f>L88-'[5]Augusts'!L88</f>
        <v>2707</v>
      </c>
      <c r="P88" s="140"/>
      <c r="Q88" s="157">
        <v>16717</v>
      </c>
      <c r="R88" s="157">
        <v>14010</v>
      </c>
      <c r="S88" s="140">
        <f t="shared" si="42"/>
        <v>2707</v>
      </c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</row>
    <row r="89" spans="1:88" s="673" customFormat="1" ht="12.75" customHeight="1">
      <c r="A89" s="154" t="s">
        <v>873</v>
      </c>
      <c r="B89" s="164">
        <v>3292889</v>
      </c>
      <c r="C89" s="164">
        <v>3145389</v>
      </c>
      <c r="D89" s="164">
        <v>2424125.22</v>
      </c>
      <c r="E89" s="150">
        <f t="shared" si="49"/>
        <v>73.61697342364107</v>
      </c>
      <c r="F89" s="150">
        <f t="shared" si="50"/>
        <v>77.06917077665116</v>
      </c>
      <c r="G89" s="164">
        <f>D89-'[5]Augusts'!D89</f>
        <v>8342.220000000205</v>
      </c>
      <c r="H89" s="140"/>
      <c r="I89" s="154" t="s">
        <v>873</v>
      </c>
      <c r="J89" s="157">
        <f>ROUND(B89/1000,0)</f>
        <v>3293</v>
      </c>
      <c r="K89" s="157">
        <f>ROUND(C89/1000,0)</f>
        <v>3145</v>
      </c>
      <c r="L89" s="157">
        <f>ROUND(D89/1000,0)</f>
        <v>2424</v>
      </c>
      <c r="M89" s="158">
        <f t="shared" si="51"/>
        <v>73.61068934102643</v>
      </c>
      <c r="N89" s="158">
        <f t="shared" si="52"/>
        <v>77.07472178060414</v>
      </c>
      <c r="O89" s="157">
        <f>L89-'[5]Augusts'!L89</f>
        <v>9</v>
      </c>
      <c r="P89" s="140"/>
      <c r="Q89" s="157">
        <v>2424</v>
      </c>
      <c r="R89" s="157">
        <v>2415</v>
      </c>
      <c r="S89" s="140">
        <f t="shared" si="42"/>
        <v>9</v>
      </c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</row>
    <row r="90" spans="1:88" s="673" customFormat="1" ht="12.75" customHeight="1">
      <c r="A90" s="160" t="s">
        <v>874</v>
      </c>
      <c r="B90" s="166">
        <f>SUM(B91:B92)</f>
        <v>81938862</v>
      </c>
      <c r="C90" s="166">
        <f>SUM(C91:C92)</f>
        <v>61101270</v>
      </c>
      <c r="D90" s="166">
        <f>SUM(D91:D92)</f>
        <v>55543581.489999995</v>
      </c>
      <c r="E90" s="150">
        <f t="shared" si="49"/>
        <v>67.7866156964689</v>
      </c>
      <c r="F90" s="150">
        <f t="shared" si="50"/>
        <v>90.90413585511396</v>
      </c>
      <c r="G90" s="166">
        <f>SUM(G91:G92)</f>
        <v>6018623.269999997</v>
      </c>
      <c r="H90" s="140"/>
      <c r="I90" s="160" t="s">
        <v>874</v>
      </c>
      <c r="J90" s="147">
        <f>J91+J92</f>
        <v>81939</v>
      </c>
      <c r="K90" s="147">
        <f>K91+K92</f>
        <v>61101</v>
      </c>
      <c r="L90" s="147">
        <f>L91+L92</f>
        <v>55544</v>
      </c>
      <c r="M90" s="156">
        <f t="shared" si="51"/>
        <v>67.78701228963008</v>
      </c>
      <c r="N90" s="156">
        <f t="shared" si="52"/>
        <v>90.90522250045008</v>
      </c>
      <c r="O90" s="147">
        <f>SUM(O91:O92)</f>
        <v>6019</v>
      </c>
      <c r="P90" s="140"/>
      <c r="Q90" s="147">
        <v>55544</v>
      </c>
      <c r="R90" s="147">
        <v>49525</v>
      </c>
      <c r="S90" s="140">
        <f t="shared" si="42"/>
        <v>6019</v>
      </c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</row>
    <row r="91" spans="1:88" s="673" customFormat="1" ht="12.75" customHeight="1">
      <c r="A91" s="162" t="s">
        <v>875</v>
      </c>
      <c r="B91" s="164">
        <v>75101907</v>
      </c>
      <c r="C91" s="164">
        <v>55803998</v>
      </c>
      <c r="D91" s="164">
        <v>51523623.3</v>
      </c>
      <c r="E91" s="150">
        <f t="shared" si="49"/>
        <v>68.60494674256407</v>
      </c>
      <c r="F91" s="150">
        <f t="shared" si="50"/>
        <v>92.32962717115716</v>
      </c>
      <c r="G91" s="164">
        <f>D91-'[5]Augusts'!D91</f>
        <v>5081164.299999997</v>
      </c>
      <c r="H91" s="140"/>
      <c r="I91" s="162" t="s">
        <v>875</v>
      </c>
      <c r="J91" s="157">
        <f aca="true" t="shared" si="54" ref="J91:L92">ROUND(B91/1000,0)</f>
        <v>75102</v>
      </c>
      <c r="K91" s="157">
        <f t="shared" si="54"/>
        <v>55804</v>
      </c>
      <c r="L91" s="157">
        <f>ROUND(D91/1000,0)</f>
        <v>51524</v>
      </c>
      <c r="M91" s="158">
        <f t="shared" si="51"/>
        <v>68.60536337248008</v>
      </c>
      <c r="N91" s="158">
        <f t="shared" si="52"/>
        <v>92.33029890330442</v>
      </c>
      <c r="O91" s="157">
        <f>L91-'[5]Augusts'!L91</f>
        <v>5081</v>
      </c>
      <c r="P91" s="140"/>
      <c r="Q91" s="157">
        <v>51524</v>
      </c>
      <c r="R91" s="157">
        <v>46443</v>
      </c>
      <c r="S91" s="140">
        <f t="shared" si="42"/>
        <v>5081</v>
      </c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</row>
    <row r="92" spans="1:88" s="673" customFormat="1" ht="12.75" customHeight="1">
      <c r="A92" s="162" t="s">
        <v>876</v>
      </c>
      <c r="B92" s="164">
        <v>6836955</v>
      </c>
      <c r="C92" s="164">
        <v>5297272</v>
      </c>
      <c r="D92" s="164">
        <v>4019958.19</v>
      </c>
      <c r="E92" s="150">
        <f t="shared" si="49"/>
        <v>58.7974937673277</v>
      </c>
      <c r="F92" s="150">
        <f t="shared" si="50"/>
        <v>75.88732823234298</v>
      </c>
      <c r="G92" s="164">
        <f>D92-'[5]Augusts'!D92</f>
        <v>937458.9699999997</v>
      </c>
      <c r="H92" s="140"/>
      <c r="I92" s="162" t="s">
        <v>876</v>
      </c>
      <c r="J92" s="157">
        <f t="shared" si="54"/>
        <v>6837</v>
      </c>
      <c r="K92" s="157">
        <f>ROUND(C92/1000,0)</f>
        <v>5297</v>
      </c>
      <c r="L92" s="157">
        <f t="shared" si="54"/>
        <v>4020</v>
      </c>
      <c r="M92" s="158">
        <f t="shared" si="51"/>
        <v>58.7977182974989</v>
      </c>
      <c r="N92" s="158">
        <f t="shared" si="52"/>
        <v>75.89201434774401</v>
      </c>
      <c r="O92" s="157">
        <f>L92-'[5]Augusts'!L92</f>
        <v>938</v>
      </c>
      <c r="P92" s="140"/>
      <c r="Q92" s="157">
        <v>4020</v>
      </c>
      <c r="R92" s="157">
        <v>3082</v>
      </c>
      <c r="S92" s="140">
        <f t="shared" si="42"/>
        <v>938</v>
      </c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</row>
    <row r="93" spans="1:88" s="673" customFormat="1" ht="12.75" customHeight="1">
      <c r="A93" s="160" t="s">
        <v>898</v>
      </c>
      <c r="B93" s="164"/>
      <c r="C93" s="164"/>
      <c r="D93" s="164"/>
      <c r="E93" s="164"/>
      <c r="F93" s="164"/>
      <c r="G93" s="164"/>
      <c r="H93" s="140"/>
      <c r="I93" s="160" t="s">
        <v>899</v>
      </c>
      <c r="J93" s="164"/>
      <c r="K93" s="164"/>
      <c r="L93" s="164"/>
      <c r="M93" s="158"/>
      <c r="N93" s="158"/>
      <c r="O93" s="164"/>
      <c r="P93" s="140"/>
      <c r="Q93" s="164"/>
      <c r="R93" s="164"/>
      <c r="S93" s="140">
        <f t="shared" si="42"/>
        <v>0</v>
      </c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</row>
    <row r="94" spans="1:88" s="673" customFormat="1" ht="12.75" customHeight="1">
      <c r="A94" s="154" t="s">
        <v>869</v>
      </c>
      <c r="B94" s="164">
        <f>SUM(B95:B97)</f>
        <v>77164927</v>
      </c>
      <c r="C94" s="166">
        <f>SUM(C95:C97)</f>
        <v>47954087</v>
      </c>
      <c r="D94" s="166">
        <f>SUM(D95:D97)</f>
        <v>47133633.489999995</v>
      </c>
      <c r="E94" s="149">
        <f aca="true" t="shared" si="55" ref="E94:E100">IF(ISERROR(D94/B94)," ",(D94/B94))*100</f>
        <v>61.08167962110558</v>
      </c>
      <c r="F94" s="149">
        <f aca="true" t="shared" si="56" ref="F94:F100">IF(ISERROR(D94/C94)," ",(D94/C94))*100</f>
        <v>98.28908532863944</v>
      </c>
      <c r="G94" s="166">
        <f>SUM(G95:G97)</f>
        <v>5371163.14</v>
      </c>
      <c r="H94" s="140"/>
      <c r="I94" s="154" t="s">
        <v>869</v>
      </c>
      <c r="J94" s="147">
        <f>J95+J96+J97</f>
        <v>77165</v>
      </c>
      <c r="K94" s="147">
        <f>K95+K96+K97</f>
        <v>47954</v>
      </c>
      <c r="L94" s="147">
        <f>L95+L96+L97</f>
        <v>47134</v>
      </c>
      <c r="M94" s="156">
        <f aca="true" t="shared" si="57" ref="M94:M100">L94/J94*100</f>
        <v>61.08209680554656</v>
      </c>
      <c r="N94" s="156">
        <f aca="true" t="shared" si="58" ref="N94:N100">L94/K94*100</f>
        <v>98.2900279434458</v>
      </c>
      <c r="O94" s="147">
        <f>SUM(O95:O97)</f>
        <v>5372</v>
      </c>
      <c r="P94" s="140"/>
      <c r="Q94" s="147">
        <v>47134</v>
      </c>
      <c r="R94" s="147">
        <v>41762</v>
      </c>
      <c r="S94" s="140">
        <f t="shared" si="42"/>
        <v>5372</v>
      </c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</row>
    <row r="95" spans="1:88" s="673" customFormat="1" ht="12.75" customHeight="1">
      <c r="A95" s="154" t="s">
        <v>870</v>
      </c>
      <c r="B95" s="164">
        <v>53459054</v>
      </c>
      <c r="C95" s="164">
        <v>40552687</v>
      </c>
      <c r="D95" s="164">
        <v>40552687</v>
      </c>
      <c r="E95" s="150">
        <f t="shared" si="55"/>
        <v>75.8574721505547</v>
      </c>
      <c r="F95" s="150">
        <f t="shared" si="56"/>
        <v>100</v>
      </c>
      <c r="G95" s="164">
        <f>D95-'[5]Augusts'!D95</f>
        <v>4447370</v>
      </c>
      <c r="H95" s="140"/>
      <c r="I95" s="154" t="s">
        <v>870</v>
      </c>
      <c r="J95" s="157">
        <f aca="true" t="shared" si="59" ref="J95:L96">ROUND(B95/1000,0)</f>
        <v>53459</v>
      </c>
      <c r="K95" s="157">
        <f t="shared" si="59"/>
        <v>40553</v>
      </c>
      <c r="L95" s="157">
        <f t="shared" si="59"/>
        <v>40553</v>
      </c>
      <c r="M95" s="158">
        <f t="shared" si="57"/>
        <v>75.85813427112367</v>
      </c>
      <c r="N95" s="158">
        <f t="shared" si="58"/>
        <v>100</v>
      </c>
      <c r="O95" s="157">
        <f>L95-'[5]Augusts'!L95</f>
        <v>4448</v>
      </c>
      <c r="P95" s="140"/>
      <c r="Q95" s="157">
        <v>40553</v>
      </c>
      <c r="R95" s="157">
        <v>36105</v>
      </c>
      <c r="S95" s="140">
        <f t="shared" si="42"/>
        <v>4448</v>
      </c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</row>
    <row r="96" spans="1:88" s="673" customFormat="1" ht="12.75" customHeight="1">
      <c r="A96" s="154" t="s">
        <v>872</v>
      </c>
      <c r="B96" s="164">
        <v>7472443</v>
      </c>
      <c r="C96" s="164">
        <v>5378530</v>
      </c>
      <c r="D96" s="164">
        <v>5805437.52</v>
      </c>
      <c r="E96" s="150">
        <f t="shared" si="55"/>
        <v>77.69129212494494</v>
      </c>
      <c r="F96" s="150">
        <f t="shared" si="56"/>
        <v>107.93725274377944</v>
      </c>
      <c r="G96" s="164">
        <f>D96-'[5]Augusts'!D96</f>
        <v>760660.1699999999</v>
      </c>
      <c r="H96" s="140"/>
      <c r="I96" s="154" t="s">
        <v>872</v>
      </c>
      <c r="J96" s="157">
        <f>ROUND(B96/1000,0)+1</f>
        <v>7473</v>
      </c>
      <c r="K96" s="157">
        <f>ROUND(C96/1000,0)-1</f>
        <v>5378</v>
      </c>
      <c r="L96" s="157">
        <f t="shared" si="59"/>
        <v>5805</v>
      </c>
      <c r="M96" s="158">
        <f t="shared" si="57"/>
        <v>77.6796467282216</v>
      </c>
      <c r="N96" s="158">
        <f t="shared" si="58"/>
        <v>107.93975455559688</v>
      </c>
      <c r="O96" s="157">
        <f>L96-'[5]Augusts'!L96</f>
        <v>760</v>
      </c>
      <c r="P96" s="140"/>
      <c r="Q96" s="157">
        <v>5805</v>
      </c>
      <c r="R96" s="157">
        <v>5045</v>
      </c>
      <c r="S96" s="140">
        <f t="shared" si="42"/>
        <v>760</v>
      </c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</row>
    <row r="97" spans="1:88" s="673" customFormat="1" ht="12.75" customHeight="1">
      <c r="A97" s="154" t="s">
        <v>873</v>
      </c>
      <c r="B97" s="164">
        <v>16233430</v>
      </c>
      <c r="C97" s="164">
        <v>2022870</v>
      </c>
      <c r="D97" s="164">
        <v>775508.97</v>
      </c>
      <c r="E97" s="150">
        <f t="shared" si="55"/>
        <v>4.777234201274776</v>
      </c>
      <c r="F97" s="150">
        <f t="shared" si="56"/>
        <v>38.3370641712023</v>
      </c>
      <c r="G97" s="164">
        <f>D97-'[5]Augusts'!D97</f>
        <v>163132.96999999997</v>
      </c>
      <c r="H97" s="140"/>
      <c r="I97" s="154" t="s">
        <v>873</v>
      </c>
      <c r="J97" s="157">
        <v>16233</v>
      </c>
      <c r="K97" s="157">
        <f>ROUND(C97/1000,0)</f>
        <v>2023</v>
      </c>
      <c r="L97" s="157">
        <f>ROUND(D97/1000,0)</f>
        <v>776</v>
      </c>
      <c r="M97" s="158">
        <f t="shared" si="57"/>
        <v>4.780385634201934</v>
      </c>
      <c r="N97" s="158">
        <f t="shared" si="58"/>
        <v>38.358872960949085</v>
      </c>
      <c r="O97" s="157">
        <f>L97-'[5]Augusts'!L97</f>
        <v>164</v>
      </c>
      <c r="P97" s="140"/>
      <c r="Q97" s="157">
        <v>776</v>
      </c>
      <c r="R97" s="157">
        <v>612</v>
      </c>
      <c r="S97" s="140">
        <f t="shared" si="42"/>
        <v>164</v>
      </c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</row>
    <row r="98" spans="1:88" s="673" customFormat="1" ht="12.75" customHeight="1">
      <c r="A98" s="160" t="s">
        <v>874</v>
      </c>
      <c r="B98" s="166">
        <f>SUM(B99:B100)</f>
        <v>77290763</v>
      </c>
      <c r="C98" s="166">
        <f>SUM(C99:C100)</f>
        <v>48079923</v>
      </c>
      <c r="D98" s="166">
        <f>SUM(D99:D100)</f>
        <v>44541121.82</v>
      </c>
      <c r="E98" s="150">
        <f t="shared" si="55"/>
        <v>57.62800118818856</v>
      </c>
      <c r="F98" s="150">
        <f t="shared" si="56"/>
        <v>92.63975281324805</v>
      </c>
      <c r="G98" s="166">
        <f>SUM(G99:G100)</f>
        <v>4109387.23</v>
      </c>
      <c r="H98" s="140"/>
      <c r="I98" s="160" t="s">
        <v>874</v>
      </c>
      <c r="J98" s="147">
        <f>J99+J100</f>
        <v>77291</v>
      </c>
      <c r="K98" s="147">
        <f>K99+K100</f>
        <v>48079</v>
      </c>
      <c r="L98" s="147">
        <f>L99+L100</f>
        <v>44542</v>
      </c>
      <c r="M98" s="156">
        <f t="shared" si="57"/>
        <v>57.62896068106248</v>
      </c>
      <c r="N98" s="156">
        <f t="shared" si="58"/>
        <v>92.64335780694275</v>
      </c>
      <c r="O98" s="147">
        <f>SUM(O99:O100)</f>
        <v>4110</v>
      </c>
      <c r="P98" s="140"/>
      <c r="Q98" s="147">
        <v>44542</v>
      </c>
      <c r="R98" s="147">
        <v>40432</v>
      </c>
      <c r="S98" s="140">
        <f t="shared" si="42"/>
        <v>4110</v>
      </c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</row>
    <row r="99" spans="1:19" ht="12.75" customHeight="1">
      <c r="A99" s="162" t="s">
        <v>875</v>
      </c>
      <c r="B99" s="164">
        <v>72376566</v>
      </c>
      <c r="C99" s="164">
        <v>43965441</v>
      </c>
      <c r="D99" s="164">
        <v>41615623.12</v>
      </c>
      <c r="E99" s="150">
        <f t="shared" si="55"/>
        <v>57.498753284315804</v>
      </c>
      <c r="F99" s="150">
        <f t="shared" si="56"/>
        <v>94.65530692618323</v>
      </c>
      <c r="G99" s="164">
        <f>D99-'[5]Augusts'!D99</f>
        <v>3838497</v>
      </c>
      <c r="I99" s="162" t="s">
        <v>875</v>
      </c>
      <c r="J99" s="157">
        <f aca="true" t="shared" si="60" ref="J99:L100">ROUND(B99/1000,0)</f>
        <v>72377</v>
      </c>
      <c r="K99" s="157">
        <f t="shared" si="60"/>
        <v>43965</v>
      </c>
      <c r="L99" s="157">
        <f t="shared" si="60"/>
        <v>41616</v>
      </c>
      <c r="M99" s="158">
        <f t="shared" si="57"/>
        <v>57.49892921784545</v>
      </c>
      <c r="N99" s="158">
        <f t="shared" si="58"/>
        <v>94.65711361310133</v>
      </c>
      <c r="O99" s="157">
        <f>L99-'[5]Augusts'!L99</f>
        <v>3839</v>
      </c>
      <c r="Q99" s="157">
        <v>41616</v>
      </c>
      <c r="R99" s="157">
        <v>37777</v>
      </c>
      <c r="S99" s="140">
        <f t="shared" si="42"/>
        <v>3839</v>
      </c>
    </row>
    <row r="100" spans="1:19" ht="12.75" customHeight="1">
      <c r="A100" s="162" t="s">
        <v>876</v>
      </c>
      <c r="B100" s="164">
        <v>4914197</v>
      </c>
      <c r="C100" s="164">
        <v>4114482</v>
      </c>
      <c r="D100" s="164">
        <v>2925498.7</v>
      </c>
      <c r="E100" s="150">
        <f t="shared" si="55"/>
        <v>59.53157148563641</v>
      </c>
      <c r="F100" s="150">
        <f t="shared" si="56"/>
        <v>71.10247899978661</v>
      </c>
      <c r="G100" s="164">
        <f>D100-'[5]Augusts'!D100</f>
        <v>270890.23</v>
      </c>
      <c r="I100" s="162" t="s">
        <v>876</v>
      </c>
      <c r="J100" s="157">
        <f t="shared" si="60"/>
        <v>4914</v>
      </c>
      <c r="K100" s="157">
        <f t="shared" si="60"/>
        <v>4114</v>
      </c>
      <c r="L100" s="157">
        <f>ROUND(D100/1000,0)+1</f>
        <v>2926</v>
      </c>
      <c r="M100" s="158">
        <f t="shared" si="57"/>
        <v>59.54415954415955</v>
      </c>
      <c r="N100" s="158">
        <f t="shared" si="58"/>
        <v>71.12299465240642</v>
      </c>
      <c r="O100" s="157">
        <f>L100-'[5]Augusts'!L100</f>
        <v>271</v>
      </c>
      <c r="Q100" s="157">
        <v>2926</v>
      </c>
      <c r="R100" s="157">
        <v>2655</v>
      </c>
      <c r="S100" s="140">
        <f t="shared" si="42"/>
        <v>271</v>
      </c>
    </row>
    <row r="101" spans="1:19" ht="12.75" customHeight="1">
      <c r="A101" s="160" t="s">
        <v>900</v>
      </c>
      <c r="B101" s="164"/>
      <c r="C101" s="164"/>
      <c r="D101" s="164"/>
      <c r="E101" s="164"/>
      <c r="F101" s="164"/>
      <c r="G101" s="164"/>
      <c r="I101" s="160" t="s">
        <v>901</v>
      </c>
      <c r="J101" s="164"/>
      <c r="K101" s="164"/>
      <c r="L101" s="164"/>
      <c r="M101" s="158"/>
      <c r="N101" s="158"/>
      <c r="O101" s="164"/>
      <c r="Q101" s="164"/>
      <c r="R101" s="164"/>
      <c r="S101" s="140">
        <f t="shared" si="42"/>
        <v>0</v>
      </c>
    </row>
    <row r="102" spans="1:19" ht="12.75" customHeight="1">
      <c r="A102" s="154" t="s">
        <v>869</v>
      </c>
      <c r="B102" s="164">
        <f>SUM(B103:B105)</f>
        <v>15819085</v>
      </c>
      <c r="C102" s="166">
        <f>C103+C104+C105</f>
        <v>10565065</v>
      </c>
      <c r="D102" s="166">
        <f>SUM(D103:D105)</f>
        <v>10156960.58</v>
      </c>
      <c r="E102" s="149">
        <f aca="true" t="shared" si="61" ref="E102:E108">IF(ISERROR(D102/B102)," ",(D102/B102))*100</f>
        <v>64.20700426099233</v>
      </c>
      <c r="F102" s="149">
        <f aca="true" t="shared" si="62" ref="F102:F108">IF(ISERROR(D102/C102)," ",(D102/C102))*100</f>
        <v>96.13722755136858</v>
      </c>
      <c r="G102" s="166">
        <f>SUM(G103:G105)</f>
        <v>2820459.7</v>
      </c>
      <c r="I102" s="154" t="s">
        <v>869</v>
      </c>
      <c r="J102" s="147">
        <f>J103+J104+J105</f>
        <v>15819</v>
      </c>
      <c r="K102" s="147">
        <f>K103+K104+K105</f>
        <v>10565</v>
      </c>
      <c r="L102" s="147">
        <f>L103+L104+L105</f>
        <v>10156</v>
      </c>
      <c r="M102" s="156">
        <f aca="true" t="shared" si="63" ref="M102:M108">L102/J102*100</f>
        <v>64.20127694544536</v>
      </c>
      <c r="N102" s="156">
        <f aca="true" t="shared" si="64" ref="N102:N108">L102/K102*100</f>
        <v>96.12872692853762</v>
      </c>
      <c r="O102" s="147">
        <f>SUM(O103:O105)</f>
        <v>2819</v>
      </c>
      <c r="Q102" s="147">
        <v>10156</v>
      </c>
      <c r="R102" s="147">
        <v>7337</v>
      </c>
      <c r="S102" s="140">
        <f t="shared" si="42"/>
        <v>2819</v>
      </c>
    </row>
    <row r="103" spans="1:19" ht="12.75" customHeight="1">
      <c r="A103" s="154" t="s">
        <v>870</v>
      </c>
      <c r="B103" s="164">
        <v>9585836</v>
      </c>
      <c r="C103" s="164">
        <v>6518248</v>
      </c>
      <c r="D103" s="164">
        <v>6518248</v>
      </c>
      <c r="E103" s="150">
        <f t="shared" si="61"/>
        <v>67.99874314561609</v>
      </c>
      <c r="F103" s="150">
        <f t="shared" si="62"/>
        <v>100</v>
      </c>
      <c r="G103" s="164">
        <f>D103-'[5]Augusts'!D103</f>
        <v>595593</v>
      </c>
      <c r="I103" s="154" t="s">
        <v>870</v>
      </c>
      <c r="J103" s="157">
        <f aca="true" t="shared" si="65" ref="J103:L104">ROUND(B103/1000,0)</f>
        <v>9586</v>
      </c>
      <c r="K103" s="157">
        <f t="shared" si="65"/>
        <v>6518</v>
      </c>
      <c r="L103" s="157">
        <f t="shared" si="65"/>
        <v>6518</v>
      </c>
      <c r="M103" s="158">
        <f t="shared" si="63"/>
        <v>67.99499269768413</v>
      </c>
      <c r="N103" s="158">
        <f t="shared" si="64"/>
        <v>100</v>
      </c>
      <c r="O103" s="157">
        <f>L103-'[5]Augusts'!L103</f>
        <v>595</v>
      </c>
      <c r="Q103" s="157">
        <v>6518</v>
      </c>
      <c r="R103" s="157">
        <v>5923</v>
      </c>
      <c r="S103" s="140">
        <f t="shared" si="42"/>
        <v>595</v>
      </c>
    </row>
    <row r="104" spans="1:19" ht="12.75" customHeight="1">
      <c r="A104" s="154" t="s">
        <v>872</v>
      </c>
      <c r="B104" s="164">
        <v>58722</v>
      </c>
      <c r="C104" s="164">
        <v>44040</v>
      </c>
      <c r="D104" s="164">
        <v>10337.54</v>
      </c>
      <c r="E104" s="150">
        <f t="shared" si="61"/>
        <v>17.604202854126225</v>
      </c>
      <c r="F104" s="150">
        <f t="shared" si="62"/>
        <v>23.473069936421435</v>
      </c>
      <c r="G104" s="164">
        <f>D104-'[5]Augusts'!D104</f>
        <v>1426.6600000000017</v>
      </c>
      <c r="I104" s="154" t="s">
        <v>872</v>
      </c>
      <c r="J104" s="157">
        <f t="shared" si="65"/>
        <v>59</v>
      </c>
      <c r="K104" s="157">
        <f t="shared" si="65"/>
        <v>44</v>
      </c>
      <c r="L104" s="157">
        <f t="shared" si="65"/>
        <v>10</v>
      </c>
      <c r="M104" s="158">
        <f t="shared" si="63"/>
        <v>16.94915254237288</v>
      </c>
      <c r="N104" s="158">
        <f t="shared" si="64"/>
        <v>22.727272727272727</v>
      </c>
      <c r="O104" s="157">
        <f>L104-'[5]Augusts'!L104</f>
        <v>1</v>
      </c>
      <c r="Q104" s="157">
        <v>10</v>
      </c>
      <c r="R104" s="157">
        <v>9</v>
      </c>
      <c r="S104" s="140">
        <f t="shared" si="42"/>
        <v>1</v>
      </c>
    </row>
    <row r="105" spans="1:19" ht="12.75" customHeight="1">
      <c r="A105" s="154" t="s">
        <v>873</v>
      </c>
      <c r="B105" s="164">
        <v>6174527</v>
      </c>
      <c r="C105" s="164">
        <v>4002777</v>
      </c>
      <c r="D105" s="164">
        <v>3628375.04</v>
      </c>
      <c r="E105" s="150">
        <f t="shared" si="61"/>
        <v>58.76361120455057</v>
      </c>
      <c r="F105" s="150">
        <f t="shared" si="62"/>
        <v>90.64644470576303</v>
      </c>
      <c r="G105" s="164">
        <f>D105-'[5]Augusts'!D105</f>
        <v>2223440.04</v>
      </c>
      <c r="I105" s="154" t="s">
        <v>873</v>
      </c>
      <c r="J105" s="157">
        <f>ROUND(B105/1000,0)-1</f>
        <v>6174</v>
      </c>
      <c r="K105" s="157">
        <f>ROUND(C105/1000,0)</f>
        <v>4003</v>
      </c>
      <c r="L105" s="157">
        <f>ROUND(D105/1000,0)</f>
        <v>3628</v>
      </c>
      <c r="M105" s="158">
        <f t="shared" si="63"/>
        <v>58.762552640103664</v>
      </c>
      <c r="N105" s="158">
        <f t="shared" si="64"/>
        <v>90.63202598051461</v>
      </c>
      <c r="O105" s="157">
        <f>L105-'[5]Augusts'!L105</f>
        <v>2223</v>
      </c>
      <c r="Q105" s="157">
        <v>3628</v>
      </c>
      <c r="R105" s="157">
        <v>1405</v>
      </c>
      <c r="S105" s="800">
        <f>Q105-R105-1</f>
        <v>2222</v>
      </c>
    </row>
    <row r="106" spans="1:19" ht="12.75" customHeight="1">
      <c r="A106" s="160" t="s">
        <v>874</v>
      </c>
      <c r="B106" s="166">
        <f>SUM(B107:B108)</f>
        <v>15819085</v>
      </c>
      <c r="C106" s="166">
        <f>SUM(C107:C108)</f>
        <v>10565065</v>
      </c>
      <c r="D106" s="166">
        <f>SUM(D107:D108)</f>
        <v>7328388.4399999995</v>
      </c>
      <c r="E106" s="150">
        <f t="shared" si="61"/>
        <v>46.326247314557065</v>
      </c>
      <c r="F106" s="150">
        <f t="shared" si="62"/>
        <v>69.36434787670497</v>
      </c>
      <c r="G106" s="166">
        <f>SUM(G107:G108)</f>
        <v>944008.5699999998</v>
      </c>
      <c r="I106" s="160" t="s">
        <v>874</v>
      </c>
      <c r="J106" s="147">
        <f>J107+J108</f>
        <v>15819</v>
      </c>
      <c r="K106" s="147">
        <f>K107+K108</f>
        <v>10565</v>
      </c>
      <c r="L106" s="147">
        <f>L107+L108</f>
        <v>7329</v>
      </c>
      <c r="M106" s="156">
        <f t="shared" si="63"/>
        <v>46.33036222264366</v>
      </c>
      <c r="N106" s="156">
        <f t="shared" si="64"/>
        <v>69.37056318031235</v>
      </c>
      <c r="O106" s="147">
        <f>SUM(O107:O108)</f>
        <v>945</v>
      </c>
      <c r="Q106" s="147">
        <v>7329</v>
      </c>
      <c r="R106" s="147">
        <v>6384</v>
      </c>
      <c r="S106" s="140">
        <f t="shared" si="42"/>
        <v>945</v>
      </c>
    </row>
    <row r="107" spans="1:19" ht="12.75" customHeight="1">
      <c r="A107" s="162" t="s">
        <v>875</v>
      </c>
      <c r="B107" s="164">
        <v>7130580</v>
      </c>
      <c r="C107" s="164">
        <v>5354585</v>
      </c>
      <c r="D107" s="164">
        <v>5143868.75</v>
      </c>
      <c r="E107" s="150">
        <f t="shared" si="61"/>
        <v>72.13815355833607</v>
      </c>
      <c r="F107" s="150">
        <f t="shared" si="62"/>
        <v>96.06475104980125</v>
      </c>
      <c r="G107" s="164">
        <f>D107-'[5]Augusts'!D107</f>
        <v>493718.5099999998</v>
      </c>
      <c r="I107" s="162" t="s">
        <v>875</v>
      </c>
      <c r="J107" s="157">
        <f>ROUND(B107/1000,0)-1</f>
        <v>7130</v>
      </c>
      <c r="K107" s="157">
        <f aca="true" t="shared" si="66" ref="J107:L108">ROUND(C107/1000,0)</f>
        <v>5355</v>
      </c>
      <c r="L107" s="157">
        <f t="shared" si="66"/>
        <v>5144</v>
      </c>
      <c r="M107" s="158">
        <f t="shared" si="63"/>
        <v>72.14586255259468</v>
      </c>
      <c r="N107" s="158">
        <f t="shared" si="64"/>
        <v>96.05975723622782</v>
      </c>
      <c r="O107" s="157">
        <f>L107-'[5]Augusts'!L107</f>
        <v>494</v>
      </c>
      <c r="Q107" s="157">
        <v>5144</v>
      </c>
      <c r="R107" s="157">
        <v>4650</v>
      </c>
      <c r="S107" s="140">
        <f t="shared" si="42"/>
        <v>494</v>
      </c>
    </row>
    <row r="108" spans="1:19" ht="12.75" customHeight="1">
      <c r="A108" s="162" t="s">
        <v>876</v>
      </c>
      <c r="B108" s="164">
        <v>8688505</v>
      </c>
      <c r="C108" s="164">
        <v>5210480</v>
      </c>
      <c r="D108" s="164">
        <v>2184519.69</v>
      </c>
      <c r="E108" s="150">
        <f t="shared" si="61"/>
        <v>25.142641800862176</v>
      </c>
      <c r="F108" s="150">
        <f t="shared" si="62"/>
        <v>41.925498034730005</v>
      </c>
      <c r="G108" s="164">
        <f>D108-'[5]Augusts'!D108</f>
        <v>450290.06000000006</v>
      </c>
      <c r="I108" s="162" t="s">
        <v>876</v>
      </c>
      <c r="J108" s="157">
        <f t="shared" si="66"/>
        <v>8689</v>
      </c>
      <c r="K108" s="157">
        <f t="shared" si="66"/>
        <v>5210</v>
      </c>
      <c r="L108" s="157">
        <f t="shared" si="66"/>
        <v>2185</v>
      </c>
      <c r="M108" s="158">
        <f t="shared" si="63"/>
        <v>25.14673725399931</v>
      </c>
      <c r="N108" s="158">
        <f t="shared" si="64"/>
        <v>41.938579654510555</v>
      </c>
      <c r="O108" s="157">
        <f>L108-'[5]Augusts'!L108</f>
        <v>451</v>
      </c>
      <c r="Q108" s="157">
        <v>2185</v>
      </c>
      <c r="R108" s="157">
        <v>1734</v>
      </c>
      <c r="S108" s="140">
        <f t="shared" si="42"/>
        <v>451</v>
      </c>
    </row>
    <row r="109" spans="1:19" ht="12.75" customHeight="1">
      <c r="A109" s="160" t="s">
        <v>902</v>
      </c>
      <c r="B109" s="166"/>
      <c r="C109" s="166"/>
      <c r="D109" s="166"/>
      <c r="E109" s="166"/>
      <c r="F109" s="166"/>
      <c r="G109" s="166"/>
      <c r="I109" s="160" t="s">
        <v>903</v>
      </c>
      <c r="J109" s="166"/>
      <c r="K109" s="166"/>
      <c r="L109" s="166"/>
      <c r="M109" s="158"/>
      <c r="N109" s="158"/>
      <c r="O109" s="166"/>
      <c r="Q109" s="166"/>
      <c r="R109" s="166"/>
      <c r="S109" s="140">
        <f t="shared" si="42"/>
        <v>0</v>
      </c>
    </row>
    <row r="110" spans="1:19" ht="12.75" customHeight="1">
      <c r="A110" s="154" t="s">
        <v>869</v>
      </c>
      <c r="B110" s="164">
        <f>SUM(B111:B114)</f>
        <v>165550646</v>
      </c>
      <c r="C110" s="166">
        <f>SUM(C111:C114)</f>
        <v>124850972</v>
      </c>
      <c r="D110" s="166">
        <f>SUM(D111:D114)</f>
        <v>122323742.17</v>
      </c>
      <c r="E110" s="149">
        <f>IF(ISERROR(D110/B110)," ",(D110/B110))*100</f>
        <v>73.88901531075874</v>
      </c>
      <c r="F110" s="149">
        <f>IF(ISERROR(D110/C110)," ",(D110/C110))*100</f>
        <v>97.9758028395646</v>
      </c>
      <c r="G110" s="166">
        <f>SUM(G111:G114)</f>
        <v>13441405.64</v>
      </c>
      <c r="I110" s="154" t="s">
        <v>869</v>
      </c>
      <c r="J110" s="147">
        <f>J111+J112+J113+J114</f>
        <v>165550</v>
      </c>
      <c r="K110" s="147">
        <f>K111+K112+K113+K114</f>
        <v>124851</v>
      </c>
      <c r="L110" s="147">
        <f>L111+L112+L113+L114</f>
        <v>122324</v>
      </c>
      <c r="M110" s="156">
        <f>L110/J110*100</f>
        <v>73.88945937783147</v>
      </c>
      <c r="N110" s="156">
        <f>L110/K110*100</f>
        <v>97.97598737695333</v>
      </c>
      <c r="O110" s="147">
        <f>SUM(O111:O114)</f>
        <v>13442</v>
      </c>
      <c r="Q110" s="147">
        <v>122324</v>
      </c>
      <c r="R110" s="147">
        <v>108882</v>
      </c>
      <c r="S110" s="140">
        <f t="shared" si="42"/>
        <v>13442</v>
      </c>
    </row>
    <row r="111" spans="1:19" ht="12.75" customHeight="1">
      <c r="A111" s="154" t="s">
        <v>870</v>
      </c>
      <c r="B111" s="164">
        <v>157292351</v>
      </c>
      <c r="C111" s="164">
        <v>118805861</v>
      </c>
      <c r="D111" s="164">
        <v>118805861</v>
      </c>
      <c r="E111" s="150">
        <f>IF(ISERROR(D111/B111)," ",(D111/B111))*100</f>
        <v>75.53187440119068</v>
      </c>
      <c r="F111" s="150">
        <f>IF(ISERROR(D111/C111)," ",(D111/C111))*100</f>
        <v>100</v>
      </c>
      <c r="G111" s="164">
        <f>D111-'[5]Augusts'!D111</f>
        <v>13017293</v>
      </c>
      <c r="I111" s="154" t="s">
        <v>870</v>
      </c>
      <c r="J111" s="157">
        <f>ROUND(B111/1000,0)</f>
        <v>157292</v>
      </c>
      <c r="K111" s="157">
        <f>ROUND(C111/1000,0)</f>
        <v>118806</v>
      </c>
      <c r="L111" s="157">
        <f>ROUND(D111/1000,0)</f>
        <v>118806</v>
      </c>
      <c r="M111" s="158">
        <f>L111/J111*100</f>
        <v>75.5321313226356</v>
      </c>
      <c r="N111" s="158">
        <f>L111/K111*100</f>
        <v>100</v>
      </c>
      <c r="O111" s="157">
        <f>L111-'[5]Augusts'!L111</f>
        <v>13018</v>
      </c>
      <c r="Q111" s="157">
        <v>118806</v>
      </c>
      <c r="R111" s="157">
        <v>105788</v>
      </c>
      <c r="S111" s="140">
        <f t="shared" si="42"/>
        <v>13018</v>
      </c>
    </row>
    <row r="112" spans="1:19" ht="12.75" customHeight="1">
      <c r="A112" s="154" t="s">
        <v>871</v>
      </c>
      <c r="B112" s="164">
        <v>48902</v>
      </c>
      <c r="C112" s="164"/>
      <c r="D112" s="164"/>
      <c r="E112" s="150"/>
      <c r="F112" s="150"/>
      <c r="G112" s="164">
        <f>D112-'[5]Jūlijs'!D112</f>
        <v>0</v>
      </c>
      <c r="I112" s="154" t="s">
        <v>871</v>
      </c>
      <c r="J112" s="157">
        <f>ROUND(B112/1000,0)</f>
        <v>49</v>
      </c>
      <c r="K112" s="157"/>
      <c r="L112" s="157"/>
      <c r="M112" s="158"/>
      <c r="N112" s="158"/>
      <c r="O112" s="157">
        <f>L112-'[5]Jūlijs'!L112</f>
        <v>0</v>
      </c>
      <c r="Q112" s="157"/>
      <c r="R112" s="157"/>
      <c r="S112" s="140">
        <f t="shared" si="42"/>
        <v>0</v>
      </c>
    </row>
    <row r="113" spans="1:19" ht="12.75" customHeight="1">
      <c r="A113" s="154" t="s">
        <v>872</v>
      </c>
      <c r="B113" s="164">
        <v>5168141</v>
      </c>
      <c r="C113" s="164">
        <v>3866001</v>
      </c>
      <c r="D113" s="164">
        <v>3213502.17</v>
      </c>
      <c r="E113" s="150">
        <f>IF(ISERROR(D113/B113)," ",(D113/B113))*100</f>
        <v>62.17907309417448</v>
      </c>
      <c r="F113" s="150">
        <f>IF(ISERROR(D113/C113)," ",(D113/C113))*100</f>
        <v>83.12212464507898</v>
      </c>
      <c r="G113" s="164">
        <f>D113-'[5]Augusts'!D113</f>
        <v>423431.64000000013</v>
      </c>
      <c r="I113" s="154" t="s">
        <v>872</v>
      </c>
      <c r="J113" s="157">
        <f>ROUND(B113/1000,0)</f>
        <v>5168</v>
      </c>
      <c r="K113" s="157">
        <f>ROUND(C113/1000,0)</f>
        <v>3866</v>
      </c>
      <c r="L113" s="157">
        <f>ROUND(D113/1000,0)</f>
        <v>3214</v>
      </c>
      <c r="M113" s="158">
        <f>L113/J113*100</f>
        <v>62.19040247678018</v>
      </c>
      <c r="N113" s="158">
        <f>L113/K113*100</f>
        <v>83.13502327987584</v>
      </c>
      <c r="O113" s="157">
        <f>L113-'[5]Augusts'!L113</f>
        <v>424</v>
      </c>
      <c r="Q113" s="157">
        <v>3214</v>
      </c>
      <c r="R113" s="157">
        <v>2790</v>
      </c>
      <c r="S113" s="140">
        <f t="shared" si="42"/>
        <v>424</v>
      </c>
    </row>
    <row r="114" spans="1:19" ht="12.75" customHeight="1">
      <c r="A114" s="154" t="s">
        <v>873</v>
      </c>
      <c r="B114" s="164">
        <v>3041252</v>
      </c>
      <c r="C114" s="164">
        <v>2179110</v>
      </c>
      <c r="D114" s="164">
        <v>304379</v>
      </c>
      <c r="E114" s="150">
        <f>IF(ISERROR(D114/B114)," ",(D114/B114))*100</f>
        <v>10.008345247286316</v>
      </c>
      <c r="F114" s="150">
        <f>IF(ISERROR(D114/C114)," ",(D114/C114))*100</f>
        <v>13.968041998797675</v>
      </c>
      <c r="G114" s="164">
        <f>D114-'[5]Augusts'!D114</f>
        <v>681</v>
      </c>
      <c r="I114" s="154" t="s">
        <v>873</v>
      </c>
      <c r="J114" s="157">
        <f>ROUND(B114/1000,0)</f>
        <v>3041</v>
      </c>
      <c r="K114" s="157">
        <f>ROUND(C114/1000,0)</f>
        <v>2179</v>
      </c>
      <c r="L114" s="157">
        <f>ROUND(D114/1000,0)</f>
        <v>304</v>
      </c>
      <c r="M114" s="158">
        <f>L114/J114*100</f>
        <v>9.996711608023677</v>
      </c>
      <c r="N114" s="158">
        <f>L114/K114*100</f>
        <v>13.951353832033043</v>
      </c>
      <c r="O114" s="157">
        <f>L114-'[5]Augusts'!L114</f>
        <v>0</v>
      </c>
      <c r="Q114" s="157">
        <v>304</v>
      </c>
      <c r="R114" s="157">
        <v>304</v>
      </c>
      <c r="S114" s="140">
        <f t="shared" si="42"/>
        <v>0</v>
      </c>
    </row>
    <row r="115" spans="1:19" ht="12.75" customHeight="1">
      <c r="A115" s="160" t="s">
        <v>874</v>
      </c>
      <c r="B115" s="166">
        <f>SUM(B116:B117)</f>
        <v>165550646</v>
      </c>
      <c r="C115" s="166">
        <f>SUM(C116:C117)</f>
        <v>124850972</v>
      </c>
      <c r="D115" s="166">
        <f>SUM(D116:D117)</f>
        <v>121536325.63000001</v>
      </c>
      <c r="E115" s="149">
        <f>IF(ISERROR(D115/B115)," ",(D115/B115))*100</f>
        <v>73.41338047693272</v>
      </c>
      <c r="F115" s="149">
        <f>IF(ISERROR(D115/C115)," ",(D115/C115))*100</f>
        <v>97.34511768959237</v>
      </c>
      <c r="G115" s="166">
        <f>SUM(G116:G117)</f>
        <v>13231032.650000008</v>
      </c>
      <c r="I115" s="160" t="s">
        <v>874</v>
      </c>
      <c r="J115" s="147">
        <f>J116+J117</f>
        <v>165550</v>
      </c>
      <c r="K115" s="147">
        <f>K116+K117</f>
        <v>124851</v>
      </c>
      <c r="L115" s="147">
        <f>L116+L117</f>
        <v>121537</v>
      </c>
      <c r="M115" s="156">
        <f>L115/J115*100</f>
        <v>73.41407429779522</v>
      </c>
      <c r="N115" s="156">
        <f>L115/K115*100</f>
        <v>97.34563599810974</v>
      </c>
      <c r="O115" s="147">
        <f>SUM(O116:O117)</f>
        <v>13232</v>
      </c>
      <c r="Q115" s="147">
        <v>121537</v>
      </c>
      <c r="R115" s="147">
        <v>108305</v>
      </c>
      <c r="S115" s="140">
        <f t="shared" si="42"/>
        <v>13232</v>
      </c>
    </row>
    <row r="116" spans="1:19" ht="12.75" customHeight="1">
      <c r="A116" s="162" t="s">
        <v>875</v>
      </c>
      <c r="B116" s="164">
        <v>162177135</v>
      </c>
      <c r="C116" s="164">
        <v>122093947</v>
      </c>
      <c r="D116" s="164">
        <v>119725822.51</v>
      </c>
      <c r="E116" s="150">
        <f>IF(ISERROR(D116/B116)," ",(D116/B116))*100</f>
        <v>73.82410751675937</v>
      </c>
      <c r="F116" s="150">
        <f>IF(ISERROR(D116/C116)," ",(D116/C116))*100</f>
        <v>98.06040794962587</v>
      </c>
      <c r="G116" s="164">
        <f>D116-'[5]Augusts'!D116</f>
        <v>13043424.070000008</v>
      </c>
      <c r="I116" s="162" t="s">
        <v>875</v>
      </c>
      <c r="J116" s="157">
        <f aca="true" t="shared" si="67" ref="J116:L117">ROUND(B116/1000,0)</f>
        <v>162177</v>
      </c>
      <c r="K116" s="157">
        <f t="shared" si="67"/>
        <v>122094</v>
      </c>
      <c r="L116" s="157">
        <f t="shared" si="67"/>
        <v>119726</v>
      </c>
      <c r="M116" s="158">
        <f>L116/J116*100</f>
        <v>73.82427841185864</v>
      </c>
      <c r="N116" s="158">
        <f>L116/K116*100</f>
        <v>98.06051075400921</v>
      </c>
      <c r="O116" s="157">
        <f>L116-'[5]Augusts'!L116</f>
        <v>13044</v>
      </c>
      <c r="Q116" s="157">
        <v>119726</v>
      </c>
      <c r="R116" s="157">
        <v>106682</v>
      </c>
      <c r="S116" s="140">
        <f t="shared" si="42"/>
        <v>13044</v>
      </c>
    </row>
    <row r="117" spans="1:19" ht="12.75" customHeight="1">
      <c r="A117" s="162" t="s">
        <v>876</v>
      </c>
      <c r="B117" s="164">
        <v>3373511</v>
      </c>
      <c r="C117" s="164">
        <v>2757025</v>
      </c>
      <c r="D117" s="164">
        <v>1810503.12</v>
      </c>
      <c r="E117" s="150">
        <f>IF(ISERROR(D117/B117)," ",(D117/B117))*100</f>
        <v>53.66821451004606</v>
      </c>
      <c r="F117" s="150">
        <f>IF(ISERROR(D117/C117)," ",(D117/C117))*100</f>
        <v>65.66872335216402</v>
      </c>
      <c r="G117" s="164">
        <f>D117-'[5]Augusts'!D117</f>
        <v>187608.58000000007</v>
      </c>
      <c r="I117" s="162" t="s">
        <v>876</v>
      </c>
      <c r="J117" s="157">
        <f>ROUND(B117/1000,0)-1</f>
        <v>3373</v>
      </c>
      <c r="K117" s="157">
        <f t="shared" si="67"/>
        <v>2757</v>
      </c>
      <c r="L117" s="157">
        <f t="shared" si="67"/>
        <v>1811</v>
      </c>
      <c r="M117" s="158">
        <f>L117/J117*100</f>
        <v>53.691076193299736</v>
      </c>
      <c r="N117" s="158">
        <f>L117/K117*100</f>
        <v>65.68734131302139</v>
      </c>
      <c r="O117" s="157">
        <f>L117-'[5]Augusts'!L117</f>
        <v>188</v>
      </c>
      <c r="Q117" s="157">
        <v>1811</v>
      </c>
      <c r="R117" s="157">
        <v>1623</v>
      </c>
      <c r="S117" s="140">
        <f t="shared" si="42"/>
        <v>188</v>
      </c>
    </row>
    <row r="118" spans="1:19" ht="12.75" customHeight="1">
      <c r="A118" s="160" t="s">
        <v>904</v>
      </c>
      <c r="B118" s="166"/>
      <c r="C118" s="166"/>
      <c r="D118" s="166"/>
      <c r="E118" s="166"/>
      <c r="F118" s="166"/>
      <c r="G118" s="166"/>
      <c r="I118" s="160" t="s">
        <v>905</v>
      </c>
      <c r="J118" s="166"/>
      <c r="K118" s="166"/>
      <c r="L118" s="166"/>
      <c r="M118" s="158"/>
      <c r="N118" s="158"/>
      <c r="O118" s="166"/>
      <c r="Q118" s="166"/>
      <c r="R118" s="166"/>
      <c r="S118" s="140">
        <f t="shared" si="42"/>
        <v>0</v>
      </c>
    </row>
    <row r="119" spans="1:19" ht="12.75" customHeight="1">
      <c r="A119" s="154" t="s">
        <v>869</v>
      </c>
      <c r="B119" s="164">
        <f>SUM(B120:B122)</f>
        <v>29598661</v>
      </c>
      <c r="C119" s="166">
        <f>SUM(C120:C122)</f>
        <v>21246824</v>
      </c>
      <c r="D119" s="166">
        <f>SUM(D120:D122)</f>
        <v>20261191.71</v>
      </c>
      <c r="E119" s="149">
        <f aca="true" t="shared" si="68" ref="E119:E125">IF(ISERROR(D119/B119)," ",(D119/B119))*100</f>
        <v>68.45306856955456</v>
      </c>
      <c r="F119" s="149">
        <f aca="true" t="shared" si="69" ref="F119:F125">IF(ISERROR(D119/C119)," ",(D119/C119))*100</f>
        <v>95.36103706605749</v>
      </c>
      <c r="G119" s="166">
        <f>SUM(G120:G122)</f>
        <v>2274724.05</v>
      </c>
      <c r="I119" s="154" t="s">
        <v>869</v>
      </c>
      <c r="J119" s="147">
        <f>J120+J121+J122</f>
        <v>29598</v>
      </c>
      <c r="K119" s="147">
        <f>K120+K121+K122</f>
        <v>21247</v>
      </c>
      <c r="L119" s="147">
        <f>L120+L121+L122</f>
        <v>20261</v>
      </c>
      <c r="M119" s="156">
        <f aca="true" t="shared" si="70" ref="M119:M125">L119/J119*100</f>
        <v>68.45394959118859</v>
      </c>
      <c r="N119" s="156">
        <f aca="true" t="shared" si="71" ref="N119:N125">L119/K119*100</f>
        <v>95.35934484868453</v>
      </c>
      <c r="O119" s="147">
        <f>SUM(O120:O122)</f>
        <v>2275</v>
      </c>
      <c r="Q119" s="147">
        <v>20261</v>
      </c>
      <c r="R119" s="147">
        <v>17986</v>
      </c>
      <c r="S119" s="140">
        <f t="shared" si="42"/>
        <v>2275</v>
      </c>
    </row>
    <row r="120" spans="1:19" ht="12.75" customHeight="1">
      <c r="A120" s="154" t="s">
        <v>870</v>
      </c>
      <c r="B120" s="164">
        <v>25845085</v>
      </c>
      <c r="C120" s="164">
        <v>19065111</v>
      </c>
      <c r="D120" s="164">
        <v>19065111</v>
      </c>
      <c r="E120" s="150">
        <f t="shared" si="68"/>
        <v>73.76687288898451</v>
      </c>
      <c r="F120" s="150">
        <f t="shared" si="69"/>
        <v>100</v>
      </c>
      <c r="G120" s="164">
        <f>D120-'[5]Augusts'!D120</f>
        <v>2196976</v>
      </c>
      <c r="I120" s="154" t="s">
        <v>870</v>
      </c>
      <c r="J120" s="157">
        <f>ROUND(B120/1000,0)</f>
        <v>25845</v>
      </c>
      <c r="K120" s="157">
        <f aca="true" t="shared" si="72" ref="K120:L122">ROUND(C120/1000,0)</f>
        <v>19065</v>
      </c>
      <c r="L120" s="157">
        <f t="shared" si="72"/>
        <v>19065</v>
      </c>
      <c r="M120" s="158">
        <f t="shared" si="70"/>
        <v>73.76668601276842</v>
      </c>
      <c r="N120" s="158">
        <f t="shared" si="71"/>
        <v>100</v>
      </c>
      <c r="O120" s="157">
        <f>L120-'[5]Augusts'!L120</f>
        <v>2197</v>
      </c>
      <c r="Q120" s="157">
        <v>19065</v>
      </c>
      <c r="R120" s="157">
        <v>16868</v>
      </c>
      <c r="S120" s="140">
        <f t="shared" si="42"/>
        <v>2197</v>
      </c>
    </row>
    <row r="121" spans="1:19" ht="12.75" customHeight="1">
      <c r="A121" s="154" t="s">
        <v>872</v>
      </c>
      <c r="B121" s="164">
        <v>1330472</v>
      </c>
      <c r="C121" s="164">
        <v>996118</v>
      </c>
      <c r="D121" s="164">
        <v>651273</v>
      </c>
      <c r="E121" s="150">
        <f t="shared" si="68"/>
        <v>48.95052282197596</v>
      </c>
      <c r="F121" s="150">
        <f t="shared" si="69"/>
        <v>65.3811094669507</v>
      </c>
      <c r="G121" s="164">
        <f>D121-'[5]Augusts'!D121</f>
        <v>62828.33999999997</v>
      </c>
      <c r="I121" s="154" t="s">
        <v>872</v>
      </c>
      <c r="J121" s="157">
        <f>ROUND(B121/1000,0)</f>
        <v>1330</v>
      </c>
      <c r="K121" s="157">
        <f t="shared" si="72"/>
        <v>996</v>
      </c>
      <c r="L121" s="157">
        <f>ROUND(D121/1000,0)</f>
        <v>651</v>
      </c>
      <c r="M121" s="158">
        <f t="shared" si="70"/>
        <v>48.94736842105264</v>
      </c>
      <c r="N121" s="158">
        <f t="shared" si="71"/>
        <v>65.36144578313254</v>
      </c>
      <c r="O121" s="157">
        <f>L121-'[5]Augusts'!L121</f>
        <v>63</v>
      </c>
      <c r="Q121" s="157">
        <v>651</v>
      </c>
      <c r="R121" s="157">
        <v>588</v>
      </c>
      <c r="S121" s="140">
        <f t="shared" si="42"/>
        <v>63</v>
      </c>
    </row>
    <row r="122" spans="1:19" ht="12.75" customHeight="1">
      <c r="A122" s="154" t="s">
        <v>873</v>
      </c>
      <c r="B122" s="164">
        <v>2423104</v>
      </c>
      <c r="C122" s="164">
        <v>1185595</v>
      </c>
      <c r="D122" s="164">
        <v>544807.71</v>
      </c>
      <c r="E122" s="150">
        <f t="shared" si="68"/>
        <v>22.48387646588838</v>
      </c>
      <c r="F122" s="150">
        <f t="shared" si="69"/>
        <v>45.95226110096618</v>
      </c>
      <c r="G122" s="164">
        <f>D122-'[5]Augusts'!D122</f>
        <v>14919.709999999963</v>
      </c>
      <c r="I122" s="154" t="s">
        <v>873</v>
      </c>
      <c r="J122" s="157">
        <f>ROUND(B122/1000,0)</f>
        <v>2423</v>
      </c>
      <c r="K122" s="157">
        <f t="shared" si="72"/>
        <v>1186</v>
      </c>
      <c r="L122" s="157">
        <f>ROUND(D122/1000,0)</f>
        <v>545</v>
      </c>
      <c r="M122" s="158">
        <f t="shared" si="70"/>
        <v>22.492777548493603</v>
      </c>
      <c r="N122" s="158">
        <f t="shared" si="71"/>
        <v>45.952782462057336</v>
      </c>
      <c r="O122" s="157">
        <f>L122-'[5]Augusts'!L122</f>
        <v>15</v>
      </c>
      <c r="Q122" s="157">
        <v>545</v>
      </c>
      <c r="R122" s="157">
        <v>530</v>
      </c>
      <c r="S122" s="140">
        <f t="shared" si="42"/>
        <v>15</v>
      </c>
    </row>
    <row r="123" spans="1:19" ht="12.75" customHeight="1">
      <c r="A123" s="160" t="s">
        <v>874</v>
      </c>
      <c r="B123" s="166">
        <f>SUM(B124:B125)</f>
        <v>29603817</v>
      </c>
      <c r="C123" s="166">
        <f>SUM(C124:C125)</f>
        <v>21251980</v>
      </c>
      <c r="D123" s="166">
        <f>SUM(D124:D125)</f>
        <v>19712064.11</v>
      </c>
      <c r="E123" s="150">
        <f t="shared" si="68"/>
        <v>66.58622470879347</v>
      </c>
      <c r="F123" s="150">
        <f t="shared" si="69"/>
        <v>92.75401214380966</v>
      </c>
      <c r="G123" s="166">
        <f>SUM(G124:G125)</f>
        <v>2214668.0500000003</v>
      </c>
      <c r="I123" s="160" t="s">
        <v>874</v>
      </c>
      <c r="J123" s="147">
        <f>J124+J125</f>
        <v>29603</v>
      </c>
      <c r="K123" s="147">
        <f>K124+K125</f>
        <v>21252</v>
      </c>
      <c r="L123" s="147">
        <f>L124+L125</f>
        <v>19712</v>
      </c>
      <c r="M123" s="156">
        <f t="shared" si="70"/>
        <v>66.5878458264365</v>
      </c>
      <c r="N123" s="156">
        <f t="shared" si="71"/>
        <v>92.7536231884058</v>
      </c>
      <c r="O123" s="147">
        <f>SUM(O124:O125)</f>
        <v>2214</v>
      </c>
      <c r="Q123" s="147">
        <v>19712</v>
      </c>
      <c r="R123" s="147">
        <v>17498</v>
      </c>
      <c r="S123" s="140">
        <f t="shared" si="42"/>
        <v>2214</v>
      </c>
    </row>
    <row r="124" spans="1:19" ht="12.75" customHeight="1">
      <c r="A124" s="162" t="s">
        <v>875</v>
      </c>
      <c r="B124" s="164">
        <v>25959500</v>
      </c>
      <c r="C124" s="164">
        <v>18259860</v>
      </c>
      <c r="D124" s="164">
        <v>17036630.48</v>
      </c>
      <c r="E124" s="150">
        <f t="shared" si="68"/>
        <v>65.62772965581001</v>
      </c>
      <c r="F124" s="150">
        <f t="shared" si="69"/>
        <v>93.30099179292722</v>
      </c>
      <c r="G124" s="164">
        <f>D124-'[5]Augusts'!D124</f>
        <v>1961067.1500000004</v>
      </c>
      <c r="I124" s="162" t="s">
        <v>875</v>
      </c>
      <c r="J124" s="157">
        <f>ROUND(B124/1000,0)-1</f>
        <v>25959</v>
      </c>
      <c r="K124" s="157">
        <f>ROUND(C124/1000,0)</f>
        <v>18260</v>
      </c>
      <c r="L124" s="157">
        <f>ROUND(D124/1000,0)</f>
        <v>17037</v>
      </c>
      <c r="M124" s="158">
        <f t="shared" si="70"/>
        <v>65.63041719634809</v>
      </c>
      <c r="N124" s="158">
        <f t="shared" si="71"/>
        <v>93.30230010952903</v>
      </c>
      <c r="O124" s="157">
        <f>L124-'[5]Augusts'!L124</f>
        <v>1961</v>
      </c>
      <c r="Q124" s="157">
        <v>17037</v>
      </c>
      <c r="R124" s="157">
        <v>15076</v>
      </c>
      <c r="S124" s="140">
        <f t="shared" si="42"/>
        <v>1961</v>
      </c>
    </row>
    <row r="125" spans="1:19" ht="12.75" customHeight="1">
      <c r="A125" s="162" t="s">
        <v>876</v>
      </c>
      <c r="B125" s="164">
        <v>3644317</v>
      </c>
      <c r="C125" s="164">
        <v>2992120</v>
      </c>
      <c r="D125" s="164">
        <v>2675433.63</v>
      </c>
      <c r="E125" s="150">
        <f t="shared" si="68"/>
        <v>73.41385587477708</v>
      </c>
      <c r="F125" s="150">
        <f t="shared" si="69"/>
        <v>89.4159869925003</v>
      </c>
      <c r="G125" s="164">
        <f>D125-'[5]Augusts'!D125</f>
        <v>253600.8999999999</v>
      </c>
      <c r="I125" s="162" t="s">
        <v>876</v>
      </c>
      <c r="J125" s="157">
        <f>ROUND(B125/1000,0)</f>
        <v>3644</v>
      </c>
      <c r="K125" s="157">
        <f>ROUND(C125/1000,0)</f>
        <v>2992</v>
      </c>
      <c r="L125" s="157">
        <f>ROUND(D125/1000,0)</f>
        <v>2675</v>
      </c>
      <c r="M125" s="158">
        <f t="shared" si="70"/>
        <v>73.40834248079034</v>
      </c>
      <c r="N125" s="158">
        <f t="shared" si="71"/>
        <v>89.40508021390374</v>
      </c>
      <c r="O125" s="157">
        <f>L125-'[5]Augusts'!L125</f>
        <v>253</v>
      </c>
      <c r="Q125" s="157">
        <v>2675</v>
      </c>
      <c r="R125" s="157">
        <v>2422</v>
      </c>
      <c r="S125" s="140">
        <f t="shared" si="42"/>
        <v>253</v>
      </c>
    </row>
    <row r="126" spans="1:19" ht="25.5" customHeight="1">
      <c r="A126" s="165" t="s">
        <v>906</v>
      </c>
      <c r="B126" s="164"/>
      <c r="C126" s="164"/>
      <c r="D126" s="164"/>
      <c r="E126" s="164"/>
      <c r="F126" s="164"/>
      <c r="G126" s="164"/>
      <c r="I126" s="165" t="s">
        <v>907</v>
      </c>
      <c r="J126" s="164"/>
      <c r="K126" s="164"/>
      <c r="L126" s="164"/>
      <c r="M126" s="158"/>
      <c r="N126" s="158"/>
      <c r="O126" s="164"/>
      <c r="Q126" s="164"/>
      <c r="R126" s="164"/>
      <c r="S126" s="140">
        <f t="shared" si="42"/>
        <v>0</v>
      </c>
    </row>
    <row r="127" spans="1:19" ht="12.75" customHeight="1">
      <c r="A127" s="154" t="s">
        <v>869</v>
      </c>
      <c r="B127" s="164">
        <f>SUM(B128:B130)</f>
        <v>14202440</v>
      </c>
      <c r="C127" s="166">
        <f>SUM(C128:C130)</f>
        <v>9689231</v>
      </c>
      <c r="D127" s="166">
        <f>SUM(D128:D130)</f>
        <v>8572828.82</v>
      </c>
      <c r="E127" s="149">
        <f aca="true" t="shared" si="73" ref="E127:E133">IF(ISERROR(D127/B127)," ",(D127/B127))*100</f>
        <v>60.36166193977937</v>
      </c>
      <c r="F127" s="149">
        <f aca="true" t="shared" si="74" ref="F127:F133">IF(ISERROR(D127/C127)," ",(D127/C127))*100</f>
        <v>88.4779072766456</v>
      </c>
      <c r="G127" s="166">
        <f>SUM(G128:G130)</f>
        <v>921593.6300000001</v>
      </c>
      <c r="I127" s="154" t="s">
        <v>869</v>
      </c>
      <c r="J127" s="147">
        <f>J128+J129+J130</f>
        <v>14202</v>
      </c>
      <c r="K127" s="147">
        <f>K128+K129+K130</f>
        <v>9689</v>
      </c>
      <c r="L127" s="147">
        <f>L128+L129+L130</f>
        <v>8573</v>
      </c>
      <c r="M127" s="156">
        <f aca="true" t="shared" si="75" ref="M127:M133">L127/J127*100</f>
        <v>60.36473736093508</v>
      </c>
      <c r="N127" s="156">
        <f aca="true" t="shared" si="76" ref="N127:N133">L127/K127*100</f>
        <v>88.48178346578595</v>
      </c>
      <c r="O127" s="147">
        <f>SUM(O128:O130)</f>
        <v>921</v>
      </c>
      <c r="Q127" s="147">
        <v>8573</v>
      </c>
      <c r="R127" s="147">
        <v>7652</v>
      </c>
      <c r="S127" s="140">
        <f t="shared" si="42"/>
        <v>921</v>
      </c>
    </row>
    <row r="128" spans="1:19" ht="12.75" customHeight="1">
      <c r="A128" s="154" t="s">
        <v>870</v>
      </c>
      <c r="B128" s="164">
        <v>7619458</v>
      </c>
      <c r="C128" s="164">
        <v>5523486</v>
      </c>
      <c r="D128" s="164">
        <v>5523486</v>
      </c>
      <c r="E128" s="150">
        <f t="shared" si="73"/>
        <v>72.49184915777474</v>
      </c>
      <c r="F128" s="150">
        <f t="shared" si="74"/>
        <v>100</v>
      </c>
      <c r="G128" s="164">
        <f>D128-'[5]Augusts'!D128</f>
        <v>744792</v>
      </c>
      <c r="I128" s="154" t="s">
        <v>870</v>
      </c>
      <c r="J128" s="157">
        <f aca="true" t="shared" si="77" ref="J128:L129">ROUND(B128/1000,0)</f>
        <v>7619</v>
      </c>
      <c r="K128" s="157">
        <f t="shared" si="77"/>
        <v>5523</v>
      </c>
      <c r="L128" s="157">
        <f t="shared" si="77"/>
        <v>5523</v>
      </c>
      <c r="M128" s="158">
        <f t="shared" si="75"/>
        <v>72.48982806142538</v>
      </c>
      <c r="N128" s="158">
        <f t="shared" si="76"/>
        <v>100</v>
      </c>
      <c r="O128" s="157">
        <f>L128-'[5]Augusts'!L128</f>
        <v>744</v>
      </c>
      <c r="Q128" s="157">
        <v>5523</v>
      </c>
      <c r="R128" s="157">
        <v>4779</v>
      </c>
      <c r="S128" s="140">
        <f t="shared" si="42"/>
        <v>744</v>
      </c>
    </row>
    <row r="129" spans="1:19" ht="12.75" customHeight="1">
      <c r="A129" s="154" t="s">
        <v>872</v>
      </c>
      <c r="B129" s="164">
        <v>1360524</v>
      </c>
      <c r="C129" s="164">
        <v>952655</v>
      </c>
      <c r="D129" s="164">
        <v>970516.01</v>
      </c>
      <c r="E129" s="150">
        <f t="shared" si="73"/>
        <v>71.33398675804322</v>
      </c>
      <c r="F129" s="150">
        <f t="shared" si="74"/>
        <v>101.8748665571482</v>
      </c>
      <c r="G129" s="164">
        <f>D129-'[5]Augusts'!D129</f>
        <v>93901.82000000007</v>
      </c>
      <c r="I129" s="154" t="s">
        <v>872</v>
      </c>
      <c r="J129" s="157">
        <f>ROUND(B129/1000,0)-1</f>
        <v>1360</v>
      </c>
      <c r="K129" s="157">
        <f>ROUND(C129/1000,0)</f>
        <v>953</v>
      </c>
      <c r="L129" s="157">
        <f t="shared" si="77"/>
        <v>971</v>
      </c>
      <c r="M129" s="158">
        <f t="shared" si="75"/>
        <v>71.39705882352942</v>
      </c>
      <c r="N129" s="158">
        <f t="shared" si="76"/>
        <v>101.8887722980063</v>
      </c>
      <c r="O129" s="157">
        <f>L129-'[5]Augusts'!L129</f>
        <v>94</v>
      </c>
      <c r="Q129" s="157">
        <v>971</v>
      </c>
      <c r="R129" s="157">
        <v>877</v>
      </c>
      <c r="S129" s="140">
        <f t="shared" si="42"/>
        <v>94</v>
      </c>
    </row>
    <row r="130" spans="1:256" ht="12.75" customHeight="1">
      <c r="A130" s="154" t="s">
        <v>873</v>
      </c>
      <c r="B130" s="164">
        <v>5222458</v>
      </c>
      <c r="C130" s="164">
        <v>3213090</v>
      </c>
      <c r="D130" s="164">
        <v>2078826.81</v>
      </c>
      <c r="E130" s="150">
        <f t="shared" si="73"/>
        <v>39.80552471652237</v>
      </c>
      <c r="F130" s="150">
        <f t="shared" si="74"/>
        <v>64.69867977554317</v>
      </c>
      <c r="G130" s="164">
        <f>D130-'[5]Augusts'!D130</f>
        <v>82899.81000000006</v>
      </c>
      <c r="I130" s="154" t="s">
        <v>873</v>
      </c>
      <c r="J130" s="157">
        <f>ROUND(B130/1000,0)+1</f>
        <v>5223</v>
      </c>
      <c r="K130" s="157">
        <f>ROUND(C130/1000,0)</f>
        <v>3213</v>
      </c>
      <c r="L130" s="157">
        <f>ROUND(D130/1000,0)</f>
        <v>2079</v>
      </c>
      <c r="M130" s="158">
        <f t="shared" si="75"/>
        <v>39.80470993681792</v>
      </c>
      <c r="N130" s="158">
        <f t="shared" si="76"/>
        <v>64.70588235294117</v>
      </c>
      <c r="O130" s="157">
        <f>L130-'[5]Augusts'!L130</f>
        <v>83</v>
      </c>
      <c r="Q130" s="157">
        <v>2079</v>
      </c>
      <c r="R130" s="157">
        <v>1996</v>
      </c>
      <c r="S130" s="800">
        <f>Q130-R130</f>
        <v>83</v>
      </c>
      <c r="IV130" s="157">
        <f>ROUND(IN130/1000,0)</f>
        <v>0</v>
      </c>
    </row>
    <row r="131" spans="1:19" ht="12.75" customHeight="1">
      <c r="A131" s="160" t="s">
        <v>874</v>
      </c>
      <c r="B131" s="166">
        <f>SUM(B132:B133)</f>
        <v>14202440</v>
      </c>
      <c r="C131" s="166">
        <f>SUM(C132:C133)</f>
        <v>9689231</v>
      </c>
      <c r="D131" s="166">
        <f>SUM(D132:D133)</f>
        <v>7840178.129999999</v>
      </c>
      <c r="E131" s="150">
        <f t="shared" si="73"/>
        <v>55.20303645007477</v>
      </c>
      <c r="F131" s="150">
        <f t="shared" si="74"/>
        <v>80.91641256153352</v>
      </c>
      <c r="G131" s="166">
        <f>SUM(G132:G133)</f>
        <v>744484.1899999995</v>
      </c>
      <c r="I131" s="160" t="s">
        <v>874</v>
      </c>
      <c r="J131" s="147">
        <f>J132+J133</f>
        <v>14202</v>
      </c>
      <c r="K131" s="147">
        <f>K132+K133</f>
        <v>9690</v>
      </c>
      <c r="L131" s="147">
        <f>L132+L133</f>
        <v>7840</v>
      </c>
      <c r="M131" s="156">
        <f t="shared" si="75"/>
        <v>55.20349246584988</v>
      </c>
      <c r="N131" s="156">
        <f t="shared" si="76"/>
        <v>80.90815273477813</v>
      </c>
      <c r="O131" s="147">
        <f>SUM(O132:O133)</f>
        <v>744</v>
      </c>
      <c r="Q131" s="147">
        <v>7840</v>
      </c>
      <c r="R131" s="147">
        <v>7096</v>
      </c>
      <c r="S131" s="140">
        <f t="shared" si="42"/>
        <v>744</v>
      </c>
    </row>
    <row r="132" spans="1:19" ht="12.75" customHeight="1">
      <c r="A132" s="162" t="s">
        <v>875</v>
      </c>
      <c r="B132" s="164">
        <v>7366956</v>
      </c>
      <c r="C132" s="164">
        <v>5391711</v>
      </c>
      <c r="D132" s="164">
        <v>5090948.56</v>
      </c>
      <c r="E132" s="150">
        <f t="shared" si="73"/>
        <v>69.10518482803481</v>
      </c>
      <c r="F132" s="150">
        <f t="shared" si="74"/>
        <v>94.42176259076199</v>
      </c>
      <c r="G132" s="164">
        <f>D132-'[5]Augusts'!D132</f>
        <v>602474.7199999997</v>
      </c>
      <c r="I132" s="162" t="s">
        <v>875</v>
      </c>
      <c r="J132" s="157">
        <f aca="true" t="shared" si="78" ref="J132:L133">ROUND(B132/1000,0)</f>
        <v>7367</v>
      </c>
      <c r="K132" s="157">
        <f t="shared" si="78"/>
        <v>5392</v>
      </c>
      <c r="L132" s="157">
        <f>ROUND(D132/1000,0)</f>
        <v>5091</v>
      </c>
      <c r="M132" s="158">
        <f t="shared" si="75"/>
        <v>69.10547034070856</v>
      </c>
      <c r="N132" s="158">
        <f t="shared" si="76"/>
        <v>94.41765578635015</v>
      </c>
      <c r="O132" s="157">
        <f>L132-'[5]Augusts'!L132</f>
        <v>602</v>
      </c>
      <c r="Q132" s="157">
        <v>5091</v>
      </c>
      <c r="R132" s="157">
        <v>4489</v>
      </c>
      <c r="S132" s="140">
        <f t="shared" si="42"/>
        <v>602</v>
      </c>
    </row>
    <row r="133" spans="1:19" ht="12.75" customHeight="1">
      <c r="A133" s="162" t="s">
        <v>876</v>
      </c>
      <c r="B133" s="164">
        <v>6835484</v>
      </c>
      <c r="C133" s="164">
        <v>4297520</v>
      </c>
      <c r="D133" s="164">
        <v>2749229.57</v>
      </c>
      <c r="E133" s="150">
        <f t="shared" si="73"/>
        <v>40.2199693540355</v>
      </c>
      <c r="F133" s="150">
        <f t="shared" si="74"/>
        <v>63.972467143841094</v>
      </c>
      <c r="G133" s="164">
        <f>D133-'[5]Augusts'!D133</f>
        <v>142009.46999999974</v>
      </c>
      <c r="I133" s="162" t="s">
        <v>876</v>
      </c>
      <c r="J133" s="157">
        <f t="shared" si="78"/>
        <v>6835</v>
      </c>
      <c r="K133" s="157">
        <f t="shared" si="78"/>
        <v>4298</v>
      </c>
      <c r="L133" s="157">
        <f t="shared" si="78"/>
        <v>2749</v>
      </c>
      <c r="M133" s="158">
        <f t="shared" si="75"/>
        <v>40.219458668617406</v>
      </c>
      <c r="N133" s="158">
        <f t="shared" si="76"/>
        <v>63.95998138669149</v>
      </c>
      <c r="O133" s="157">
        <f>L133-'[5]Augusts'!L133</f>
        <v>142</v>
      </c>
      <c r="Q133" s="157">
        <v>2749</v>
      </c>
      <c r="R133" s="157">
        <v>2607</v>
      </c>
      <c r="S133" s="140">
        <f t="shared" si="42"/>
        <v>142</v>
      </c>
    </row>
    <row r="134" spans="1:19" ht="12.75" customHeight="1">
      <c r="A134" s="160" t="s">
        <v>908</v>
      </c>
      <c r="B134" s="166"/>
      <c r="C134" s="166"/>
      <c r="D134" s="166"/>
      <c r="E134" s="166"/>
      <c r="F134" s="166"/>
      <c r="G134" s="166"/>
      <c r="I134" s="160" t="s">
        <v>909</v>
      </c>
      <c r="J134" s="166"/>
      <c r="K134" s="166"/>
      <c r="L134" s="166"/>
      <c r="M134" s="158"/>
      <c r="N134" s="158"/>
      <c r="O134" s="166"/>
      <c r="Q134" s="166"/>
      <c r="R134" s="166"/>
      <c r="S134" s="140">
        <f t="shared" si="42"/>
        <v>0</v>
      </c>
    </row>
    <row r="135" spans="1:19" ht="12.75" customHeight="1">
      <c r="A135" s="154" t="s">
        <v>869</v>
      </c>
      <c r="B135" s="164">
        <f>SUM(B136:B138)</f>
        <v>20030603</v>
      </c>
      <c r="C135" s="166">
        <f>SUM(C136:C138)</f>
        <v>15297167</v>
      </c>
      <c r="D135" s="166">
        <f>SUM(D136:D138)</f>
        <v>15071707.67</v>
      </c>
      <c r="E135" s="149">
        <f aca="true" t="shared" si="79" ref="E135:E141">IF(ISERROR(D135/B135)," ",(D135/B135))*100</f>
        <v>75.24340465436812</v>
      </c>
      <c r="F135" s="149">
        <f aca="true" t="shared" si="80" ref="F135:F141">IF(ISERROR(D135/C135)," ",(D135/C135))*100</f>
        <v>98.52613670230572</v>
      </c>
      <c r="G135" s="166">
        <f>SUM(G136:G138)</f>
        <v>1518245.44</v>
      </c>
      <c r="I135" s="154" t="s">
        <v>869</v>
      </c>
      <c r="J135" s="147">
        <f>J136+J137+J138</f>
        <v>20030</v>
      </c>
      <c r="K135" s="147">
        <f>K136+K137+K138</f>
        <v>15297</v>
      </c>
      <c r="L135" s="147">
        <f>L136+L137+L138</f>
        <v>15072</v>
      </c>
      <c r="M135" s="156">
        <f aca="true" t="shared" si="81" ref="M135:M141">L135/J135*100</f>
        <v>75.24712930604093</v>
      </c>
      <c r="N135" s="156">
        <f aca="true" t="shared" si="82" ref="N135:N141">L135/K135*100</f>
        <v>98.52912335752109</v>
      </c>
      <c r="O135" s="147">
        <f>SUM(O136:O138)</f>
        <v>1519</v>
      </c>
      <c r="Q135" s="147">
        <v>15072</v>
      </c>
      <c r="R135" s="147">
        <v>13553</v>
      </c>
      <c r="S135" s="140">
        <f t="shared" si="42"/>
        <v>1519</v>
      </c>
    </row>
    <row r="136" spans="1:19" ht="12.75" customHeight="1">
      <c r="A136" s="154" t="s">
        <v>870</v>
      </c>
      <c r="B136" s="164">
        <v>17201984</v>
      </c>
      <c r="C136" s="164">
        <v>13122864</v>
      </c>
      <c r="D136" s="164">
        <v>13122864</v>
      </c>
      <c r="E136" s="150">
        <f t="shared" si="79"/>
        <v>76.28692132256373</v>
      </c>
      <c r="F136" s="150">
        <f t="shared" si="80"/>
        <v>100</v>
      </c>
      <c r="G136" s="164">
        <f>D136-'[5]Augusts'!D136</f>
        <v>1304418</v>
      </c>
      <c r="I136" s="154" t="s">
        <v>870</v>
      </c>
      <c r="J136" s="157">
        <f aca="true" t="shared" si="83" ref="J136:L138">ROUND(B136/1000,0)</f>
        <v>17202</v>
      </c>
      <c r="K136" s="157">
        <f t="shared" si="83"/>
        <v>13123</v>
      </c>
      <c r="L136" s="157">
        <f t="shared" si="83"/>
        <v>13123</v>
      </c>
      <c r="M136" s="158">
        <f t="shared" si="81"/>
        <v>76.28764097198</v>
      </c>
      <c r="N136" s="158">
        <f t="shared" si="82"/>
        <v>100</v>
      </c>
      <c r="O136" s="157">
        <f>L136-'[5]Augusts'!L136</f>
        <v>1305</v>
      </c>
      <c r="Q136" s="157">
        <v>13123</v>
      </c>
      <c r="R136" s="157">
        <v>11818</v>
      </c>
      <c r="S136" s="140">
        <f t="shared" si="42"/>
        <v>1305</v>
      </c>
    </row>
    <row r="137" spans="1:19" ht="12.75" customHeight="1">
      <c r="A137" s="154" t="s">
        <v>872</v>
      </c>
      <c r="B137" s="164">
        <v>2567226</v>
      </c>
      <c r="C137" s="164">
        <v>1912910</v>
      </c>
      <c r="D137" s="164">
        <v>1877721.67</v>
      </c>
      <c r="E137" s="150">
        <f t="shared" si="79"/>
        <v>73.14204787580056</v>
      </c>
      <c r="F137" s="150">
        <f t="shared" si="80"/>
        <v>98.16048167451683</v>
      </c>
      <c r="G137" s="164">
        <f>D137-'[5]Augusts'!D137</f>
        <v>213332.43999999994</v>
      </c>
      <c r="I137" s="154" t="s">
        <v>872</v>
      </c>
      <c r="J137" s="157">
        <f t="shared" si="83"/>
        <v>2567</v>
      </c>
      <c r="K137" s="157">
        <f>ROUND(C137/1000,0)</f>
        <v>1913</v>
      </c>
      <c r="L137" s="157">
        <f t="shared" si="83"/>
        <v>1878</v>
      </c>
      <c r="M137" s="158">
        <f t="shared" si="81"/>
        <v>73.15932995714843</v>
      </c>
      <c r="N137" s="158">
        <f t="shared" si="82"/>
        <v>98.170412963931</v>
      </c>
      <c r="O137" s="157">
        <f>L137-'[5]Augusts'!L137</f>
        <v>214</v>
      </c>
      <c r="Q137" s="157">
        <v>1878</v>
      </c>
      <c r="R137" s="157">
        <v>1664</v>
      </c>
      <c r="S137" s="140">
        <f t="shared" si="42"/>
        <v>214</v>
      </c>
    </row>
    <row r="138" spans="1:19" ht="12.75" customHeight="1">
      <c r="A138" s="154" t="s">
        <v>873</v>
      </c>
      <c r="B138" s="164">
        <v>261393</v>
      </c>
      <c r="C138" s="164">
        <v>261393</v>
      </c>
      <c r="D138" s="164">
        <v>71122</v>
      </c>
      <c r="E138" s="150">
        <f t="shared" si="79"/>
        <v>27.208838798284575</v>
      </c>
      <c r="F138" s="150">
        <f t="shared" si="80"/>
        <v>27.208838798284575</v>
      </c>
      <c r="G138" s="164">
        <f>D138-'[5]Augusts'!D138</f>
        <v>495</v>
      </c>
      <c r="I138" s="154" t="s">
        <v>873</v>
      </c>
      <c r="J138" s="157">
        <f t="shared" si="83"/>
        <v>261</v>
      </c>
      <c r="K138" s="157">
        <f t="shared" si="83"/>
        <v>261</v>
      </c>
      <c r="L138" s="157">
        <f t="shared" si="83"/>
        <v>71</v>
      </c>
      <c r="M138" s="158">
        <f t="shared" si="81"/>
        <v>27.203065134099617</v>
      </c>
      <c r="N138" s="158">
        <f t="shared" si="82"/>
        <v>27.203065134099617</v>
      </c>
      <c r="O138" s="157">
        <f>L138-'[5]Augusts'!L138</f>
        <v>0</v>
      </c>
      <c r="Q138" s="157">
        <v>71</v>
      </c>
      <c r="R138" s="157">
        <v>71</v>
      </c>
      <c r="S138" s="140">
        <f aca="true" t="shared" si="84" ref="S138:S201">Q138-R138</f>
        <v>0</v>
      </c>
    </row>
    <row r="139" spans="1:19" ht="12.75" customHeight="1">
      <c r="A139" s="160" t="s">
        <v>874</v>
      </c>
      <c r="B139" s="166">
        <f>SUM(B140:B141)</f>
        <v>20115989</v>
      </c>
      <c r="C139" s="166">
        <f>SUM(C140:C141)</f>
        <v>15360879</v>
      </c>
      <c r="D139" s="166">
        <f>SUM(D140:D141)</f>
        <v>14755261.139999999</v>
      </c>
      <c r="E139" s="150">
        <f t="shared" si="79"/>
        <v>73.3509107605895</v>
      </c>
      <c r="F139" s="150">
        <f t="shared" si="80"/>
        <v>96.05740101201239</v>
      </c>
      <c r="G139" s="166">
        <f>SUM(G140:G141)</f>
        <v>1585938.2899999986</v>
      </c>
      <c r="I139" s="160" t="s">
        <v>874</v>
      </c>
      <c r="J139" s="147">
        <f>J140+J141</f>
        <v>20116</v>
      </c>
      <c r="K139" s="147">
        <f>K140+K141</f>
        <v>15362</v>
      </c>
      <c r="L139" s="147">
        <f>L140+L141</f>
        <v>14755</v>
      </c>
      <c r="M139" s="156">
        <f t="shared" si="81"/>
        <v>73.34957247961822</v>
      </c>
      <c r="N139" s="156">
        <f t="shared" si="82"/>
        <v>96.04869157661763</v>
      </c>
      <c r="O139" s="147">
        <f>SUM(O140:O141)</f>
        <v>1586</v>
      </c>
      <c r="Q139" s="147">
        <v>14755</v>
      </c>
      <c r="R139" s="147">
        <v>13169</v>
      </c>
      <c r="S139" s="140">
        <f t="shared" si="84"/>
        <v>1586</v>
      </c>
    </row>
    <row r="140" spans="1:19" ht="12.75" customHeight="1">
      <c r="A140" s="162" t="s">
        <v>875</v>
      </c>
      <c r="B140" s="164">
        <v>19531258</v>
      </c>
      <c r="C140" s="164">
        <v>14844548</v>
      </c>
      <c r="D140" s="164">
        <v>14312304.7</v>
      </c>
      <c r="E140" s="150">
        <f t="shared" si="79"/>
        <v>73.27897004893387</v>
      </c>
      <c r="F140" s="150">
        <f t="shared" si="80"/>
        <v>96.41455367990996</v>
      </c>
      <c r="G140" s="164">
        <f>D140-'[5]Augusts'!D140</f>
        <v>1507941.4799999986</v>
      </c>
      <c r="I140" s="162" t="s">
        <v>875</v>
      </c>
      <c r="J140" s="157">
        <f aca="true" t="shared" si="85" ref="J140:L141">ROUND(B140/1000,0)</f>
        <v>19531</v>
      </c>
      <c r="K140" s="157">
        <f>ROUND(C140/1000,0)</f>
        <v>14845</v>
      </c>
      <c r="L140" s="157">
        <f t="shared" si="85"/>
        <v>14312</v>
      </c>
      <c r="M140" s="158">
        <f t="shared" si="81"/>
        <v>73.27837796323793</v>
      </c>
      <c r="N140" s="158">
        <f t="shared" si="82"/>
        <v>96.40956551027283</v>
      </c>
      <c r="O140" s="157">
        <f>L140-'[5]Augusts'!L140</f>
        <v>1508</v>
      </c>
      <c r="Q140" s="157">
        <v>14312</v>
      </c>
      <c r="R140" s="157">
        <v>12804</v>
      </c>
      <c r="S140" s="140">
        <f t="shared" si="84"/>
        <v>1508</v>
      </c>
    </row>
    <row r="141" spans="1:19" ht="12.75" customHeight="1">
      <c r="A141" s="162" t="s">
        <v>876</v>
      </c>
      <c r="B141" s="164">
        <v>584731</v>
      </c>
      <c r="C141" s="164">
        <v>516331</v>
      </c>
      <c r="D141" s="164">
        <v>442956.44</v>
      </c>
      <c r="E141" s="150">
        <f t="shared" si="79"/>
        <v>75.75388340963623</v>
      </c>
      <c r="F141" s="150">
        <f t="shared" si="80"/>
        <v>85.78923984808195</v>
      </c>
      <c r="G141" s="164">
        <f>D141-'[5]Augusts'!D141</f>
        <v>77996.81</v>
      </c>
      <c r="I141" s="162" t="s">
        <v>876</v>
      </c>
      <c r="J141" s="157">
        <f t="shared" si="85"/>
        <v>585</v>
      </c>
      <c r="K141" s="157">
        <f>ROUND(C141/1000,0)+1</f>
        <v>517</v>
      </c>
      <c r="L141" s="157">
        <f t="shared" si="85"/>
        <v>443</v>
      </c>
      <c r="M141" s="158">
        <f t="shared" si="81"/>
        <v>75.72649572649573</v>
      </c>
      <c r="N141" s="158">
        <f t="shared" si="82"/>
        <v>85.68665377176016</v>
      </c>
      <c r="O141" s="157">
        <f>L141-'[5]Augusts'!L141</f>
        <v>78</v>
      </c>
      <c r="Q141" s="157">
        <v>443</v>
      </c>
      <c r="R141" s="157">
        <v>365</v>
      </c>
      <c r="S141" s="140">
        <f t="shared" si="84"/>
        <v>78</v>
      </c>
    </row>
    <row r="142" spans="1:19" ht="12.75" customHeight="1">
      <c r="A142" s="160" t="s">
        <v>910</v>
      </c>
      <c r="B142" s="164"/>
      <c r="C142" s="164"/>
      <c r="D142" s="164"/>
      <c r="E142" s="164"/>
      <c r="F142" s="164"/>
      <c r="G142" s="164"/>
      <c r="I142" s="160" t="s">
        <v>911</v>
      </c>
      <c r="J142" s="164"/>
      <c r="K142" s="164"/>
      <c r="L142" s="164"/>
      <c r="M142" s="158"/>
      <c r="N142" s="158"/>
      <c r="O142" s="164"/>
      <c r="Q142" s="164"/>
      <c r="R142" s="164"/>
      <c r="S142" s="140">
        <f t="shared" si="84"/>
        <v>0</v>
      </c>
    </row>
    <row r="143" spans="1:19" ht="12.75" customHeight="1">
      <c r="A143" s="154" t="s">
        <v>869</v>
      </c>
      <c r="B143" s="164">
        <f>SUM(B144:B145)</f>
        <v>13996875</v>
      </c>
      <c r="C143" s="166">
        <f>SUM(C144:C145)</f>
        <v>10534105</v>
      </c>
      <c r="D143" s="166">
        <f>SUM(D144:D145)</f>
        <v>10092455.09</v>
      </c>
      <c r="E143" s="149">
        <f aca="true" t="shared" si="86" ref="E143:E148">IF(ISERROR(D143/B143)," ",(D143/B143))*100</f>
        <v>72.10505980799286</v>
      </c>
      <c r="F143" s="149">
        <f aca="true" t="shared" si="87" ref="F143:F148">IF(ISERROR(D143/C143)," ",(D143/C143))*100</f>
        <v>95.80742825327829</v>
      </c>
      <c r="G143" s="166">
        <f>SUM(G144:G145)</f>
        <v>1138427.1399999997</v>
      </c>
      <c r="I143" s="154" t="s">
        <v>869</v>
      </c>
      <c r="J143" s="147">
        <f>J144+J145</f>
        <v>13997</v>
      </c>
      <c r="K143" s="147">
        <f>K144+K145</f>
        <v>10534</v>
      </c>
      <c r="L143" s="147">
        <f>L144+L145</f>
        <v>10093</v>
      </c>
      <c r="M143" s="156">
        <f aca="true" t="shared" si="88" ref="M143:M148">L143/J143*100</f>
        <v>72.10830892334072</v>
      </c>
      <c r="N143" s="156">
        <f aca="true" t="shared" si="89" ref="N143:N148">L143/K143*100</f>
        <v>95.81355610404405</v>
      </c>
      <c r="O143" s="147">
        <f>SUM(O144:O145)</f>
        <v>1139</v>
      </c>
      <c r="Q143" s="147">
        <v>10093</v>
      </c>
      <c r="R143" s="147">
        <v>8954</v>
      </c>
      <c r="S143" s="140">
        <f t="shared" si="84"/>
        <v>1139</v>
      </c>
    </row>
    <row r="144" spans="1:19" ht="12.75" customHeight="1">
      <c r="A144" s="154" t="s">
        <v>870</v>
      </c>
      <c r="B144" s="164">
        <v>5506527</v>
      </c>
      <c r="C144" s="164">
        <v>4040722</v>
      </c>
      <c r="D144" s="164">
        <v>4040722</v>
      </c>
      <c r="E144" s="150">
        <f t="shared" si="86"/>
        <v>73.38058997985482</v>
      </c>
      <c r="F144" s="150">
        <f t="shared" si="87"/>
        <v>100</v>
      </c>
      <c r="G144" s="164">
        <f>D144-'[5]Augusts'!D144</f>
        <v>473011</v>
      </c>
      <c r="I144" s="154" t="s">
        <v>870</v>
      </c>
      <c r="J144" s="157">
        <v>5507</v>
      </c>
      <c r="K144" s="157">
        <f>ROUND(C144/1000,0)</f>
        <v>4041</v>
      </c>
      <c r="L144" s="157">
        <f>ROUND(D144/1000,0)</f>
        <v>4041</v>
      </c>
      <c r="M144" s="158">
        <f t="shared" si="88"/>
        <v>73.37933539132013</v>
      </c>
      <c r="N144" s="158">
        <f t="shared" si="89"/>
        <v>100</v>
      </c>
      <c r="O144" s="157">
        <f>L144-'[5]Augusts'!L144</f>
        <v>473</v>
      </c>
      <c r="Q144" s="157">
        <v>4041</v>
      </c>
      <c r="R144" s="157">
        <v>3568</v>
      </c>
      <c r="S144" s="140">
        <f t="shared" si="84"/>
        <v>473</v>
      </c>
    </row>
    <row r="145" spans="1:19" ht="12.75" customHeight="1">
      <c r="A145" s="154" t="s">
        <v>872</v>
      </c>
      <c r="B145" s="164">
        <v>8490348</v>
      </c>
      <c r="C145" s="164">
        <v>6493383</v>
      </c>
      <c r="D145" s="164">
        <v>6051733.09</v>
      </c>
      <c r="E145" s="150">
        <f t="shared" si="86"/>
        <v>71.27779791829498</v>
      </c>
      <c r="F145" s="150">
        <f t="shared" si="87"/>
        <v>93.19846203435097</v>
      </c>
      <c r="G145" s="164">
        <f>D145-'[5]Augusts'!D145</f>
        <v>665416.1399999997</v>
      </c>
      <c r="I145" s="154" t="s">
        <v>872</v>
      </c>
      <c r="J145" s="157">
        <f>ROUND(B145/1000,0)</f>
        <v>8490</v>
      </c>
      <c r="K145" s="157">
        <f>ROUND(C145/1000,0)</f>
        <v>6493</v>
      </c>
      <c r="L145" s="157">
        <f>ROUND(D145/1000,0)</f>
        <v>6052</v>
      </c>
      <c r="M145" s="158">
        <f t="shared" si="88"/>
        <v>71.28386336866902</v>
      </c>
      <c r="N145" s="158">
        <f t="shared" si="89"/>
        <v>93.2080702294779</v>
      </c>
      <c r="O145" s="157">
        <f>L145-'[5]Augusts'!L145</f>
        <v>666</v>
      </c>
      <c r="Q145" s="157">
        <v>6052</v>
      </c>
      <c r="R145" s="157">
        <v>5386</v>
      </c>
      <c r="S145" s="140">
        <f t="shared" si="84"/>
        <v>666</v>
      </c>
    </row>
    <row r="146" spans="1:19" ht="12.75" customHeight="1">
      <c r="A146" s="160" t="s">
        <v>874</v>
      </c>
      <c r="B146" s="166">
        <f>SUM(B147:B148)</f>
        <v>13996875</v>
      </c>
      <c r="C146" s="166">
        <f>SUM(C147:C148)</f>
        <v>10534105</v>
      </c>
      <c r="D146" s="166">
        <f>SUM(D147:D148)</f>
        <v>9921885.120000001</v>
      </c>
      <c r="E146" s="150">
        <f t="shared" si="86"/>
        <v>70.88643086403216</v>
      </c>
      <c r="F146" s="150">
        <f t="shared" si="87"/>
        <v>94.18821171803395</v>
      </c>
      <c r="G146" s="166">
        <f>SUM(G147:G148)</f>
        <v>1035844.3100000012</v>
      </c>
      <c r="I146" s="160" t="s">
        <v>874</v>
      </c>
      <c r="J146" s="147">
        <f>J147+J148</f>
        <v>13997</v>
      </c>
      <c r="K146" s="147">
        <f>K147+K148</f>
        <v>10534</v>
      </c>
      <c r="L146" s="147">
        <f>L147+L148</f>
        <v>9922</v>
      </c>
      <c r="M146" s="156">
        <f t="shared" si="88"/>
        <v>70.88661856112024</v>
      </c>
      <c r="N146" s="156">
        <f t="shared" si="89"/>
        <v>94.19024112397949</v>
      </c>
      <c r="O146" s="147">
        <f>SUM(O147:O148)</f>
        <v>1036</v>
      </c>
      <c r="Q146" s="147">
        <v>9922</v>
      </c>
      <c r="R146" s="147">
        <v>8886</v>
      </c>
      <c r="S146" s="140">
        <f t="shared" si="84"/>
        <v>1036</v>
      </c>
    </row>
    <row r="147" spans="1:19" ht="12.75" customHeight="1">
      <c r="A147" s="162" t="s">
        <v>875</v>
      </c>
      <c r="B147" s="164">
        <v>13408475</v>
      </c>
      <c r="C147" s="164">
        <v>10054278</v>
      </c>
      <c r="D147" s="164">
        <v>9513890.23</v>
      </c>
      <c r="E147" s="150">
        <f t="shared" si="86"/>
        <v>70.95430487061356</v>
      </c>
      <c r="F147" s="150">
        <f t="shared" si="87"/>
        <v>94.62529512313067</v>
      </c>
      <c r="G147" s="164">
        <f>D147-'[5]Augusts'!D147</f>
        <v>983736.2800000012</v>
      </c>
      <c r="I147" s="162" t="s">
        <v>875</v>
      </c>
      <c r="J147" s="157">
        <f>ROUND(B147/1000,0)+1</f>
        <v>13409</v>
      </c>
      <c r="K147" s="157">
        <f aca="true" t="shared" si="90" ref="J147:L148">ROUND(C147/1000,0)</f>
        <v>10054</v>
      </c>
      <c r="L147" s="157">
        <f t="shared" si="90"/>
        <v>9514</v>
      </c>
      <c r="M147" s="158">
        <f t="shared" si="88"/>
        <v>70.95234543963011</v>
      </c>
      <c r="N147" s="158">
        <f t="shared" si="89"/>
        <v>94.62900338173861</v>
      </c>
      <c r="O147" s="157">
        <f>L147-'[5]Augusts'!L147</f>
        <v>984</v>
      </c>
      <c r="Q147" s="157">
        <v>9514</v>
      </c>
      <c r="R147" s="157">
        <v>8530</v>
      </c>
      <c r="S147" s="140">
        <f t="shared" si="84"/>
        <v>984</v>
      </c>
    </row>
    <row r="148" spans="1:19" ht="12.75" customHeight="1">
      <c r="A148" s="162" t="s">
        <v>876</v>
      </c>
      <c r="B148" s="164">
        <v>588400</v>
      </c>
      <c r="C148" s="164">
        <v>479827</v>
      </c>
      <c r="D148" s="164">
        <v>407994.89</v>
      </c>
      <c r="E148" s="150">
        <f t="shared" si="86"/>
        <v>69.33971617946975</v>
      </c>
      <c r="F148" s="150">
        <f t="shared" si="87"/>
        <v>85.02958149499716</v>
      </c>
      <c r="G148" s="164">
        <f>D148-'[5]Augusts'!D148</f>
        <v>52108.03000000003</v>
      </c>
      <c r="I148" s="162" t="s">
        <v>876</v>
      </c>
      <c r="J148" s="157">
        <f t="shared" si="90"/>
        <v>588</v>
      </c>
      <c r="K148" s="157">
        <f>ROUND(C148/1000,0)</f>
        <v>480</v>
      </c>
      <c r="L148" s="157">
        <f t="shared" si="90"/>
        <v>408</v>
      </c>
      <c r="M148" s="158">
        <f t="shared" si="88"/>
        <v>69.38775510204081</v>
      </c>
      <c r="N148" s="158">
        <f t="shared" si="89"/>
        <v>85</v>
      </c>
      <c r="O148" s="157">
        <f>L148-'[5]Augusts'!L148</f>
        <v>52</v>
      </c>
      <c r="Q148" s="157">
        <v>408</v>
      </c>
      <c r="R148" s="157">
        <v>356</v>
      </c>
      <c r="S148" s="140">
        <f t="shared" si="84"/>
        <v>52</v>
      </c>
    </row>
    <row r="149" spans="1:19" ht="12.75" customHeight="1">
      <c r="A149" s="160" t="s">
        <v>912</v>
      </c>
      <c r="B149" s="164"/>
      <c r="C149" s="164"/>
      <c r="D149" s="164"/>
      <c r="E149" s="164"/>
      <c r="F149" s="164"/>
      <c r="G149" s="164"/>
      <c r="I149" s="160" t="s">
        <v>913</v>
      </c>
      <c r="J149" s="164"/>
      <c r="K149" s="164"/>
      <c r="L149" s="164"/>
      <c r="M149" s="158"/>
      <c r="N149" s="158"/>
      <c r="O149" s="164"/>
      <c r="Q149" s="164"/>
      <c r="R149" s="164"/>
      <c r="S149" s="140">
        <f t="shared" si="84"/>
        <v>0</v>
      </c>
    </row>
    <row r="150" spans="1:19" ht="12.75" customHeight="1">
      <c r="A150" s="154" t="s">
        <v>869</v>
      </c>
      <c r="B150" s="164">
        <f>SUM(B151:B153)</f>
        <v>1500393</v>
      </c>
      <c r="C150" s="166">
        <f>SUM(C151:C153)</f>
        <v>999269</v>
      </c>
      <c r="D150" s="166">
        <f>SUM(D151:D153)</f>
        <v>902226.53</v>
      </c>
      <c r="E150" s="149">
        <f>IF(ISERROR(D150/B150)," ",(D150/B150))*100</f>
        <v>60.13268057102372</v>
      </c>
      <c r="F150" s="149">
        <f>IF(ISERROR(D150/C150)," ",(D150/C150))*100</f>
        <v>90.28865400607845</v>
      </c>
      <c r="G150" s="166">
        <f>SUM(G151:G153)</f>
        <v>115442.86</v>
      </c>
      <c r="I150" s="154" t="s">
        <v>869</v>
      </c>
      <c r="J150" s="147">
        <f>J151+J152+J153</f>
        <v>1501</v>
      </c>
      <c r="K150" s="147">
        <f>K151+K152+K153</f>
        <v>1000</v>
      </c>
      <c r="L150" s="147">
        <f>L151+L152+L153</f>
        <v>902</v>
      </c>
      <c r="M150" s="156">
        <f>L150/J150*100</f>
        <v>60.09327115256495</v>
      </c>
      <c r="N150" s="156">
        <f>L150/K150*100</f>
        <v>90.2</v>
      </c>
      <c r="O150" s="147">
        <f>SUM(O151:O153)</f>
        <v>115</v>
      </c>
      <c r="Q150" s="147">
        <v>902</v>
      </c>
      <c r="R150" s="147">
        <v>787</v>
      </c>
      <c r="S150" s="140">
        <f t="shared" si="84"/>
        <v>115</v>
      </c>
    </row>
    <row r="151" spans="1:19" ht="12.75" customHeight="1">
      <c r="A151" s="154" t="s">
        <v>870</v>
      </c>
      <c r="B151" s="164">
        <v>1219343</v>
      </c>
      <c r="C151" s="164">
        <v>899844</v>
      </c>
      <c r="D151" s="164">
        <v>899844</v>
      </c>
      <c r="E151" s="150">
        <f>IF(ISERROR(D151/B151)," ",(D151/B151))*100</f>
        <v>73.7974466577493</v>
      </c>
      <c r="F151" s="150">
        <f>IF(ISERROR(D151/C151)," ",(D151/C151))*100</f>
        <v>100</v>
      </c>
      <c r="G151" s="164">
        <f>D151-'[5]Augusts'!D151</f>
        <v>113336</v>
      </c>
      <c r="I151" s="154" t="s">
        <v>870</v>
      </c>
      <c r="J151" s="157">
        <f aca="true" t="shared" si="91" ref="J151:L152">ROUND(B151/1000,0)</f>
        <v>1219</v>
      </c>
      <c r="K151" s="157">
        <f t="shared" si="91"/>
        <v>900</v>
      </c>
      <c r="L151" s="157">
        <f t="shared" si="91"/>
        <v>900</v>
      </c>
      <c r="M151" s="158">
        <f>L151/J151*100</f>
        <v>73.83100902378999</v>
      </c>
      <c r="N151" s="158">
        <f>L151/K151*100</f>
        <v>100</v>
      </c>
      <c r="O151" s="157">
        <f>L151-'[5]Augusts'!L151</f>
        <v>113</v>
      </c>
      <c r="Q151" s="157">
        <v>900</v>
      </c>
      <c r="R151" s="157">
        <v>787</v>
      </c>
      <c r="S151" s="140">
        <f t="shared" si="84"/>
        <v>113</v>
      </c>
    </row>
    <row r="152" spans="1:19" ht="12.75" customHeight="1">
      <c r="A152" s="154" t="s">
        <v>872</v>
      </c>
      <c r="B152" s="164">
        <v>800</v>
      </c>
      <c r="C152" s="164">
        <v>600</v>
      </c>
      <c r="D152" s="164">
        <v>2382.53</v>
      </c>
      <c r="E152" s="150">
        <f>IF(ISERROR(D152/B152)," ",(D152/B152))*100</f>
        <v>297.81625</v>
      </c>
      <c r="F152" s="150">
        <f>IF(ISERROR(D152/C152)," ",(D152/C152))*100</f>
        <v>397.08833333333337</v>
      </c>
      <c r="G152" s="164">
        <f>D152-'[5]Augusts'!D152</f>
        <v>2106.86</v>
      </c>
      <c r="I152" s="154" t="s">
        <v>872</v>
      </c>
      <c r="J152" s="157">
        <f t="shared" si="91"/>
        <v>1</v>
      </c>
      <c r="K152" s="157">
        <f t="shared" si="91"/>
        <v>1</v>
      </c>
      <c r="L152" s="157">
        <f t="shared" si="91"/>
        <v>2</v>
      </c>
      <c r="M152" s="158">
        <f>L152/J152*100</f>
        <v>200</v>
      </c>
      <c r="N152" s="158">
        <f>L152/K152*100</f>
        <v>200</v>
      </c>
      <c r="O152" s="157">
        <f>L152-'[5]Augusts'!L152</f>
        <v>2</v>
      </c>
      <c r="Q152" s="157">
        <v>2</v>
      </c>
      <c r="R152" s="157"/>
      <c r="S152" s="140">
        <f t="shared" si="84"/>
        <v>2</v>
      </c>
    </row>
    <row r="153" spans="1:19" ht="12.75" customHeight="1">
      <c r="A153" s="154" t="s">
        <v>873</v>
      </c>
      <c r="B153" s="164">
        <v>280250</v>
      </c>
      <c r="C153" s="164">
        <v>98825</v>
      </c>
      <c r="D153" s="164"/>
      <c r="E153" s="150"/>
      <c r="F153" s="164"/>
      <c r="G153" s="164"/>
      <c r="I153" s="154" t="s">
        <v>873</v>
      </c>
      <c r="J153" s="157">
        <f>ROUND(B153/1000,0)+1</f>
        <v>281</v>
      </c>
      <c r="K153" s="157">
        <f>ROUND(C153/1000,0)</f>
        <v>99</v>
      </c>
      <c r="L153" s="157"/>
      <c r="M153" s="158"/>
      <c r="N153" s="158"/>
      <c r="O153" s="157"/>
      <c r="Q153" s="157"/>
      <c r="R153" s="157"/>
      <c r="S153" s="140">
        <f t="shared" si="84"/>
        <v>0</v>
      </c>
    </row>
    <row r="154" spans="1:19" ht="12.75" customHeight="1">
      <c r="A154" s="160" t="s">
        <v>874</v>
      </c>
      <c r="B154" s="166">
        <f>SUM(B155:B156)</f>
        <v>1500393</v>
      </c>
      <c r="C154" s="166">
        <f>SUM(C155:C156)</f>
        <v>999269</v>
      </c>
      <c r="D154" s="166">
        <f>SUM(D155:D156)</f>
        <v>875012.36</v>
      </c>
      <c r="E154" s="150">
        <f>IF(ISERROR(D154/B154)," ",(D154/B154))*100</f>
        <v>58.31887778735304</v>
      </c>
      <c r="F154" s="150">
        <f>IF(ISERROR(D154/C154)," ",(D154/C154))*100</f>
        <v>87.56524619496851</v>
      </c>
      <c r="G154" s="166">
        <f>SUM(G155:G156)</f>
        <v>107062.12</v>
      </c>
      <c r="I154" s="160" t="s">
        <v>874</v>
      </c>
      <c r="J154" s="147">
        <f>J155+J156</f>
        <v>1501</v>
      </c>
      <c r="K154" s="147">
        <f>K155+K156</f>
        <v>999</v>
      </c>
      <c r="L154" s="147">
        <f>L155+L156</f>
        <v>875</v>
      </c>
      <c r="M154" s="156">
        <f>L154/J154*100</f>
        <v>58.294470353097935</v>
      </c>
      <c r="N154" s="156">
        <f>L154/K154*100</f>
        <v>87.58758758758759</v>
      </c>
      <c r="O154" s="147">
        <f>SUM(O155:O156)</f>
        <v>107</v>
      </c>
      <c r="Q154" s="147">
        <v>875</v>
      </c>
      <c r="R154" s="147">
        <v>768</v>
      </c>
      <c r="S154" s="140">
        <f t="shared" si="84"/>
        <v>107</v>
      </c>
    </row>
    <row r="155" spans="1:19" ht="12.75" customHeight="1">
      <c r="A155" s="162" t="s">
        <v>875</v>
      </c>
      <c r="B155" s="164">
        <v>1343893</v>
      </c>
      <c r="C155" s="164">
        <v>939144</v>
      </c>
      <c r="D155" s="164">
        <v>861764.54</v>
      </c>
      <c r="E155" s="150">
        <f>IF(ISERROR(D155/B155)," ",(D155/B155))*100</f>
        <v>64.12449056584119</v>
      </c>
      <c r="F155" s="150">
        <f>IF(ISERROR(D155/C155)," ",(D155/C155))*100</f>
        <v>91.76063947594831</v>
      </c>
      <c r="G155" s="164">
        <f>D155-'[5]Augusts'!D155</f>
        <v>100497.12</v>
      </c>
      <c r="I155" s="162" t="s">
        <v>875</v>
      </c>
      <c r="J155" s="157">
        <f aca="true" t="shared" si="92" ref="J155:L156">ROUND(B155/1000,0)</f>
        <v>1344</v>
      </c>
      <c r="K155" s="157">
        <f t="shared" si="92"/>
        <v>939</v>
      </c>
      <c r="L155" s="157">
        <f t="shared" si="92"/>
        <v>862</v>
      </c>
      <c r="M155" s="158">
        <f>L155/J155*100</f>
        <v>64.13690476190477</v>
      </c>
      <c r="N155" s="158">
        <f>L155/K155*100</f>
        <v>91.79978700745474</v>
      </c>
      <c r="O155" s="157">
        <f>L155-'[5]Augusts'!L155</f>
        <v>101</v>
      </c>
      <c r="Q155" s="157">
        <v>862</v>
      </c>
      <c r="R155" s="157">
        <v>761</v>
      </c>
      <c r="S155" s="140">
        <f t="shared" si="84"/>
        <v>101</v>
      </c>
    </row>
    <row r="156" spans="1:19" ht="12.75" customHeight="1">
      <c r="A156" s="162" t="s">
        <v>876</v>
      </c>
      <c r="B156" s="164">
        <v>156500</v>
      </c>
      <c r="C156" s="164">
        <v>60125</v>
      </c>
      <c r="D156" s="164">
        <v>13247.82</v>
      </c>
      <c r="E156" s="150">
        <f>IF(ISERROR(D156/B156)," ",(D156/B156))*100</f>
        <v>8.465060702875398</v>
      </c>
      <c r="F156" s="150">
        <f>IF(ISERROR(D156/C156)," ",(D156/C156))*100</f>
        <v>22.033796257796258</v>
      </c>
      <c r="G156" s="164">
        <f>D156-'[5]Augusts'!D156</f>
        <v>6565</v>
      </c>
      <c r="I156" s="162" t="s">
        <v>876</v>
      </c>
      <c r="J156" s="157">
        <f>ROUND(B156/1000,0)</f>
        <v>157</v>
      </c>
      <c r="K156" s="157">
        <f t="shared" si="92"/>
        <v>60</v>
      </c>
      <c r="L156" s="157">
        <f t="shared" si="92"/>
        <v>13</v>
      </c>
      <c r="M156" s="158">
        <f>L156/J156*100</f>
        <v>8.280254777070063</v>
      </c>
      <c r="N156" s="158">
        <f>L156/K156*100</f>
        <v>21.666666666666668</v>
      </c>
      <c r="O156" s="157">
        <f>L156-'[5]Augusts'!L156</f>
        <v>6</v>
      </c>
      <c r="Q156" s="157">
        <v>13</v>
      </c>
      <c r="R156" s="157">
        <v>7</v>
      </c>
      <c r="S156" s="140">
        <f t="shared" si="84"/>
        <v>6</v>
      </c>
    </row>
    <row r="157" spans="1:19" ht="12.75" customHeight="1">
      <c r="A157" s="160" t="s">
        <v>914</v>
      </c>
      <c r="B157" s="166"/>
      <c r="C157" s="166"/>
      <c r="D157" s="166"/>
      <c r="E157" s="166"/>
      <c r="F157" s="166"/>
      <c r="G157" s="166"/>
      <c r="I157" s="160" t="s">
        <v>915</v>
      </c>
      <c r="J157" s="166"/>
      <c r="K157" s="166"/>
      <c r="L157" s="166"/>
      <c r="M157" s="158"/>
      <c r="N157" s="158"/>
      <c r="O157" s="166"/>
      <c r="Q157" s="166"/>
      <c r="R157" s="166"/>
      <c r="S157" s="140">
        <f t="shared" si="84"/>
        <v>0</v>
      </c>
    </row>
    <row r="158" spans="1:19" ht="12.75" customHeight="1">
      <c r="A158" s="154" t="s">
        <v>869</v>
      </c>
      <c r="B158" s="164">
        <f>SUM(B159)</f>
        <v>737898</v>
      </c>
      <c r="C158" s="166">
        <f>SUM(C159)</f>
        <v>554011</v>
      </c>
      <c r="D158" s="166">
        <f>SUM(D159:D160)</f>
        <v>554023.26</v>
      </c>
      <c r="E158" s="149">
        <f>IF(ISERROR(D158/B158)," ",(D158/B158))*100</f>
        <v>75.08127952643862</v>
      </c>
      <c r="F158" s="149">
        <f>IF(ISERROR(D158/C158)," ",(D158/C158))*100</f>
        <v>100.00221295245039</v>
      </c>
      <c r="G158" s="166">
        <f>SUM(G159:G160)</f>
        <v>63385</v>
      </c>
      <c r="I158" s="154" t="s">
        <v>869</v>
      </c>
      <c r="J158" s="147">
        <f>J159</f>
        <v>738</v>
      </c>
      <c r="K158" s="147">
        <f>K159</f>
        <v>554</v>
      </c>
      <c r="L158" s="147">
        <f>L159</f>
        <v>554</v>
      </c>
      <c r="M158" s="156">
        <f>L158/J158*100</f>
        <v>75.06775067750678</v>
      </c>
      <c r="N158" s="156">
        <f>L158/K158*100</f>
        <v>100</v>
      </c>
      <c r="O158" s="157">
        <f>SUM(O159:O160)</f>
        <v>63</v>
      </c>
      <c r="Q158" s="147">
        <v>554</v>
      </c>
      <c r="R158" s="147">
        <v>491</v>
      </c>
      <c r="S158" s="140">
        <f t="shared" si="84"/>
        <v>63</v>
      </c>
    </row>
    <row r="159" spans="1:19" ht="11.25" customHeight="1">
      <c r="A159" s="154" t="s">
        <v>870</v>
      </c>
      <c r="B159" s="164">
        <v>737898</v>
      </c>
      <c r="C159" s="164">
        <v>554011</v>
      </c>
      <c r="D159" s="164">
        <v>554011</v>
      </c>
      <c r="E159" s="150">
        <f>IF(ISERROR(D159/B159)," ",(D159/B159))*100</f>
        <v>75.07961805019121</v>
      </c>
      <c r="F159" s="150">
        <f>IF(ISERROR(D159/C159)," ",(D159/C159))*100</f>
        <v>100</v>
      </c>
      <c r="G159" s="164">
        <f>D159-'[5]Augusts'!D159</f>
        <v>63385</v>
      </c>
      <c r="I159" s="154" t="s">
        <v>870</v>
      </c>
      <c r="J159" s="157">
        <f>ROUND(B159/1000,0)</f>
        <v>738</v>
      </c>
      <c r="K159" s="157">
        <f>ROUND(C159/1000,0)</f>
        <v>554</v>
      </c>
      <c r="L159" s="157">
        <f>ROUND(D159/1000,0)</f>
        <v>554</v>
      </c>
      <c r="M159" s="158">
        <f>L159/J159*100</f>
        <v>75.06775067750678</v>
      </c>
      <c r="N159" s="158">
        <f>L159/K159*100</f>
        <v>100</v>
      </c>
      <c r="O159" s="157">
        <f>L159-'[5]Augusts'!L159</f>
        <v>63</v>
      </c>
      <c r="Q159" s="157">
        <v>554</v>
      </c>
      <c r="R159" s="157">
        <v>491</v>
      </c>
      <c r="S159" s="140">
        <f t="shared" si="84"/>
        <v>63</v>
      </c>
    </row>
    <row r="160" spans="1:19" ht="12" hidden="1">
      <c r="A160" s="154" t="s">
        <v>872</v>
      </c>
      <c r="B160" s="164"/>
      <c r="C160" s="164"/>
      <c r="D160" s="164">
        <v>12.26</v>
      </c>
      <c r="E160" s="150"/>
      <c r="F160" s="150"/>
      <c r="G160" s="164">
        <f>D160-'[5]Jūlijs'!D160</f>
        <v>0</v>
      </c>
      <c r="I160" s="154"/>
      <c r="J160" s="157"/>
      <c r="K160" s="157"/>
      <c r="L160" s="157"/>
      <c r="M160" s="158"/>
      <c r="N160" s="158"/>
      <c r="O160" s="157">
        <f>L160-'[5]Jūlijs'!L160</f>
        <v>0</v>
      </c>
      <c r="Q160" s="157"/>
      <c r="R160" s="157"/>
      <c r="S160" s="140">
        <f t="shared" si="84"/>
        <v>0</v>
      </c>
    </row>
    <row r="161" spans="1:30" ht="12.75" customHeight="1">
      <c r="A161" s="160" t="s">
        <v>874</v>
      </c>
      <c r="B161" s="166">
        <f>SUM(B162)</f>
        <v>737898</v>
      </c>
      <c r="C161" s="166">
        <f>SUM(C162)</f>
        <v>554011</v>
      </c>
      <c r="D161" s="166">
        <f>SUM(D162)</f>
        <v>550985.58</v>
      </c>
      <c r="E161" s="150">
        <f>IF(ISERROR(D161/B161)," ",(D161/B161))*100</f>
        <v>74.66961287332396</v>
      </c>
      <c r="F161" s="150">
        <f>IF(ISERROR(D161/C161)," ",(D161/C161))*100</f>
        <v>99.45390614987788</v>
      </c>
      <c r="G161" s="166">
        <f>SUM(G162)</f>
        <v>60387.609999999986</v>
      </c>
      <c r="H161" s="168"/>
      <c r="I161" s="160" t="s">
        <v>874</v>
      </c>
      <c r="J161" s="147">
        <f>J162+J163</f>
        <v>738</v>
      </c>
      <c r="K161" s="147">
        <f>K162</f>
        <v>554</v>
      </c>
      <c r="L161" s="147">
        <f>L162</f>
        <v>551</v>
      </c>
      <c r="M161" s="156">
        <f>L161/J161*100</f>
        <v>74.66124661246613</v>
      </c>
      <c r="N161" s="156">
        <f>L161/K161*100</f>
        <v>99.45848375451264</v>
      </c>
      <c r="O161" s="147">
        <f>SUM(O162)</f>
        <v>60</v>
      </c>
      <c r="P161" s="168"/>
      <c r="Q161" s="147">
        <v>551</v>
      </c>
      <c r="R161" s="147">
        <v>491</v>
      </c>
      <c r="S161" s="140">
        <f t="shared" si="84"/>
        <v>60</v>
      </c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</row>
    <row r="162" spans="1:19" ht="12.75" customHeight="1">
      <c r="A162" s="162" t="s">
        <v>875</v>
      </c>
      <c r="B162" s="164">
        <v>737898</v>
      </c>
      <c r="C162" s="164">
        <v>554011</v>
      </c>
      <c r="D162" s="164">
        <v>550985.58</v>
      </c>
      <c r="E162" s="150">
        <f>IF(ISERROR(D162/B162)," ",(D162/B162))*100</f>
        <v>74.66961287332396</v>
      </c>
      <c r="F162" s="150">
        <f>IF(ISERROR(D162/C162)," ",(D162/C162))*100</f>
        <v>99.45390614987788</v>
      </c>
      <c r="G162" s="164">
        <f>D162-'[5]Augusts'!D162</f>
        <v>60387.609999999986</v>
      </c>
      <c r="I162" s="162" t="s">
        <v>875</v>
      </c>
      <c r="J162" s="157">
        <f>ROUND(B162/1000,0)</f>
        <v>738</v>
      </c>
      <c r="K162" s="157">
        <f>ROUND(C162/1000,0)</f>
        <v>554</v>
      </c>
      <c r="L162" s="157">
        <f>ROUND(D162/1000,0)</f>
        <v>551</v>
      </c>
      <c r="M162" s="158">
        <f>L162/J162*100</f>
        <v>74.66124661246613</v>
      </c>
      <c r="N162" s="158">
        <f>L162/K162*100</f>
        <v>99.45848375451264</v>
      </c>
      <c r="O162" s="147">
        <f>L162-'[5]Augusts'!L162</f>
        <v>60</v>
      </c>
      <c r="Q162" s="157">
        <v>551</v>
      </c>
      <c r="R162" s="157">
        <v>491</v>
      </c>
      <c r="S162" s="140">
        <f t="shared" si="84"/>
        <v>60</v>
      </c>
    </row>
    <row r="163" spans="1:19" ht="12.75" customHeight="1">
      <c r="A163" s="160" t="s">
        <v>916</v>
      </c>
      <c r="B163" s="166"/>
      <c r="C163" s="166"/>
      <c r="D163" s="166"/>
      <c r="E163" s="166"/>
      <c r="F163" s="166"/>
      <c r="G163" s="166"/>
      <c r="I163" s="160" t="s">
        <v>917</v>
      </c>
      <c r="J163" s="166"/>
      <c r="K163" s="166"/>
      <c r="L163" s="166"/>
      <c r="M163" s="158"/>
      <c r="N163" s="158"/>
      <c r="O163" s="166"/>
      <c r="Q163" s="166"/>
      <c r="R163" s="166"/>
      <c r="S163" s="140">
        <f t="shared" si="84"/>
        <v>0</v>
      </c>
    </row>
    <row r="164" spans="1:19" ht="12.75" customHeight="1">
      <c r="A164" s="154" t="s">
        <v>869</v>
      </c>
      <c r="B164" s="164">
        <f>SUM(B165:B166)</f>
        <v>335805</v>
      </c>
      <c r="C164" s="166">
        <f>SUM(C165:C166)</f>
        <v>239631</v>
      </c>
      <c r="D164" s="166">
        <f>SUM(D165:D166)</f>
        <v>231800.46</v>
      </c>
      <c r="E164" s="149">
        <f aca="true" t="shared" si="93" ref="E164:E169">IF(ISERROR(D164/B164)," ",(D164/B164))*100</f>
        <v>69.02829320587841</v>
      </c>
      <c r="F164" s="149">
        <f aca="true" t="shared" si="94" ref="F164:F169">IF(ISERROR(D164/C164)," ",(D164/C164))*100</f>
        <v>96.73225083565983</v>
      </c>
      <c r="G164" s="166">
        <f>SUM(G165:G166)</f>
        <v>27645.08</v>
      </c>
      <c r="I164" s="154" t="s">
        <v>869</v>
      </c>
      <c r="J164" s="147">
        <f>J165+J166</f>
        <v>337</v>
      </c>
      <c r="K164" s="147">
        <f>K165+K166</f>
        <v>240</v>
      </c>
      <c r="L164" s="147">
        <f>L165+L166</f>
        <v>232</v>
      </c>
      <c r="M164" s="156">
        <f aca="true" t="shared" si="95" ref="M164:M169">L164/J164*100</f>
        <v>68.84272997032642</v>
      </c>
      <c r="N164" s="156">
        <f aca="true" t="shared" si="96" ref="N164:N169">L164/K164*100</f>
        <v>96.66666666666667</v>
      </c>
      <c r="O164" s="147">
        <f>SUM(O165:O166)</f>
        <v>27</v>
      </c>
      <c r="Q164" s="147">
        <v>232</v>
      </c>
      <c r="R164" s="147">
        <v>205</v>
      </c>
      <c r="S164" s="140">
        <f t="shared" si="84"/>
        <v>27</v>
      </c>
    </row>
    <row r="165" spans="1:19" ht="12.75" customHeight="1">
      <c r="A165" s="154" t="s">
        <v>870</v>
      </c>
      <c r="B165" s="164">
        <v>316689</v>
      </c>
      <c r="C165" s="164">
        <v>229631</v>
      </c>
      <c r="D165" s="164">
        <v>229631</v>
      </c>
      <c r="E165" s="150">
        <f t="shared" si="93"/>
        <v>72.50993877273919</v>
      </c>
      <c r="F165" s="150">
        <f t="shared" si="94"/>
        <v>100</v>
      </c>
      <c r="G165" s="164">
        <f>D165-'[5]Augusts'!D165</f>
        <v>27204</v>
      </c>
      <c r="I165" s="154" t="s">
        <v>870</v>
      </c>
      <c r="J165" s="157">
        <f>ROUND(B165/1000,0)</f>
        <v>317</v>
      </c>
      <c r="K165" s="157">
        <f>ROUND(C165/1000,0)</f>
        <v>230</v>
      </c>
      <c r="L165" s="157">
        <f>ROUND(D165/1000,0)</f>
        <v>230</v>
      </c>
      <c r="M165" s="158">
        <f t="shared" si="95"/>
        <v>72.55520504731862</v>
      </c>
      <c r="N165" s="158">
        <f t="shared" si="96"/>
        <v>100</v>
      </c>
      <c r="O165" s="157">
        <f>L165-'[5]Augusts'!L165</f>
        <v>27</v>
      </c>
      <c r="Q165" s="157">
        <v>230</v>
      </c>
      <c r="R165" s="157">
        <v>203</v>
      </c>
      <c r="S165" s="140">
        <f t="shared" si="84"/>
        <v>27</v>
      </c>
    </row>
    <row r="166" spans="1:19" ht="12.75" customHeight="1">
      <c r="A166" s="154" t="s">
        <v>872</v>
      </c>
      <c r="B166" s="164">
        <v>19116</v>
      </c>
      <c r="C166" s="164">
        <v>10000</v>
      </c>
      <c r="D166" s="164">
        <v>2169.46</v>
      </c>
      <c r="E166" s="150">
        <f t="shared" si="93"/>
        <v>11.34892236869638</v>
      </c>
      <c r="F166" s="150">
        <f t="shared" si="94"/>
        <v>21.6946</v>
      </c>
      <c r="G166" s="164">
        <f>D166-'[5]Augusts'!D166</f>
        <v>441.0799999999999</v>
      </c>
      <c r="I166" s="154" t="s">
        <v>872</v>
      </c>
      <c r="J166" s="157">
        <f>ROUND(B166/1000,0)+1</f>
        <v>20</v>
      </c>
      <c r="K166" s="157">
        <f>ROUND(C166/1000,0)</f>
        <v>10</v>
      </c>
      <c r="L166" s="157">
        <f>ROUND(D166/1000,0)</f>
        <v>2</v>
      </c>
      <c r="M166" s="158">
        <f t="shared" si="95"/>
        <v>10</v>
      </c>
      <c r="N166" s="158">
        <f t="shared" si="96"/>
        <v>20</v>
      </c>
      <c r="O166" s="157">
        <f>L166-'[5]Augusts'!L166</f>
        <v>0</v>
      </c>
      <c r="Q166" s="157">
        <v>2</v>
      </c>
      <c r="R166" s="157">
        <v>2</v>
      </c>
      <c r="S166" s="140">
        <f t="shared" si="84"/>
        <v>0</v>
      </c>
    </row>
    <row r="167" spans="1:19" ht="12.75" customHeight="1">
      <c r="A167" s="160" t="s">
        <v>874</v>
      </c>
      <c r="B167" s="166">
        <f>SUM(B168:B169)</f>
        <v>336817</v>
      </c>
      <c r="C167" s="166">
        <f>SUM(C168:C169)</f>
        <v>240643</v>
      </c>
      <c r="D167" s="166">
        <f>SUM(D168:D169)</f>
        <v>232811.66</v>
      </c>
      <c r="E167" s="150">
        <f t="shared" si="93"/>
        <v>69.12111324547158</v>
      </c>
      <c r="F167" s="150">
        <f t="shared" si="94"/>
        <v>96.74566058435109</v>
      </c>
      <c r="G167" s="166">
        <f>SUM(G168:G169)</f>
        <v>27769.649999999998</v>
      </c>
      <c r="I167" s="160" t="s">
        <v>874</v>
      </c>
      <c r="J167" s="147">
        <f>J168+J169</f>
        <v>337</v>
      </c>
      <c r="K167" s="147">
        <f>K168+K169</f>
        <v>240</v>
      </c>
      <c r="L167" s="147">
        <f>L168+L169</f>
        <v>232</v>
      </c>
      <c r="M167" s="156">
        <f t="shared" si="95"/>
        <v>68.84272997032642</v>
      </c>
      <c r="N167" s="156">
        <f t="shared" si="96"/>
        <v>96.66666666666667</v>
      </c>
      <c r="O167" s="147">
        <f>SUM(O168:O169)</f>
        <v>27</v>
      </c>
      <c r="Q167" s="147">
        <v>232</v>
      </c>
      <c r="R167" s="147">
        <v>205</v>
      </c>
      <c r="S167" s="140">
        <f t="shared" si="84"/>
        <v>27</v>
      </c>
    </row>
    <row r="168" spans="1:19" ht="12.75" customHeight="1">
      <c r="A168" s="162" t="s">
        <v>875</v>
      </c>
      <c r="B168" s="164">
        <v>316817</v>
      </c>
      <c r="C168" s="164">
        <v>226643</v>
      </c>
      <c r="D168" s="164">
        <v>219677.54</v>
      </c>
      <c r="E168" s="150">
        <f t="shared" si="93"/>
        <v>69.33893698886108</v>
      </c>
      <c r="F168" s="150">
        <f t="shared" si="94"/>
        <v>96.92668205062589</v>
      </c>
      <c r="G168" s="164">
        <f>D168-'[5]Augusts'!D168</f>
        <v>23415.089999999997</v>
      </c>
      <c r="I168" s="162" t="s">
        <v>875</v>
      </c>
      <c r="J168" s="157">
        <f>ROUND(B168/1000,0)</f>
        <v>317</v>
      </c>
      <c r="K168" s="157">
        <f>ROUND(C168/1000,0)-1</f>
        <v>226</v>
      </c>
      <c r="L168" s="157">
        <f>ROUND(D168/1000,0)-1</f>
        <v>219</v>
      </c>
      <c r="M168" s="158">
        <f t="shared" si="95"/>
        <v>69.08517350157729</v>
      </c>
      <c r="N168" s="158">
        <f t="shared" si="96"/>
        <v>96.90265486725663</v>
      </c>
      <c r="O168" s="157">
        <f>L168-'[5]Augusts'!L168</f>
        <v>23</v>
      </c>
      <c r="Q168" s="157">
        <v>219</v>
      </c>
      <c r="R168" s="157">
        <v>196</v>
      </c>
      <c r="S168" s="140">
        <f t="shared" si="84"/>
        <v>23</v>
      </c>
    </row>
    <row r="169" spans="1:19" ht="12.75" customHeight="1">
      <c r="A169" s="162" t="s">
        <v>876</v>
      </c>
      <c r="B169" s="164">
        <v>20000</v>
      </c>
      <c r="C169" s="164">
        <v>14000</v>
      </c>
      <c r="D169" s="164">
        <v>13134.12</v>
      </c>
      <c r="E169" s="150">
        <f t="shared" si="93"/>
        <v>65.67060000000001</v>
      </c>
      <c r="F169" s="150">
        <f t="shared" si="94"/>
        <v>93.81514285714286</v>
      </c>
      <c r="G169" s="164">
        <f>D169-'[5]Augusts'!D169</f>
        <v>4354.560000000001</v>
      </c>
      <c r="I169" s="162" t="s">
        <v>876</v>
      </c>
      <c r="J169" s="157">
        <f>ROUND(B169/1000,0)</f>
        <v>20</v>
      </c>
      <c r="K169" s="157">
        <f>ROUND(C169/1000,0)</f>
        <v>14</v>
      </c>
      <c r="L169" s="157">
        <f>ROUND(D169/1000,0)</f>
        <v>13</v>
      </c>
      <c r="M169" s="158">
        <f t="shared" si="95"/>
        <v>65</v>
      </c>
      <c r="N169" s="158">
        <f t="shared" si="96"/>
        <v>92.85714285714286</v>
      </c>
      <c r="O169" s="157">
        <f>L169-'[5]Augusts'!L169</f>
        <v>4</v>
      </c>
      <c r="Q169" s="157">
        <v>13</v>
      </c>
      <c r="R169" s="157">
        <v>9</v>
      </c>
      <c r="S169" s="140">
        <f t="shared" si="84"/>
        <v>4</v>
      </c>
    </row>
    <row r="170" spans="1:19" ht="12.75" customHeight="1">
      <c r="A170" s="160" t="s">
        <v>918</v>
      </c>
      <c r="B170" s="164"/>
      <c r="C170" s="164"/>
      <c r="D170" s="164"/>
      <c r="E170" s="164"/>
      <c r="F170" s="164"/>
      <c r="G170" s="164"/>
      <c r="I170" s="160" t="s">
        <v>919</v>
      </c>
      <c r="J170" s="164"/>
      <c r="K170" s="164"/>
      <c r="L170" s="164"/>
      <c r="M170" s="158"/>
      <c r="N170" s="158"/>
      <c r="O170" s="164"/>
      <c r="Q170" s="164"/>
      <c r="R170" s="164"/>
      <c r="S170" s="140">
        <f t="shared" si="84"/>
        <v>0</v>
      </c>
    </row>
    <row r="171" spans="1:19" ht="12.75" customHeight="1">
      <c r="A171" s="154" t="s">
        <v>869</v>
      </c>
      <c r="B171" s="164">
        <f>SUM(B172:B173)</f>
        <v>6428814</v>
      </c>
      <c r="C171" s="166">
        <f>SUM(C172:C173)</f>
        <v>4739856</v>
      </c>
      <c r="D171" s="166">
        <f>SUM(D172:D173)</f>
        <v>4746012.45</v>
      </c>
      <c r="E171" s="149">
        <f aca="true" t="shared" si="97" ref="E171:E176">IF(ISERROR(D171/B171)," ",(D171/B171))*100</f>
        <v>73.82407470491447</v>
      </c>
      <c r="F171" s="149">
        <f aca="true" t="shared" si="98" ref="F171:F176">IF(ISERROR(D171/C171)," ",(D171/C171))*100</f>
        <v>100.12988685732225</v>
      </c>
      <c r="G171" s="166">
        <f>SUM(G172:G173)</f>
        <v>553349.54</v>
      </c>
      <c r="I171" s="154" t="s">
        <v>869</v>
      </c>
      <c r="J171" s="147">
        <f>J172+J173</f>
        <v>6429</v>
      </c>
      <c r="K171" s="147">
        <f>K172+K173</f>
        <v>4740</v>
      </c>
      <c r="L171" s="147">
        <f>L172+L173</f>
        <v>4746</v>
      </c>
      <c r="M171" s="156">
        <f aca="true" t="shared" si="99" ref="M171:M176">L171/J171*100</f>
        <v>73.82174521698553</v>
      </c>
      <c r="N171" s="156">
        <f aca="true" t="shared" si="100" ref="N171:N176">L171/K171*100</f>
        <v>100.12658227848101</v>
      </c>
      <c r="O171" s="147">
        <f>SUM(O172:O173)</f>
        <v>553</v>
      </c>
      <c r="Q171" s="147">
        <v>4746</v>
      </c>
      <c r="R171" s="147">
        <v>4193</v>
      </c>
      <c r="S171" s="140">
        <f t="shared" si="84"/>
        <v>553</v>
      </c>
    </row>
    <row r="172" spans="1:19" ht="12.75" customHeight="1">
      <c r="A172" s="154" t="s">
        <v>870</v>
      </c>
      <c r="B172" s="164">
        <v>6419814</v>
      </c>
      <c r="C172" s="164">
        <v>4733106</v>
      </c>
      <c r="D172" s="164">
        <v>4733106</v>
      </c>
      <c r="E172" s="150">
        <f t="shared" si="97"/>
        <v>73.7265285255928</v>
      </c>
      <c r="F172" s="150">
        <f t="shared" si="98"/>
        <v>100</v>
      </c>
      <c r="G172" s="164">
        <f>D172-'[5]Augusts'!D172</f>
        <v>551488</v>
      </c>
      <c r="I172" s="154" t="s">
        <v>870</v>
      </c>
      <c r="J172" s="157">
        <f aca="true" t="shared" si="101" ref="J172:L173">ROUND(B172/1000,0)</f>
        <v>6420</v>
      </c>
      <c r="K172" s="157">
        <f t="shared" si="101"/>
        <v>4733</v>
      </c>
      <c r="L172" s="157">
        <f t="shared" si="101"/>
        <v>4733</v>
      </c>
      <c r="M172" s="158">
        <f t="shared" si="99"/>
        <v>73.72274143302181</v>
      </c>
      <c r="N172" s="158">
        <f t="shared" si="100"/>
        <v>100</v>
      </c>
      <c r="O172" s="157">
        <f>L172-'[5]Augusts'!L172</f>
        <v>551</v>
      </c>
      <c r="Q172" s="157">
        <v>4733</v>
      </c>
      <c r="R172" s="157">
        <v>4182</v>
      </c>
      <c r="S172" s="140">
        <f t="shared" si="84"/>
        <v>551</v>
      </c>
    </row>
    <row r="173" spans="1:19" ht="12.75" customHeight="1">
      <c r="A173" s="154" t="s">
        <v>872</v>
      </c>
      <c r="B173" s="164">
        <v>9000</v>
      </c>
      <c r="C173" s="164">
        <v>6750</v>
      </c>
      <c r="D173" s="164">
        <v>12906.45</v>
      </c>
      <c r="E173" s="150">
        <f t="shared" si="97"/>
        <v>143.405</v>
      </c>
      <c r="F173" s="150">
        <f t="shared" si="98"/>
        <v>191.20666666666668</v>
      </c>
      <c r="G173" s="164">
        <f>D173-'[5]Augusts'!D173</f>
        <v>1861.5400000000009</v>
      </c>
      <c r="I173" s="154" t="s">
        <v>872</v>
      </c>
      <c r="J173" s="157">
        <f t="shared" si="101"/>
        <v>9</v>
      </c>
      <c r="K173" s="157">
        <f t="shared" si="101"/>
        <v>7</v>
      </c>
      <c r="L173" s="157">
        <f t="shared" si="101"/>
        <v>13</v>
      </c>
      <c r="M173" s="158">
        <f t="shared" si="99"/>
        <v>144.44444444444443</v>
      </c>
      <c r="N173" s="158">
        <f t="shared" si="100"/>
        <v>185.71428571428572</v>
      </c>
      <c r="O173" s="157">
        <f>L173-'[5]Augusts'!L173</f>
        <v>2</v>
      </c>
      <c r="Q173" s="157">
        <v>13</v>
      </c>
      <c r="R173" s="157">
        <v>11</v>
      </c>
      <c r="S173" s="140">
        <f t="shared" si="84"/>
        <v>2</v>
      </c>
    </row>
    <row r="174" spans="1:19" ht="12.75" customHeight="1">
      <c r="A174" s="160" t="s">
        <v>874</v>
      </c>
      <c r="B174" s="166">
        <f>SUM(B175:B176)</f>
        <v>6428814</v>
      </c>
      <c r="C174" s="166">
        <f>SUM(C175:C176)</f>
        <v>4739856</v>
      </c>
      <c r="D174" s="166">
        <f>SUM(D175:D176)</f>
        <v>4693283.39</v>
      </c>
      <c r="E174" s="150">
        <f t="shared" si="97"/>
        <v>73.00387583152973</v>
      </c>
      <c r="F174" s="150">
        <f t="shared" si="98"/>
        <v>99.0174256348716</v>
      </c>
      <c r="G174" s="166">
        <f>SUM(G175:G176)</f>
        <v>533157.4799999997</v>
      </c>
      <c r="I174" s="160" t="s">
        <v>874</v>
      </c>
      <c r="J174" s="147">
        <f>J175+J176</f>
        <v>6429</v>
      </c>
      <c r="K174" s="147">
        <f>K175+K176</f>
        <v>4740</v>
      </c>
      <c r="L174" s="147">
        <f>L175+L176</f>
        <v>4693</v>
      </c>
      <c r="M174" s="156">
        <f t="shared" si="99"/>
        <v>72.9973557318401</v>
      </c>
      <c r="N174" s="156">
        <f t="shared" si="100"/>
        <v>99.00843881856541</v>
      </c>
      <c r="O174" s="147">
        <f>SUM(O175:O176)</f>
        <v>533</v>
      </c>
      <c r="Q174" s="147">
        <v>4693</v>
      </c>
      <c r="R174" s="147">
        <v>4160</v>
      </c>
      <c r="S174" s="140">
        <f t="shared" si="84"/>
        <v>533</v>
      </c>
    </row>
    <row r="175" spans="1:19" ht="12.75" customHeight="1">
      <c r="A175" s="162" t="s">
        <v>875</v>
      </c>
      <c r="B175" s="164">
        <v>6282854</v>
      </c>
      <c r="C175" s="164">
        <v>4636756</v>
      </c>
      <c r="D175" s="164">
        <v>4621000.14</v>
      </c>
      <c r="E175" s="150">
        <f t="shared" si="97"/>
        <v>73.54937962906666</v>
      </c>
      <c r="F175" s="150">
        <f t="shared" si="98"/>
        <v>99.66019648219574</v>
      </c>
      <c r="G175" s="164">
        <f>D175-'[5]Augusts'!D175</f>
        <v>530700.4899999998</v>
      </c>
      <c r="I175" s="162" t="s">
        <v>875</v>
      </c>
      <c r="J175" s="157">
        <f aca="true" t="shared" si="102" ref="J175:L176">ROUND(B175/1000,0)</f>
        <v>6283</v>
      </c>
      <c r="K175" s="157">
        <f t="shared" si="102"/>
        <v>4637</v>
      </c>
      <c r="L175" s="157">
        <f t="shared" si="102"/>
        <v>4621</v>
      </c>
      <c r="M175" s="158">
        <f t="shared" si="99"/>
        <v>73.54766831131624</v>
      </c>
      <c r="N175" s="158">
        <f t="shared" si="100"/>
        <v>99.65494932068147</v>
      </c>
      <c r="O175" s="157">
        <f>L175-'[5]Augusts'!L175</f>
        <v>531</v>
      </c>
      <c r="Q175" s="157">
        <v>4621</v>
      </c>
      <c r="R175" s="157">
        <v>4090</v>
      </c>
      <c r="S175" s="140">
        <f t="shared" si="84"/>
        <v>531</v>
      </c>
    </row>
    <row r="176" spans="1:19" ht="12.75" customHeight="1">
      <c r="A176" s="162" t="s">
        <v>876</v>
      </c>
      <c r="B176" s="164">
        <v>145960</v>
      </c>
      <c r="C176" s="164">
        <v>103100</v>
      </c>
      <c r="D176" s="164">
        <v>72283.25</v>
      </c>
      <c r="E176" s="150">
        <f t="shared" si="97"/>
        <v>49.522643189915044</v>
      </c>
      <c r="F176" s="150">
        <f t="shared" si="98"/>
        <v>70.10984481086324</v>
      </c>
      <c r="G176" s="164">
        <f>D176-'[5]Augusts'!D176</f>
        <v>2456.9900000000052</v>
      </c>
      <c r="I176" s="162" t="s">
        <v>876</v>
      </c>
      <c r="J176" s="157">
        <f t="shared" si="102"/>
        <v>146</v>
      </c>
      <c r="K176" s="157">
        <f t="shared" si="102"/>
        <v>103</v>
      </c>
      <c r="L176" s="157">
        <f t="shared" si="102"/>
        <v>72</v>
      </c>
      <c r="M176" s="158">
        <f t="shared" si="99"/>
        <v>49.31506849315068</v>
      </c>
      <c r="N176" s="158">
        <f t="shared" si="100"/>
        <v>69.90291262135922</v>
      </c>
      <c r="O176" s="157">
        <f>L176-'[5]Augusts'!L176</f>
        <v>2</v>
      </c>
      <c r="Q176" s="157">
        <v>72</v>
      </c>
      <c r="R176" s="157">
        <v>70</v>
      </c>
      <c r="S176" s="140">
        <f t="shared" si="84"/>
        <v>2</v>
      </c>
    </row>
    <row r="177" spans="1:19" ht="12.75" customHeight="1">
      <c r="A177" s="146" t="s">
        <v>920</v>
      </c>
      <c r="B177" s="166"/>
      <c r="C177" s="166"/>
      <c r="D177" s="166"/>
      <c r="E177" s="166"/>
      <c r="F177" s="166"/>
      <c r="G177" s="166"/>
      <c r="I177" s="146" t="s">
        <v>921</v>
      </c>
      <c r="J177" s="166"/>
      <c r="K177" s="166"/>
      <c r="L177" s="166"/>
      <c r="M177" s="158"/>
      <c r="N177" s="158"/>
      <c r="O177" s="166"/>
      <c r="Q177" s="166"/>
      <c r="R177" s="166"/>
      <c r="S177" s="140">
        <f t="shared" si="84"/>
        <v>0</v>
      </c>
    </row>
    <row r="178" spans="1:19" ht="12.75" customHeight="1">
      <c r="A178" s="154" t="s">
        <v>869</v>
      </c>
      <c r="B178" s="164">
        <f>SUM(B179)</f>
        <v>230269</v>
      </c>
      <c r="C178" s="166">
        <f>SUM(C179)</f>
        <v>209093</v>
      </c>
      <c r="D178" s="166">
        <f>SUM(D179)</f>
        <v>209093</v>
      </c>
      <c r="E178" s="149">
        <f>IF(ISERROR(D178/B178)," ",(D178/B178))*100</f>
        <v>90.80379903504162</v>
      </c>
      <c r="F178" s="149">
        <f>IF(ISERROR(D178/C178)," ",(D178/C178))*100</f>
        <v>100</v>
      </c>
      <c r="G178" s="166">
        <f>SUM(G179)</f>
        <v>6617</v>
      </c>
      <c r="I178" s="154" t="s">
        <v>869</v>
      </c>
      <c r="J178" s="147">
        <f>J179</f>
        <v>230</v>
      </c>
      <c r="K178" s="147">
        <f>K179</f>
        <v>209</v>
      </c>
      <c r="L178" s="147">
        <f>L179</f>
        <v>209</v>
      </c>
      <c r="M178" s="156">
        <f>L178/J178*100</f>
        <v>90.8695652173913</v>
      </c>
      <c r="N178" s="156">
        <f>L178/K178*100</f>
        <v>100</v>
      </c>
      <c r="O178" s="147">
        <f>SUM(O179)</f>
        <v>7</v>
      </c>
      <c r="Q178" s="147">
        <v>209</v>
      </c>
      <c r="R178" s="147">
        <v>202</v>
      </c>
      <c r="S178" s="140">
        <f t="shared" si="84"/>
        <v>7</v>
      </c>
    </row>
    <row r="179" spans="1:19" ht="12.75" customHeight="1">
      <c r="A179" s="154" t="s">
        <v>870</v>
      </c>
      <c r="B179" s="164">
        <v>230269</v>
      </c>
      <c r="C179" s="164">
        <v>209093</v>
      </c>
      <c r="D179" s="164">
        <v>209093</v>
      </c>
      <c r="E179" s="150">
        <f>IF(ISERROR(D179/B179)," ",(D179/B179))*100</f>
        <v>90.80379903504162</v>
      </c>
      <c r="F179" s="150">
        <f>IF(ISERROR(D179/C179)," ",(D179/C179))*100</f>
        <v>100</v>
      </c>
      <c r="G179" s="164">
        <f>D179-'[5]Augusts'!D179</f>
        <v>6617</v>
      </c>
      <c r="I179" s="154" t="s">
        <v>870</v>
      </c>
      <c r="J179" s="157">
        <f>ROUND(B179/1000,0)</f>
        <v>230</v>
      </c>
      <c r="K179" s="157">
        <f>ROUND(C179/1000,0)</f>
        <v>209</v>
      </c>
      <c r="L179" s="157">
        <f>ROUND(D179/1000,0)</f>
        <v>209</v>
      </c>
      <c r="M179" s="158">
        <f>L179/J179*100</f>
        <v>90.8695652173913</v>
      </c>
      <c r="N179" s="158">
        <f>L179/K179*100</f>
        <v>100</v>
      </c>
      <c r="O179" s="157">
        <f>L179-'[5]Augusts'!L179</f>
        <v>7</v>
      </c>
      <c r="Q179" s="157">
        <v>209</v>
      </c>
      <c r="R179" s="157">
        <v>202</v>
      </c>
      <c r="S179" s="140">
        <f t="shared" si="84"/>
        <v>7</v>
      </c>
    </row>
    <row r="180" spans="1:19" ht="12.75" customHeight="1">
      <c r="A180" s="160" t="s">
        <v>874</v>
      </c>
      <c r="B180" s="166">
        <f>SUM(B181:B182)</f>
        <v>230269</v>
      </c>
      <c r="C180" s="166">
        <f>SUM(C181:C182)</f>
        <v>209093</v>
      </c>
      <c r="D180" s="166">
        <f>SUM(D181:D182)</f>
        <v>168295.48</v>
      </c>
      <c r="E180" s="150">
        <f>IF(ISERROR(D180/B180)," ",(D180/B180))*100</f>
        <v>73.08646843474371</v>
      </c>
      <c r="F180" s="150">
        <f>IF(ISERROR(D180/C180)," ",(D180/C180))*100</f>
        <v>80.4883377253184</v>
      </c>
      <c r="G180" s="166">
        <f>SUM(G181:G182)</f>
        <v>5170.440000000002</v>
      </c>
      <c r="I180" s="160" t="s">
        <v>874</v>
      </c>
      <c r="J180" s="147">
        <f>J181+J182</f>
        <v>230</v>
      </c>
      <c r="K180" s="147">
        <f>K181+K182</f>
        <v>209</v>
      </c>
      <c r="L180" s="147">
        <f>L181+L182</f>
        <v>169</v>
      </c>
      <c r="M180" s="156">
        <f>L180/J180*100</f>
        <v>73.47826086956522</v>
      </c>
      <c r="N180" s="156">
        <f>L180/K180*100</f>
        <v>80.86124401913875</v>
      </c>
      <c r="O180" s="147">
        <f>SUM(O181:O182)</f>
        <v>6</v>
      </c>
      <c r="Q180" s="147">
        <v>169</v>
      </c>
      <c r="R180" s="147">
        <v>163</v>
      </c>
      <c r="S180" s="140">
        <f t="shared" si="84"/>
        <v>6</v>
      </c>
    </row>
    <row r="181" spans="1:19" ht="12.75" customHeight="1">
      <c r="A181" s="162" t="s">
        <v>875</v>
      </c>
      <c r="B181" s="164">
        <v>196269</v>
      </c>
      <c r="C181" s="164">
        <v>175093</v>
      </c>
      <c r="D181" s="164">
        <v>154738.25</v>
      </c>
      <c r="E181" s="150">
        <f>IF(ISERROR(D181/B181)," ",(D181/B181))*100</f>
        <v>78.8398830176951</v>
      </c>
      <c r="F181" s="150">
        <f>IF(ISERROR(D181/C181)," ",(D181/C181))*100</f>
        <v>88.37489220014506</v>
      </c>
      <c r="G181" s="164">
        <f>D181-'[5]Augusts'!D181</f>
        <v>5170.440000000002</v>
      </c>
      <c r="I181" s="162" t="s">
        <v>875</v>
      </c>
      <c r="J181" s="157">
        <f aca="true" t="shared" si="103" ref="J181:L182">ROUND(B181/1000,0)</f>
        <v>196</v>
      </c>
      <c r="K181" s="157">
        <f t="shared" si="103"/>
        <v>175</v>
      </c>
      <c r="L181" s="157">
        <f t="shared" si="103"/>
        <v>155</v>
      </c>
      <c r="M181" s="158">
        <f>L181/J181*100</f>
        <v>79.08163265306123</v>
      </c>
      <c r="N181" s="158">
        <f>L181/K181*100</f>
        <v>88.57142857142857</v>
      </c>
      <c r="O181" s="157">
        <f>L181-'[5]Augusts'!L181</f>
        <v>5</v>
      </c>
      <c r="Q181" s="157">
        <v>155</v>
      </c>
      <c r="R181" s="157">
        <v>150</v>
      </c>
      <c r="S181" s="140">
        <f t="shared" si="84"/>
        <v>5</v>
      </c>
    </row>
    <row r="182" spans="1:19" ht="12.75" customHeight="1">
      <c r="A182" s="162" t="s">
        <v>876</v>
      </c>
      <c r="B182" s="164">
        <v>34000</v>
      </c>
      <c r="C182" s="164">
        <v>34000</v>
      </c>
      <c r="D182" s="164">
        <v>13557.23</v>
      </c>
      <c r="E182" s="150">
        <f>IF(ISERROR(D182/B182)," ",(D182/B182))*100</f>
        <v>39.87420588235294</v>
      </c>
      <c r="F182" s="150">
        <f>IF(ISERROR(D182/C182)," ",(D182/C182))*100</f>
        <v>39.87420588235294</v>
      </c>
      <c r="G182" s="164">
        <f>D182-'[5]Augusts'!D182</f>
        <v>0</v>
      </c>
      <c r="I182" s="162" t="s">
        <v>876</v>
      </c>
      <c r="J182" s="157">
        <f t="shared" si="103"/>
        <v>34</v>
      </c>
      <c r="K182" s="157">
        <f t="shared" si="103"/>
        <v>34</v>
      </c>
      <c r="L182" s="157">
        <f t="shared" si="103"/>
        <v>14</v>
      </c>
      <c r="M182" s="158">
        <f>L182/J182*100</f>
        <v>41.17647058823529</v>
      </c>
      <c r="N182" s="158">
        <f>L182/K182*100</f>
        <v>41.17647058823529</v>
      </c>
      <c r="O182" s="157">
        <f>L182-'[5]Augusts'!L182</f>
        <v>1</v>
      </c>
      <c r="Q182" s="157">
        <v>14</v>
      </c>
      <c r="R182" s="157">
        <v>13</v>
      </c>
      <c r="S182" s="140">
        <f t="shared" si="84"/>
        <v>1</v>
      </c>
    </row>
    <row r="183" spans="1:19" ht="12.75" customHeight="1">
      <c r="A183" s="165" t="s">
        <v>922</v>
      </c>
      <c r="B183" s="166"/>
      <c r="C183" s="166"/>
      <c r="D183" s="166"/>
      <c r="E183" s="166"/>
      <c r="F183" s="166"/>
      <c r="G183" s="166"/>
      <c r="I183" s="165" t="s">
        <v>923</v>
      </c>
      <c r="J183" s="166"/>
      <c r="K183" s="166"/>
      <c r="L183" s="166"/>
      <c r="M183" s="158"/>
      <c r="N183" s="158"/>
      <c r="O183" s="166"/>
      <c r="Q183" s="166"/>
      <c r="R183" s="166"/>
      <c r="S183" s="140">
        <f t="shared" si="84"/>
        <v>0</v>
      </c>
    </row>
    <row r="184" spans="1:19" ht="12.75" customHeight="1">
      <c r="A184" s="154" t="s">
        <v>869</v>
      </c>
      <c r="B184" s="164">
        <f>SUM(B185)</f>
        <v>51951</v>
      </c>
      <c r="C184" s="166">
        <f>SUM(C185)</f>
        <v>37866</v>
      </c>
      <c r="D184" s="166">
        <f>SUM(D185)</f>
        <v>37866</v>
      </c>
      <c r="E184" s="149">
        <f>IF(ISERROR(D184/B184)," ",(D184/B184))*100</f>
        <v>72.88791361090257</v>
      </c>
      <c r="F184" s="149">
        <f>IF(ISERROR(D184/C184)," ",(D184/C184))*100</f>
        <v>100</v>
      </c>
      <c r="G184" s="166">
        <f>SUM(G185)</f>
        <v>4462</v>
      </c>
      <c r="I184" s="154" t="s">
        <v>869</v>
      </c>
      <c r="J184" s="147">
        <f>J185</f>
        <v>52</v>
      </c>
      <c r="K184" s="147">
        <f>K185</f>
        <v>38</v>
      </c>
      <c r="L184" s="147">
        <f>L185</f>
        <v>38</v>
      </c>
      <c r="M184" s="156">
        <f>L184/J184*100</f>
        <v>73.07692307692307</v>
      </c>
      <c r="N184" s="156">
        <f>L184/K184*100</f>
        <v>100</v>
      </c>
      <c r="O184" s="147">
        <f>SUM(O185)</f>
        <v>5</v>
      </c>
      <c r="Q184" s="147">
        <v>38</v>
      </c>
      <c r="R184" s="147">
        <v>33</v>
      </c>
      <c r="S184" s="140">
        <f t="shared" si="84"/>
        <v>5</v>
      </c>
    </row>
    <row r="185" spans="1:19" ht="12.75" customHeight="1">
      <c r="A185" s="154" t="s">
        <v>870</v>
      </c>
      <c r="B185" s="164">
        <v>51951</v>
      </c>
      <c r="C185" s="164">
        <v>37866</v>
      </c>
      <c r="D185" s="164">
        <v>37866</v>
      </c>
      <c r="E185" s="150">
        <f>IF(ISERROR(D185/B185)," ",(D185/B185))*100</f>
        <v>72.88791361090257</v>
      </c>
      <c r="F185" s="150">
        <f>IF(ISERROR(D185/C185)," ",(D185/C185))*100</f>
        <v>100</v>
      </c>
      <c r="G185" s="164">
        <f>D185-'[5]Augusts'!D185</f>
        <v>4462</v>
      </c>
      <c r="I185" s="154" t="s">
        <v>870</v>
      </c>
      <c r="J185" s="157">
        <f>ROUND(B185/1000,0)</f>
        <v>52</v>
      </c>
      <c r="K185" s="157">
        <f>ROUND(C185/1000,0)</f>
        <v>38</v>
      </c>
      <c r="L185" s="157">
        <f>ROUND(D185/1000,0)</f>
        <v>38</v>
      </c>
      <c r="M185" s="158">
        <f>L185/J185*100</f>
        <v>73.07692307692307</v>
      </c>
      <c r="N185" s="158">
        <f>L185/K185*100</f>
        <v>100</v>
      </c>
      <c r="O185" s="157">
        <f>L185-'[5]Augusts'!L185</f>
        <v>5</v>
      </c>
      <c r="Q185" s="157">
        <v>38</v>
      </c>
      <c r="R185" s="157">
        <v>33</v>
      </c>
      <c r="S185" s="140">
        <f t="shared" si="84"/>
        <v>5</v>
      </c>
    </row>
    <row r="186" spans="1:19" ht="12.75" customHeight="1">
      <c r="A186" s="160" t="s">
        <v>874</v>
      </c>
      <c r="B186" s="166">
        <f>SUM(B187)</f>
        <v>51951</v>
      </c>
      <c r="C186" s="166">
        <f>SUM(C187)</f>
        <v>37866</v>
      </c>
      <c r="D186" s="166">
        <f>SUM(D187)</f>
        <v>35105.17</v>
      </c>
      <c r="E186" s="150">
        <f>IF(ISERROR(D186/B186)," ",(D186/B186))*100</f>
        <v>67.57361744720987</v>
      </c>
      <c r="F186" s="150">
        <f>IF(ISERROR(D186/C186)," ",(D186/C186))*100</f>
        <v>92.70894734062219</v>
      </c>
      <c r="G186" s="166">
        <f>SUM(G187)</f>
        <v>4788.079999999998</v>
      </c>
      <c r="I186" s="160" t="s">
        <v>874</v>
      </c>
      <c r="J186" s="147">
        <f>J187+J188</f>
        <v>52</v>
      </c>
      <c r="K186" s="147">
        <f>K187</f>
        <v>38</v>
      </c>
      <c r="L186" s="147">
        <f>L187</f>
        <v>35</v>
      </c>
      <c r="M186" s="156">
        <f>L186/J186*100</f>
        <v>67.3076923076923</v>
      </c>
      <c r="N186" s="156">
        <f>L186/K186*100</f>
        <v>92.10526315789474</v>
      </c>
      <c r="O186" s="147">
        <f>SUM(O187)</f>
        <v>5</v>
      </c>
      <c r="Q186" s="147">
        <v>35</v>
      </c>
      <c r="R186" s="147">
        <v>30</v>
      </c>
      <c r="S186" s="140">
        <f t="shared" si="84"/>
        <v>5</v>
      </c>
    </row>
    <row r="187" spans="1:19" ht="12.75" customHeight="1">
      <c r="A187" s="162" t="s">
        <v>875</v>
      </c>
      <c r="B187" s="164">
        <v>51951</v>
      </c>
      <c r="C187" s="164">
        <v>37866</v>
      </c>
      <c r="D187" s="164">
        <v>35105.17</v>
      </c>
      <c r="E187" s="150">
        <f>IF(ISERROR(D187/B187)," ",(D187/B187))*100</f>
        <v>67.57361744720987</v>
      </c>
      <c r="F187" s="150">
        <f>IF(ISERROR(D187/C187)," ",(D187/C187))*100</f>
        <v>92.70894734062219</v>
      </c>
      <c r="G187" s="164">
        <f>D187-'[5]Augusts'!D187</f>
        <v>4788.079999999998</v>
      </c>
      <c r="I187" s="162" t="s">
        <v>875</v>
      </c>
      <c r="J187" s="157">
        <f>ROUND(B187/1000,0)</f>
        <v>52</v>
      </c>
      <c r="K187" s="157">
        <f>ROUND(C187/1000,0)</f>
        <v>38</v>
      </c>
      <c r="L187" s="157">
        <f>ROUND(D187/1000,0)</f>
        <v>35</v>
      </c>
      <c r="M187" s="158">
        <f>L187/J187*100</f>
        <v>67.3076923076923</v>
      </c>
      <c r="N187" s="158">
        <f>L187/K187*100</f>
        <v>92.10526315789474</v>
      </c>
      <c r="O187" s="147">
        <f>L187-'[5]Augusts'!L187</f>
        <v>5</v>
      </c>
      <c r="Q187" s="157">
        <v>35</v>
      </c>
      <c r="R187" s="157">
        <v>30</v>
      </c>
      <c r="S187" s="140">
        <f t="shared" si="84"/>
        <v>5</v>
      </c>
    </row>
    <row r="188" spans="1:19" ht="12.75" customHeight="1">
      <c r="A188" s="165" t="s">
        <v>924</v>
      </c>
      <c r="B188" s="166"/>
      <c r="C188" s="166"/>
      <c r="D188" s="166"/>
      <c r="E188" s="166"/>
      <c r="F188" s="166"/>
      <c r="G188" s="166"/>
      <c r="I188" s="165" t="s">
        <v>925</v>
      </c>
      <c r="J188" s="166"/>
      <c r="K188" s="166"/>
      <c r="L188" s="166"/>
      <c r="M188" s="158"/>
      <c r="N188" s="158"/>
      <c r="O188" s="166"/>
      <c r="Q188" s="166"/>
      <c r="R188" s="166"/>
      <c r="S188" s="140">
        <f t="shared" si="84"/>
        <v>0</v>
      </c>
    </row>
    <row r="189" spans="1:19" ht="12.75" customHeight="1">
      <c r="A189" s="154" t="s">
        <v>869</v>
      </c>
      <c r="B189" s="164">
        <f>SUM(B190)</f>
        <v>1643907</v>
      </c>
      <c r="C189" s="166">
        <f>SUM(C190)</f>
        <v>1371017</v>
      </c>
      <c r="D189" s="166">
        <f>SUM(D190:D191)</f>
        <v>1371017</v>
      </c>
      <c r="E189" s="149">
        <f>IF(ISERROR(D189/B189)," ",(D189/B189))*100</f>
        <v>83.39991252546525</v>
      </c>
      <c r="F189" s="149">
        <f>IF(ISERROR(D189/C189)," ",(D189/C189))*100</f>
        <v>100</v>
      </c>
      <c r="G189" s="166">
        <f>SUM(G190:G191)</f>
        <v>91000</v>
      </c>
      <c r="I189" s="154" t="s">
        <v>869</v>
      </c>
      <c r="J189" s="147">
        <f>J190</f>
        <v>1644</v>
      </c>
      <c r="K189" s="147">
        <f>K190</f>
        <v>1371</v>
      </c>
      <c r="L189" s="147">
        <f>L190+L191</f>
        <v>1371</v>
      </c>
      <c r="M189" s="156">
        <f>L189/J189*100</f>
        <v>83.3941605839416</v>
      </c>
      <c r="N189" s="156">
        <f>L189/K189*100</f>
        <v>100</v>
      </c>
      <c r="O189" s="147">
        <f>SUM(O190:O191)</f>
        <v>91</v>
      </c>
      <c r="Q189" s="147">
        <v>1371</v>
      </c>
      <c r="R189" s="147">
        <v>1280</v>
      </c>
      <c r="S189" s="140">
        <f t="shared" si="84"/>
        <v>91</v>
      </c>
    </row>
    <row r="190" spans="1:19" ht="12.75" customHeight="1">
      <c r="A190" s="154" t="s">
        <v>870</v>
      </c>
      <c r="B190" s="164">
        <v>1643907</v>
      </c>
      <c r="C190" s="164">
        <v>1371017</v>
      </c>
      <c r="D190" s="164">
        <v>1371017</v>
      </c>
      <c r="E190" s="150">
        <f>IF(ISERROR(D190/B190)," ",(D190/B190))*100</f>
        <v>83.39991252546525</v>
      </c>
      <c r="F190" s="150">
        <f>IF(ISERROR(D190/C190)," ",(D190/C190))*100</f>
        <v>100</v>
      </c>
      <c r="G190" s="164">
        <f>D190-'[5]Augusts'!D190</f>
        <v>91000</v>
      </c>
      <c r="I190" s="154" t="s">
        <v>870</v>
      </c>
      <c r="J190" s="157">
        <f>ROUND(B190/1000,0)</f>
        <v>1644</v>
      </c>
      <c r="K190" s="157">
        <f>ROUND(C190/1000,0)</f>
        <v>1371</v>
      </c>
      <c r="L190" s="157">
        <f>ROUND(D190/1000,0)</f>
        <v>1371</v>
      </c>
      <c r="M190" s="158">
        <f>L190/J190*100</f>
        <v>83.3941605839416</v>
      </c>
      <c r="N190" s="158">
        <f>L190/K190*100</f>
        <v>100</v>
      </c>
      <c r="O190" s="157">
        <f>L190-'[5]Augusts'!L190</f>
        <v>91</v>
      </c>
      <c r="Q190" s="157">
        <v>1371</v>
      </c>
      <c r="R190" s="157">
        <v>1280</v>
      </c>
      <c r="S190" s="140">
        <f t="shared" si="84"/>
        <v>91</v>
      </c>
    </row>
    <row r="191" spans="1:19" ht="12.75" customHeight="1">
      <c r="A191" s="154" t="s">
        <v>872</v>
      </c>
      <c r="B191" s="164"/>
      <c r="C191" s="164"/>
      <c r="D191" s="164"/>
      <c r="E191" s="150"/>
      <c r="F191" s="150"/>
      <c r="G191" s="164">
        <f>D191-'[5]Augusts'!D191</f>
        <v>0</v>
      </c>
      <c r="I191" s="154" t="s">
        <v>872</v>
      </c>
      <c r="J191" s="157"/>
      <c r="K191" s="157"/>
      <c r="L191" s="157"/>
      <c r="M191" s="158"/>
      <c r="N191" s="158"/>
      <c r="O191" s="157">
        <f>L191-'[5]Augusts'!L191</f>
        <v>0</v>
      </c>
      <c r="Q191" s="157"/>
      <c r="R191" s="157"/>
      <c r="S191" s="140">
        <f t="shared" si="84"/>
        <v>0</v>
      </c>
    </row>
    <row r="192" spans="1:19" ht="12.75" customHeight="1">
      <c r="A192" s="160" t="s">
        <v>874</v>
      </c>
      <c r="B192" s="166">
        <f>SUM(B193)</f>
        <v>1643907</v>
      </c>
      <c r="C192" s="166">
        <f>SUM(C193)</f>
        <v>1371017</v>
      </c>
      <c r="D192" s="166">
        <f>SUM(D193)</f>
        <v>1371017</v>
      </c>
      <c r="E192" s="150">
        <f>IF(ISERROR(D192/B192)," ",(D192/B192))*100</f>
        <v>83.39991252546525</v>
      </c>
      <c r="F192" s="150">
        <f>IF(ISERROR(D192/C192)," ",(D192/C192))*100</f>
        <v>100</v>
      </c>
      <c r="G192" s="166">
        <f>SUM(G193)</f>
        <v>214904.6100000001</v>
      </c>
      <c r="I192" s="160" t="s">
        <v>874</v>
      </c>
      <c r="J192" s="147">
        <f>J193+J194</f>
        <v>1644</v>
      </c>
      <c r="K192" s="147">
        <f>K193</f>
        <v>1371</v>
      </c>
      <c r="L192" s="147">
        <f>L193</f>
        <v>1371</v>
      </c>
      <c r="M192" s="156">
        <f>L192/J192*100</f>
        <v>83.3941605839416</v>
      </c>
      <c r="N192" s="156">
        <f>L192/K192*100</f>
        <v>100</v>
      </c>
      <c r="O192" s="147">
        <f>SUM(O193)</f>
        <v>215</v>
      </c>
      <c r="Q192" s="147">
        <v>1371</v>
      </c>
      <c r="R192" s="147">
        <v>1156</v>
      </c>
      <c r="S192" s="140">
        <f t="shared" si="84"/>
        <v>215</v>
      </c>
    </row>
    <row r="193" spans="1:19" ht="12.75" customHeight="1">
      <c r="A193" s="162" t="s">
        <v>875</v>
      </c>
      <c r="B193" s="164">
        <v>1643907</v>
      </c>
      <c r="C193" s="164">
        <v>1371017</v>
      </c>
      <c r="D193" s="164">
        <v>1371017</v>
      </c>
      <c r="E193" s="150">
        <f>IF(ISERROR(D193/B193)," ",(D193/B193))*100</f>
        <v>83.39991252546525</v>
      </c>
      <c r="F193" s="150">
        <f>IF(ISERROR(D193/C193)," ",(D193/C193))*100</f>
        <v>100</v>
      </c>
      <c r="G193" s="164">
        <f>D193-'[5]Augusts'!D193</f>
        <v>214904.6100000001</v>
      </c>
      <c r="I193" s="162" t="s">
        <v>875</v>
      </c>
      <c r="J193" s="157">
        <f>ROUND(B193/1000,0)</f>
        <v>1644</v>
      </c>
      <c r="K193" s="157">
        <f>ROUND(C193/1000,0)</f>
        <v>1371</v>
      </c>
      <c r="L193" s="157">
        <f>ROUND(D193/1000,0)</f>
        <v>1371</v>
      </c>
      <c r="M193" s="158">
        <f>L193/J193*100</f>
        <v>83.3941605839416</v>
      </c>
      <c r="N193" s="158">
        <f>L193/K193*100</f>
        <v>100</v>
      </c>
      <c r="O193" s="147">
        <f>L193-'[5]Augusts'!L193</f>
        <v>215</v>
      </c>
      <c r="Q193" s="157">
        <v>1371</v>
      </c>
      <c r="R193" s="157">
        <v>1156</v>
      </c>
      <c r="S193" s="140">
        <f t="shared" si="84"/>
        <v>215</v>
      </c>
    </row>
    <row r="194" spans="1:19" ht="12.75" customHeight="1">
      <c r="A194" s="160" t="s">
        <v>706</v>
      </c>
      <c r="B194" s="166"/>
      <c r="C194" s="166"/>
      <c r="D194" s="166"/>
      <c r="E194" s="166"/>
      <c r="F194" s="166"/>
      <c r="G194" s="166"/>
      <c r="I194" s="160" t="s">
        <v>706</v>
      </c>
      <c r="J194" s="166"/>
      <c r="K194" s="166"/>
      <c r="L194" s="166"/>
      <c r="M194" s="158"/>
      <c r="N194" s="158"/>
      <c r="O194" s="166"/>
      <c r="Q194" s="166"/>
      <c r="R194" s="166"/>
      <c r="S194" s="140">
        <f t="shared" si="84"/>
        <v>0</v>
      </c>
    </row>
    <row r="195" spans="1:19" ht="12.75" customHeight="1">
      <c r="A195" s="154" t="s">
        <v>869</v>
      </c>
      <c r="B195" s="164">
        <f>SUM(B196:B197)</f>
        <v>6785420</v>
      </c>
      <c r="C195" s="166">
        <f>SUM(C196:C197)</f>
        <v>5121960</v>
      </c>
      <c r="D195" s="166">
        <f>SUM(D196:D197)</f>
        <v>5125750</v>
      </c>
      <c r="E195" s="149">
        <f aca="true" t="shared" si="104" ref="E195:E200">IF(ISERROR(D195/B195)," ",(D195/B195))*100</f>
        <v>75.54064449952988</v>
      </c>
      <c r="F195" s="149">
        <f>IF(ISERROR(D195/C195)," ",(D195/C195))*100</f>
        <v>100.07399511124649</v>
      </c>
      <c r="G195" s="166">
        <f>SUM(G196:G197)</f>
        <v>548367</v>
      </c>
      <c r="I195" s="154" t="s">
        <v>869</v>
      </c>
      <c r="J195" s="147">
        <f>J196+J197</f>
        <v>6785</v>
      </c>
      <c r="K195" s="147">
        <f>K196+K197</f>
        <v>5122</v>
      </c>
      <c r="L195" s="147">
        <f>L196+L197</f>
        <v>5126</v>
      </c>
      <c r="M195" s="156">
        <f aca="true" t="shared" si="105" ref="M195:M200">L195/J195*100</f>
        <v>75.54900515843774</v>
      </c>
      <c r="N195" s="156">
        <f>L195/K195*100</f>
        <v>100.07809449433816</v>
      </c>
      <c r="O195" s="147">
        <f>SUM(O196:O197)</f>
        <v>549</v>
      </c>
      <c r="Q195" s="147">
        <v>5126</v>
      </c>
      <c r="R195" s="147">
        <v>4577</v>
      </c>
      <c r="S195" s="140">
        <f t="shared" si="84"/>
        <v>549</v>
      </c>
    </row>
    <row r="196" spans="1:19" ht="12.75" customHeight="1">
      <c r="A196" s="154" t="s">
        <v>870</v>
      </c>
      <c r="B196" s="164">
        <v>6783580</v>
      </c>
      <c r="C196" s="164">
        <v>5121660</v>
      </c>
      <c r="D196" s="164">
        <v>5121660</v>
      </c>
      <c r="E196" s="150">
        <f t="shared" si="104"/>
        <v>75.5008417384331</v>
      </c>
      <c r="F196" s="150">
        <f>IF(ISERROR(D196/C196)," ",(D196/C196))*100</f>
        <v>100</v>
      </c>
      <c r="G196" s="164">
        <f>D196-'[5]Augusts'!D196</f>
        <v>546447</v>
      </c>
      <c r="I196" s="154" t="s">
        <v>870</v>
      </c>
      <c r="J196" s="157">
        <f>ROUND(B196/1000,0)-1</f>
        <v>6783</v>
      </c>
      <c r="K196" s="157">
        <f>ROUND(C196/1000,0)</f>
        <v>5122</v>
      </c>
      <c r="L196" s="157">
        <f>ROUND(D196/1000,0)</f>
        <v>5122</v>
      </c>
      <c r="M196" s="158">
        <f t="shared" si="105"/>
        <v>75.51231018723279</v>
      </c>
      <c r="N196" s="158">
        <f>L196/K196*100</f>
        <v>100</v>
      </c>
      <c r="O196" s="157">
        <f>L196-'[5]Augusts'!L196</f>
        <v>547</v>
      </c>
      <c r="Q196" s="157">
        <v>5122</v>
      </c>
      <c r="R196" s="157">
        <v>4575</v>
      </c>
      <c r="S196" s="140">
        <f t="shared" si="84"/>
        <v>547</v>
      </c>
    </row>
    <row r="197" spans="1:19" ht="12.75" customHeight="1">
      <c r="A197" s="154" t="s">
        <v>872</v>
      </c>
      <c r="B197" s="164">
        <v>1840</v>
      </c>
      <c r="C197" s="164">
        <v>300</v>
      </c>
      <c r="D197" s="164">
        <v>4090</v>
      </c>
      <c r="E197" s="150">
        <f t="shared" si="104"/>
        <v>222.2826086956522</v>
      </c>
      <c r="F197" s="150"/>
      <c r="G197" s="164">
        <f>D197-'[5]Augusts'!D197</f>
        <v>1920</v>
      </c>
      <c r="I197" s="154" t="s">
        <v>872</v>
      </c>
      <c r="J197" s="157">
        <f>ROUND(B197/1000,0)</f>
        <v>2</v>
      </c>
      <c r="K197" s="157"/>
      <c r="L197" s="157">
        <f>ROUND(D197/1000,0)</f>
        <v>4</v>
      </c>
      <c r="M197" s="158">
        <f t="shared" si="105"/>
        <v>200</v>
      </c>
      <c r="N197" s="158"/>
      <c r="O197" s="157">
        <f>L197-'[5]Augusts'!L197</f>
        <v>2</v>
      </c>
      <c r="Q197" s="157">
        <v>4</v>
      </c>
      <c r="R197" s="157">
        <v>2</v>
      </c>
      <c r="S197" s="140">
        <f t="shared" si="84"/>
        <v>2</v>
      </c>
    </row>
    <row r="198" spans="1:19" ht="12.75" customHeight="1">
      <c r="A198" s="160" t="s">
        <v>874</v>
      </c>
      <c r="B198" s="166">
        <f>SUM(B199:B200)</f>
        <v>6785420</v>
      </c>
      <c r="C198" s="166">
        <f>SUM(C199:C200)</f>
        <v>5121960</v>
      </c>
      <c r="D198" s="166">
        <f>SUM(D199:D200)</f>
        <v>5114408.13</v>
      </c>
      <c r="E198" s="150">
        <f t="shared" si="104"/>
        <v>75.373493903104</v>
      </c>
      <c r="F198" s="150">
        <f>IF(ISERROR(D198/C198)," ",(D198/C198))*100</f>
        <v>99.85255898132746</v>
      </c>
      <c r="G198" s="166">
        <f>SUM(G199:G200)</f>
        <v>547378.8700000001</v>
      </c>
      <c r="H198" s="168"/>
      <c r="I198" s="160" t="s">
        <v>874</v>
      </c>
      <c r="J198" s="147">
        <f>J199+J200</f>
        <v>6785</v>
      </c>
      <c r="K198" s="147">
        <f>K199+K200</f>
        <v>5122</v>
      </c>
      <c r="L198" s="147">
        <f>L199+L200</f>
        <v>5115</v>
      </c>
      <c r="M198" s="156">
        <f t="shared" si="105"/>
        <v>75.38688282977155</v>
      </c>
      <c r="N198" s="156">
        <f>L198/K198*100</f>
        <v>99.86333463490824</v>
      </c>
      <c r="O198" s="147">
        <f>SUM(O199:O200)</f>
        <v>548</v>
      </c>
      <c r="Q198" s="147">
        <v>5115</v>
      </c>
      <c r="R198" s="147">
        <v>4567</v>
      </c>
      <c r="S198" s="140">
        <f t="shared" si="84"/>
        <v>548</v>
      </c>
    </row>
    <row r="199" spans="1:19" ht="12.75" customHeight="1">
      <c r="A199" s="162" t="s">
        <v>875</v>
      </c>
      <c r="B199" s="164">
        <v>6593420</v>
      </c>
      <c r="C199" s="164">
        <v>4931960</v>
      </c>
      <c r="D199" s="164">
        <v>4924596.62</v>
      </c>
      <c r="E199" s="150">
        <f t="shared" si="104"/>
        <v>74.68956353455415</v>
      </c>
      <c r="F199" s="150">
        <f>IF(ISERROR(D199/C199)," ",(D199/C199))*100</f>
        <v>99.85070073561019</v>
      </c>
      <c r="G199" s="164">
        <f>D199-'[5]Augusts'!D199</f>
        <v>547378.8700000001</v>
      </c>
      <c r="I199" s="162" t="s">
        <v>875</v>
      </c>
      <c r="J199" s="157">
        <f aca="true" t="shared" si="106" ref="J199:L200">ROUND(B199/1000,0)</f>
        <v>6593</v>
      </c>
      <c r="K199" s="157">
        <f t="shared" si="106"/>
        <v>4932</v>
      </c>
      <c r="L199" s="157">
        <f t="shared" si="106"/>
        <v>4925</v>
      </c>
      <c r="M199" s="158">
        <f t="shared" si="105"/>
        <v>74.70043986045806</v>
      </c>
      <c r="N199" s="158">
        <f>L199/K199*100</f>
        <v>99.8580697485807</v>
      </c>
      <c r="O199" s="157">
        <f>L199-'[5]Augusts'!L199</f>
        <v>548</v>
      </c>
      <c r="Q199" s="157">
        <v>4925</v>
      </c>
      <c r="R199" s="157">
        <v>4377</v>
      </c>
      <c r="S199" s="140">
        <f t="shared" si="84"/>
        <v>548</v>
      </c>
    </row>
    <row r="200" spans="1:19" ht="12.75" customHeight="1">
      <c r="A200" s="162" t="s">
        <v>876</v>
      </c>
      <c r="B200" s="164">
        <v>192000</v>
      </c>
      <c r="C200" s="164">
        <v>190000</v>
      </c>
      <c r="D200" s="164">
        <v>189811.51</v>
      </c>
      <c r="E200" s="150">
        <f t="shared" si="104"/>
        <v>98.86016145833334</v>
      </c>
      <c r="F200" s="150">
        <f>IF(ISERROR(D200/C200)," ",(D200/C200))*100</f>
        <v>99.90079473684212</v>
      </c>
      <c r="G200" s="164">
        <f>D200-'[5]Augusts'!D200</f>
        <v>0</v>
      </c>
      <c r="I200" s="162" t="s">
        <v>876</v>
      </c>
      <c r="J200" s="157">
        <f t="shared" si="106"/>
        <v>192</v>
      </c>
      <c r="K200" s="157">
        <f t="shared" si="106"/>
        <v>190</v>
      </c>
      <c r="L200" s="157">
        <f t="shared" si="106"/>
        <v>190</v>
      </c>
      <c r="M200" s="158">
        <f t="shared" si="105"/>
        <v>98.95833333333334</v>
      </c>
      <c r="N200" s="158">
        <f>L200/K200*100</f>
        <v>100</v>
      </c>
      <c r="O200" s="157">
        <f>L200-'[5]Augusts'!L200</f>
        <v>0</v>
      </c>
      <c r="Q200" s="157">
        <v>190</v>
      </c>
      <c r="R200" s="157">
        <v>190</v>
      </c>
      <c r="S200" s="140">
        <f t="shared" si="84"/>
        <v>0</v>
      </c>
    </row>
    <row r="201" spans="1:19" ht="12.75" customHeight="1">
      <c r="A201" s="165" t="s">
        <v>927</v>
      </c>
      <c r="B201" s="164"/>
      <c r="C201" s="164"/>
      <c r="D201" s="164"/>
      <c r="E201" s="164"/>
      <c r="F201" s="164"/>
      <c r="G201" s="164"/>
      <c r="I201" s="165" t="s">
        <v>928</v>
      </c>
      <c r="J201" s="164"/>
      <c r="K201" s="164"/>
      <c r="L201" s="164"/>
      <c r="M201" s="158"/>
      <c r="N201" s="158"/>
      <c r="O201" s="164"/>
      <c r="Q201" s="164"/>
      <c r="R201" s="164"/>
      <c r="S201" s="140">
        <f t="shared" si="84"/>
        <v>0</v>
      </c>
    </row>
    <row r="202" spans="1:19" ht="12.75" customHeight="1">
      <c r="A202" s="154" t="s">
        <v>869</v>
      </c>
      <c r="B202" s="164">
        <f>SUM(B203)</f>
        <v>96191</v>
      </c>
      <c r="C202" s="166">
        <f>SUM(C203)</f>
        <v>72143</v>
      </c>
      <c r="D202" s="166">
        <f>SUM(D203)</f>
        <v>72143</v>
      </c>
      <c r="E202" s="149">
        <f>IF(ISERROR(D202/B202)," ",(D202/B202))*100</f>
        <v>74.9997401004252</v>
      </c>
      <c r="F202" s="149">
        <f>IF(ISERROR(D202/C202)," ",(D202/C202))*100</f>
        <v>100</v>
      </c>
      <c r="G202" s="166">
        <f>SUM(G203)</f>
        <v>8016</v>
      </c>
      <c r="I202" s="154" t="s">
        <v>869</v>
      </c>
      <c r="J202" s="147">
        <f>J203</f>
        <v>96</v>
      </c>
      <c r="K202" s="147">
        <f>K203</f>
        <v>72</v>
      </c>
      <c r="L202" s="147">
        <f>L203</f>
        <v>72</v>
      </c>
      <c r="M202" s="156">
        <f>L202/J202*100</f>
        <v>75</v>
      </c>
      <c r="N202" s="156">
        <f>L202/K202*100</f>
        <v>100</v>
      </c>
      <c r="O202" s="147">
        <f>SUM(O203)</f>
        <v>8</v>
      </c>
      <c r="Q202" s="147">
        <v>72</v>
      </c>
      <c r="R202" s="147">
        <v>64</v>
      </c>
      <c r="S202" s="140">
        <f aca="true" t="shared" si="107" ref="S202:S239">Q202-R202</f>
        <v>8</v>
      </c>
    </row>
    <row r="203" spans="1:19" ht="12.75" customHeight="1">
      <c r="A203" s="154" t="s">
        <v>870</v>
      </c>
      <c r="B203" s="164">
        <v>96191</v>
      </c>
      <c r="C203" s="164">
        <v>72143</v>
      </c>
      <c r="D203" s="164">
        <v>72143</v>
      </c>
      <c r="E203" s="150">
        <f>IF(ISERROR(D203/B203)," ",(D203/B203))*100</f>
        <v>74.9997401004252</v>
      </c>
      <c r="F203" s="150">
        <f>IF(ISERROR(D203/C203)," ",(D203/C203))*100</f>
        <v>100</v>
      </c>
      <c r="G203" s="164">
        <f>D203-'[5]Augusts'!D203</f>
        <v>8016</v>
      </c>
      <c r="I203" s="154" t="s">
        <v>870</v>
      </c>
      <c r="J203" s="157">
        <f>ROUND(B203/1000,0)</f>
        <v>96</v>
      </c>
      <c r="K203" s="157">
        <f>ROUND(C203/1000,0)</f>
        <v>72</v>
      </c>
      <c r="L203" s="157">
        <f>ROUND(D203/1000,0)</f>
        <v>72</v>
      </c>
      <c r="M203" s="158">
        <f>L203/J203*100</f>
        <v>75</v>
      </c>
      <c r="N203" s="158">
        <f>L203/K203*100</f>
        <v>100</v>
      </c>
      <c r="O203" s="157">
        <f>L203-'[5]Augusts'!L203</f>
        <v>8</v>
      </c>
      <c r="Q203" s="157">
        <v>72</v>
      </c>
      <c r="R203" s="157">
        <v>64</v>
      </c>
      <c r="S203" s="140">
        <f t="shared" si="107"/>
        <v>8</v>
      </c>
    </row>
    <row r="204" spans="1:19" ht="12.75" customHeight="1">
      <c r="A204" s="160" t="s">
        <v>874</v>
      </c>
      <c r="B204" s="166">
        <f>SUM(B205)</f>
        <v>96191</v>
      </c>
      <c r="C204" s="166">
        <f>SUM(C205)</f>
        <v>72143</v>
      </c>
      <c r="D204" s="166">
        <f>SUM(D205)</f>
        <v>72143</v>
      </c>
      <c r="E204" s="150">
        <f>IF(ISERROR(D204/B204)," ",(D204/B204))*100</f>
        <v>74.9997401004252</v>
      </c>
      <c r="F204" s="150">
        <f>IF(ISERROR(D204/C204)," ",(D204/C204))*100</f>
        <v>100</v>
      </c>
      <c r="G204" s="166">
        <f>SUM(G205)</f>
        <v>8016</v>
      </c>
      <c r="I204" s="160" t="s">
        <v>874</v>
      </c>
      <c r="J204" s="147">
        <f>J205+J206</f>
        <v>96</v>
      </c>
      <c r="K204" s="147">
        <f>K205</f>
        <v>72</v>
      </c>
      <c r="L204" s="147">
        <f>L205</f>
        <v>72</v>
      </c>
      <c r="M204" s="156">
        <f>L204/J204*100</f>
        <v>75</v>
      </c>
      <c r="N204" s="156">
        <f>L204/K204*100</f>
        <v>100</v>
      </c>
      <c r="O204" s="147">
        <f>SUM(O205)</f>
        <v>8</v>
      </c>
      <c r="Q204" s="147">
        <v>72</v>
      </c>
      <c r="R204" s="147">
        <v>64</v>
      </c>
      <c r="S204" s="140">
        <f t="shared" si="107"/>
        <v>8</v>
      </c>
    </row>
    <row r="205" spans="1:19" ht="12.75" customHeight="1">
      <c r="A205" s="162" t="s">
        <v>875</v>
      </c>
      <c r="B205" s="164">
        <v>96191</v>
      </c>
      <c r="C205" s="164">
        <v>72143</v>
      </c>
      <c r="D205" s="164">
        <v>72143</v>
      </c>
      <c r="E205" s="150">
        <f>IF(ISERROR(D205/B205)," ",(D205/B205))*100</f>
        <v>74.9997401004252</v>
      </c>
      <c r="F205" s="150">
        <f>IF(ISERROR(D205/C205)," ",(D205/C205))*100</f>
        <v>100</v>
      </c>
      <c r="G205" s="164">
        <f>D205-'[5]Augusts'!D205</f>
        <v>8016</v>
      </c>
      <c r="I205" s="162" t="s">
        <v>875</v>
      </c>
      <c r="J205" s="157">
        <f>ROUND(B205/1000,0)</f>
        <v>96</v>
      </c>
      <c r="K205" s="157">
        <f>ROUND(C205/1000,0)</f>
        <v>72</v>
      </c>
      <c r="L205" s="157">
        <f>ROUND(D205/1000,0)</f>
        <v>72</v>
      </c>
      <c r="M205" s="158">
        <f>L205/J205*100</f>
        <v>75</v>
      </c>
      <c r="N205" s="158">
        <f>L205/K205*100</f>
        <v>100</v>
      </c>
      <c r="O205" s="157">
        <f>L205-'[5]Augusts'!L205</f>
        <v>8</v>
      </c>
      <c r="Q205" s="157">
        <v>72</v>
      </c>
      <c r="R205" s="157">
        <v>64</v>
      </c>
      <c r="S205" s="140">
        <f t="shared" si="107"/>
        <v>8</v>
      </c>
    </row>
    <row r="206" spans="1:19" ht="37.5" customHeight="1">
      <c r="A206" s="165" t="s">
        <v>929</v>
      </c>
      <c r="B206" s="164"/>
      <c r="C206" s="164"/>
      <c r="D206" s="164"/>
      <c r="E206" s="164"/>
      <c r="F206" s="164"/>
      <c r="G206" s="164"/>
      <c r="I206" s="165" t="s">
        <v>930</v>
      </c>
      <c r="J206" s="164"/>
      <c r="K206" s="164"/>
      <c r="L206" s="164"/>
      <c r="M206" s="158"/>
      <c r="N206" s="158"/>
      <c r="O206" s="164"/>
      <c r="Q206" s="164"/>
      <c r="R206" s="164"/>
      <c r="S206" s="140">
        <f t="shared" si="107"/>
        <v>0</v>
      </c>
    </row>
    <row r="207" spans="1:19" ht="12.75" customHeight="1">
      <c r="A207" s="154" t="s">
        <v>869</v>
      </c>
      <c r="B207" s="164">
        <f>SUM(B208:B210)</f>
        <v>4644016</v>
      </c>
      <c r="C207" s="166">
        <f>SUM(C208:C210)</f>
        <v>2918356</v>
      </c>
      <c r="D207" s="166">
        <f>SUM(D208:D210)</f>
        <v>1617060</v>
      </c>
      <c r="E207" s="149">
        <f>IF(ISERROR(D207/B207)," ",(D207/B207))*100</f>
        <v>34.82029347013447</v>
      </c>
      <c r="F207" s="149">
        <f>IF(ISERROR(D207/C207)," ",(D207/C207))*100</f>
        <v>55.4099636918868</v>
      </c>
      <c r="G207" s="166">
        <f>SUM(G208:G210)</f>
        <v>292600</v>
      </c>
      <c r="I207" s="154" t="s">
        <v>869</v>
      </c>
      <c r="J207" s="147">
        <f>J208+J209+J210</f>
        <v>4644</v>
      </c>
      <c r="K207" s="147">
        <f>K208+K209+K210</f>
        <v>2919</v>
      </c>
      <c r="L207" s="147">
        <f>L208+L209+L210</f>
        <v>1617</v>
      </c>
      <c r="M207" s="156">
        <f>L207/J207*100</f>
        <v>34.81912144702842</v>
      </c>
      <c r="N207" s="156">
        <f>L207/K207*100</f>
        <v>55.39568345323741</v>
      </c>
      <c r="O207" s="147">
        <f>SUM(O208:O210)</f>
        <v>293</v>
      </c>
      <c r="Q207" s="147">
        <v>1617</v>
      </c>
      <c r="R207" s="147">
        <v>1324</v>
      </c>
      <c r="S207" s="140">
        <f t="shared" si="107"/>
        <v>293</v>
      </c>
    </row>
    <row r="208" spans="1:19" ht="12" customHeight="1">
      <c r="A208" s="154" t="s">
        <v>870</v>
      </c>
      <c r="B208" s="164">
        <v>1096159</v>
      </c>
      <c r="C208" s="164">
        <v>818837</v>
      </c>
      <c r="D208" s="164">
        <v>818837</v>
      </c>
      <c r="E208" s="150">
        <f>IF(ISERROR(D208/B208)," ",(D208/B208))*100</f>
        <v>74.70056807452204</v>
      </c>
      <c r="F208" s="150">
        <f>IF(ISERROR(D208/C208)," ",(D208/C208))*100</f>
        <v>100</v>
      </c>
      <c r="G208" s="164">
        <f>D208-'[5]Augusts'!D208</f>
        <v>114784</v>
      </c>
      <c r="I208" s="154" t="s">
        <v>870</v>
      </c>
      <c r="J208" s="157">
        <f>ROUND(B208/1000,0)</f>
        <v>1096</v>
      </c>
      <c r="K208" s="157">
        <f>ROUND(C208/1000,0)</f>
        <v>819</v>
      </c>
      <c r="L208" s="157">
        <f>ROUND(D208/1000,0)</f>
        <v>819</v>
      </c>
      <c r="M208" s="158">
        <f>L208/J208*100</f>
        <v>74.72627737226277</v>
      </c>
      <c r="N208" s="158">
        <f>L208/K208*100</f>
        <v>100</v>
      </c>
      <c r="O208" s="157">
        <f>L208-'[5]Augusts'!L208</f>
        <v>115</v>
      </c>
      <c r="Q208" s="157">
        <v>819</v>
      </c>
      <c r="R208" s="157">
        <v>704</v>
      </c>
      <c r="S208" s="140">
        <f t="shared" si="107"/>
        <v>115</v>
      </c>
    </row>
    <row r="209" spans="1:19" ht="12.75" customHeight="1" hidden="1">
      <c r="A209" s="154" t="s">
        <v>872</v>
      </c>
      <c r="B209" s="164"/>
      <c r="C209" s="164"/>
      <c r="D209" s="164"/>
      <c r="E209" s="150"/>
      <c r="F209" s="150"/>
      <c r="G209" s="164">
        <f>D209-'[5]Augusts'!D209</f>
        <v>0</v>
      </c>
      <c r="I209" s="154"/>
      <c r="J209" s="157"/>
      <c r="K209" s="157"/>
      <c r="L209" s="157"/>
      <c r="M209" s="158"/>
      <c r="N209" s="158"/>
      <c r="O209" s="157">
        <f>L209-'[5]Augusts'!L209</f>
        <v>0</v>
      </c>
      <c r="Q209" s="157"/>
      <c r="R209" s="157"/>
      <c r="S209" s="140">
        <f t="shared" si="107"/>
        <v>0</v>
      </c>
    </row>
    <row r="210" spans="1:19" ht="12.75" customHeight="1">
      <c r="A210" s="154" t="s">
        <v>873</v>
      </c>
      <c r="B210" s="164">
        <v>3547857</v>
      </c>
      <c r="C210" s="164">
        <v>2099519</v>
      </c>
      <c r="D210" s="164">
        <v>798223</v>
      </c>
      <c r="E210" s="150">
        <f>IF(ISERROR(D210/B210)," ",(D210/B210))*100</f>
        <v>22.498736561253736</v>
      </c>
      <c r="F210" s="150">
        <f>IF(ISERROR(D210/C210)," ",(D210/C210))*100</f>
        <v>38.01932728401125</v>
      </c>
      <c r="G210" s="164">
        <f>D210-'[5]Augusts'!D210</f>
        <v>177816</v>
      </c>
      <c r="I210" s="154" t="s">
        <v>873</v>
      </c>
      <c r="J210" s="157">
        <f>ROUND(B210/1000,0)</f>
        <v>3548</v>
      </c>
      <c r="K210" s="157">
        <f>ROUND(C210/1000,0)</f>
        <v>2100</v>
      </c>
      <c r="L210" s="157">
        <f>ROUND(D210/1000,0)</f>
        <v>798</v>
      </c>
      <c r="M210" s="158">
        <f>L210/J210*100</f>
        <v>22.491544532130778</v>
      </c>
      <c r="N210" s="158">
        <f>L210/K210*100</f>
        <v>38</v>
      </c>
      <c r="O210" s="157">
        <f>L210-'[5]Augusts'!L210</f>
        <v>178</v>
      </c>
      <c r="Q210" s="157">
        <v>798</v>
      </c>
      <c r="R210" s="157">
        <v>620</v>
      </c>
      <c r="S210" s="140">
        <f t="shared" si="107"/>
        <v>178</v>
      </c>
    </row>
    <row r="211" spans="1:19" ht="12.75" customHeight="1">
      <c r="A211" s="160" t="s">
        <v>874</v>
      </c>
      <c r="B211" s="166">
        <f>SUM(B212:B213)</f>
        <v>4644016</v>
      </c>
      <c r="C211" s="166">
        <f>SUM(C212:C213)</f>
        <v>2918356</v>
      </c>
      <c r="D211" s="166">
        <f>SUM(D212:D213)</f>
        <v>1429506.51</v>
      </c>
      <c r="E211" s="150">
        <f>IF(ISERROR(D211/B211)," ",(D211/B211))*100</f>
        <v>30.781687875321705</v>
      </c>
      <c r="F211" s="150">
        <f>IF(ISERROR(D211/C211)," ",(D211/C211))*100</f>
        <v>48.983280655273035</v>
      </c>
      <c r="G211" s="166">
        <f>SUM(G212:G213)</f>
        <v>229953.3600000001</v>
      </c>
      <c r="I211" s="160" t="s">
        <v>874</v>
      </c>
      <c r="J211" s="147">
        <f>J212+J213</f>
        <v>4644</v>
      </c>
      <c r="K211" s="147">
        <f>K212+K213</f>
        <v>2919</v>
      </c>
      <c r="L211" s="147">
        <f>L212+L213</f>
        <v>1429</v>
      </c>
      <c r="M211" s="156">
        <f>L211/J211*100</f>
        <v>30.770887166236005</v>
      </c>
      <c r="N211" s="156">
        <f>L211/K211*100</f>
        <v>48.95512161699212</v>
      </c>
      <c r="O211" s="147">
        <f>SUM(O212:O213)</f>
        <v>230</v>
      </c>
      <c r="Q211" s="147">
        <v>1429</v>
      </c>
      <c r="R211" s="147">
        <v>1199</v>
      </c>
      <c r="S211" s="140">
        <f t="shared" si="107"/>
        <v>230</v>
      </c>
    </row>
    <row r="212" spans="1:19" ht="12">
      <c r="A212" s="162" t="s">
        <v>875</v>
      </c>
      <c r="B212" s="164">
        <v>3414266</v>
      </c>
      <c r="C212" s="164">
        <v>2606794</v>
      </c>
      <c r="D212" s="164">
        <v>1427062.85</v>
      </c>
      <c r="E212" s="150">
        <f>IF(ISERROR(D212/B212)," ",(D212/B212))*100</f>
        <v>41.7970612131568</v>
      </c>
      <c r="F212" s="150">
        <f>IF(ISERROR(D212/C212)," ",(D212/C212))*100</f>
        <v>54.74398245507701</v>
      </c>
      <c r="G212" s="164">
        <f>D212-'[5]Augusts'!D212</f>
        <v>229953.3600000001</v>
      </c>
      <c r="I212" s="162" t="s">
        <v>875</v>
      </c>
      <c r="J212" s="157">
        <f aca="true" t="shared" si="108" ref="J212:L213">ROUND(B212/1000,0)</f>
        <v>3414</v>
      </c>
      <c r="K212" s="157">
        <f t="shared" si="108"/>
        <v>2607</v>
      </c>
      <c r="L212" s="157">
        <f t="shared" si="108"/>
        <v>1427</v>
      </c>
      <c r="M212" s="158">
        <f>L212/J212*100</f>
        <v>41.798476859988284</v>
      </c>
      <c r="N212" s="158">
        <f>L212/K212*100</f>
        <v>54.737245876486384</v>
      </c>
      <c r="O212" s="147">
        <f>L212-'[5]Augusts'!L212</f>
        <v>230</v>
      </c>
      <c r="Q212" s="157">
        <v>1427</v>
      </c>
      <c r="R212" s="157">
        <v>1197</v>
      </c>
      <c r="S212" s="140">
        <f t="shared" si="107"/>
        <v>230</v>
      </c>
    </row>
    <row r="213" spans="1:19" ht="12">
      <c r="A213" s="162" t="s">
        <v>876</v>
      </c>
      <c r="B213" s="164">
        <v>1229750</v>
      </c>
      <c r="C213" s="164">
        <v>311562</v>
      </c>
      <c r="D213" s="164">
        <v>2443.66</v>
      </c>
      <c r="E213" s="150"/>
      <c r="F213" s="150"/>
      <c r="G213" s="164">
        <f>D213-'[5]Augusts'!D213</f>
        <v>0</v>
      </c>
      <c r="I213" s="162" t="s">
        <v>876</v>
      </c>
      <c r="J213" s="157">
        <f t="shared" si="108"/>
        <v>1230</v>
      </c>
      <c r="K213" s="157">
        <f>ROUND(C213/1000,0)</f>
        <v>312</v>
      </c>
      <c r="L213" s="157">
        <f t="shared" si="108"/>
        <v>2</v>
      </c>
      <c r="M213" s="158">
        <f>L213/J213*100</f>
        <v>0.16260162601626016</v>
      </c>
      <c r="N213" s="158">
        <f>L213/K213*100</f>
        <v>0.641025641025641</v>
      </c>
      <c r="O213" s="147">
        <f>L213-'[5]Augusts'!L213</f>
        <v>0</v>
      </c>
      <c r="Q213" s="157">
        <v>2</v>
      </c>
      <c r="R213" s="157">
        <v>2</v>
      </c>
      <c r="S213" s="140">
        <f t="shared" si="107"/>
        <v>0</v>
      </c>
    </row>
    <row r="214" spans="1:19" ht="25.5" customHeight="1">
      <c r="A214" s="165" t="s">
        <v>931</v>
      </c>
      <c r="B214" s="166"/>
      <c r="C214" s="166"/>
      <c r="D214" s="166"/>
      <c r="E214" s="166"/>
      <c r="F214" s="166"/>
      <c r="G214" s="166"/>
      <c r="I214" s="165" t="s">
        <v>932</v>
      </c>
      <c r="J214" s="166"/>
      <c r="K214" s="166"/>
      <c r="L214" s="166"/>
      <c r="M214" s="158"/>
      <c r="N214" s="158"/>
      <c r="O214" s="166"/>
      <c r="Q214" s="166"/>
      <c r="R214" s="166"/>
      <c r="S214" s="140">
        <f t="shared" si="107"/>
        <v>0</v>
      </c>
    </row>
    <row r="215" spans="1:19" ht="12.75" customHeight="1">
      <c r="A215" s="154" t="s">
        <v>869</v>
      </c>
      <c r="B215" s="164">
        <f>SUM(B216:B218)</f>
        <v>2510938</v>
      </c>
      <c r="C215" s="166">
        <f>SUM(C216:C218)</f>
        <v>1917621</v>
      </c>
      <c r="D215" s="166">
        <f>SUM(D216:D218)</f>
        <v>1254339</v>
      </c>
      <c r="E215" s="149">
        <f>IF(ISERROR(D215/B215)," ",(D215/B215))*100</f>
        <v>49.954996897573736</v>
      </c>
      <c r="F215" s="149">
        <f>IF(ISERROR(D215/C215)," ",(D215/C215))*100</f>
        <v>65.4112048209735</v>
      </c>
      <c r="G215" s="166">
        <f>SUM(G216:G218)</f>
        <v>88000.45</v>
      </c>
      <c r="I215" s="154" t="s">
        <v>869</v>
      </c>
      <c r="J215" s="147">
        <f>J216+J217+J218</f>
        <v>2511</v>
      </c>
      <c r="K215" s="147">
        <f>K216+K217+K218</f>
        <v>1918</v>
      </c>
      <c r="L215" s="147">
        <f>L216+L217+L218</f>
        <v>1255</v>
      </c>
      <c r="M215" s="156">
        <f>L215/J215*100</f>
        <v>49.98008761449621</v>
      </c>
      <c r="N215" s="156">
        <f>L215/K215*100</f>
        <v>65.43274244004171</v>
      </c>
      <c r="O215" s="147">
        <f>SUM(O216:O218)</f>
        <v>88</v>
      </c>
      <c r="Q215" s="147">
        <v>1255</v>
      </c>
      <c r="R215" s="147">
        <v>1167</v>
      </c>
      <c r="S215" s="140">
        <f t="shared" si="107"/>
        <v>88</v>
      </c>
    </row>
    <row r="216" spans="1:19" ht="12.75" customHeight="1">
      <c r="A216" s="154" t="s">
        <v>870</v>
      </c>
      <c r="B216" s="164">
        <v>1432968</v>
      </c>
      <c r="C216" s="164">
        <v>934789</v>
      </c>
      <c r="D216" s="164">
        <v>934789</v>
      </c>
      <c r="E216" s="150">
        <f>IF(ISERROR(D216/B216)," ",(D216/B216))*100</f>
        <v>65.23446441232463</v>
      </c>
      <c r="F216" s="150">
        <f>IF(ISERROR(D216/C216)," ",(D216/C216))*100</f>
        <v>100</v>
      </c>
      <c r="G216" s="164">
        <f>D216-'[5]Augusts'!D216</f>
        <v>87998</v>
      </c>
      <c r="I216" s="154" t="s">
        <v>870</v>
      </c>
      <c r="J216" s="157">
        <f>ROUND(B216/1000,0)</f>
        <v>1433</v>
      </c>
      <c r="K216" s="157">
        <f>ROUND(C216/1000,0)</f>
        <v>935</v>
      </c>
      <c r="L216" s="157">
        <f>ROUND(D216/1000,0)</f>
        <v>935</v>
      </c>
      <c r="M216" s="158">
        <f>L216/J216*100</f>
        <v>65.24773203070482</v>
      </c>
      <c r="N216" s="158">
        <f>L216/K216*100</f>
        <v>100</v>
      </c>
      <c r="O216" s="157">
        <f>L216-'[5]Augusts'!L216</f>
        <v>88</v>
      </c>
      <c r="Q216" s="157">
        <v>935</v>
      </c>
      <c r="R216" s="157">
        <v>847</v>
      </c>
      <c r="S216" s="140">
        <f t="shared" si="107"/>
        <v>88</v>
      </c>
    </row>
    <row r="217" spans="1:19" ht="15" customHeight="1">
      <c r="A217" s="154" t="s">
        <v>872</v>
      </c>
      <c r="B217" s="164"/>
      <c r="C217" s="164"/>
      <c r="D217" s="164">
        <v>23</v>
      </c>
      <c r="E217" s="150"/>
      <c r="F217" s="150"/>
      <c r="G217" s="164">
        <f>D217-'[5]Augusts'!D217</f>
        <v>2.4499999999999993</v>
      </c>
      <c r="I217" s="154" t="s">
        <v>872</v>
      </c>
      <c r="J217" s="157"/>
      <c r="K217" s="157"/>
      <c r="L217" s="157"/>
      <c r="M217" s="158"/>
      <c r="N217" s="158"/>
      <c r="O217" s="157">
        <f>L217-'[5]Augusts'!L217</f>
        <v>0</v>
      </c>
      <c r="Q217" s="157"/>
      <c r="R217" s="157"/>
      <c r="S217" s="140">
        <f t="shared" si="107"/>
        <v>0</v>
      </c>
    </row>
    <row r="218" spans="1:19" ht="12.75" customHeight="1">
      <c r="A218" s="154" t="s">
        <v>873</v>
      </c>
      <c r="B218" s="164">
        <v>1077970</v>
      </c>
      <c r="C218" s="164">
        <v>982832</v>
      </c>
      <c r="D218" s="164">
        <v>319527</v>
      </c>
      <c r="E218" s="150">
        <f>IF(ISERROR(D218/B218)," ",(D218/B218))*100</f>
        <v>29.641548466098318</v>
      </c>
      <c r="F218" s="150">
        <f>IF(ISERROR(E218/C218)," ",(E218/C218))*100</f>
        <v>0.003015932373599793</v>
      </c>
      <c r="G218" s="164">
        <f>D218-'[5]Augusts'!D218</f>
        <v>0</v>
      </c>
      <c r="I218" s="154" t="s">
        <v>873</v>
      </c>
      <c r="J218" s="157">
        <f>ROUND(B218/1000,0)</f>
        <v>1078</v>
      </c>
      <c r="K218" s="157">
        <f>ROUND(C218/1000,0)</f>
        <v>983</v>
      </c>
      <c r="L218" s="157">
        <f>ROUND(D218/1000,0)</f>
        <v>320</v>
      </c>
      <c r="M218" s="158">
        <f>L218/J218*100</f>
        <v>29.684601113172544</v>
      </c>
      <c r="N218" s="158">
        <f>L218/K218*100</f>
        <v>32.55340793489319</v>
      </c>
      <c r="O218" s="157">
        <f>L218-'[5]Augusts'!L218</f>
        <v>0</v>
      </c>
      <c r="Q218" s="157">
        <v>320</v>
      </c>
      <c r="R218" s="157">
        <v>320</v>
      </c>
      <c r="S218" s="140">
        <f t="shared" si="107"/>
        <v>0</v>
      </c>
    </row>
    <row r="219" spans="1:19" ht="12.75" customHeight="1">
      <c r="A219" s="160" t="s">
        <v>874</v>
      </c>
      <c r="B219" s="166">
        <f>SUM(B220:B221)</f>
        <v>2510938</v>
      </c>
      <c r="C219" s="166">
        <f>SUM(C220:C221)</f>
        <v>1917621</v>
      </c>
      <c r="D219" s="166">
        <f>SUM(D220:D221)</f>
        <v>1157325.43</v>
      </c>
      <c r="E219" s="150">
        <f>IF(ISERROR(D219/B219)," ",(D219/B219))*100</f>
        <v>46.091358289213034</v>
      </c>
      <c r="F219" s="150">
        <f>IF(ISERROR(D219/C219)," ",(D219/C219))*100</f>
        <v>60.35214622701774</v>
      </c>
      <c r="G219" s="166">
        <f>SUM(G220:G221)</f>
        <v>89208.03000000003</v>
      </c>
      <c r="I219" s="160" t="s">
        <v>874</v>
      </c>
      <c r="J219" s="147">
        <f>J220+J221</f>
        <v>2511</v>
      </c>
      <c r="K219" s="147">
        <f>K220+K221</f>
        <v>1918</v>
      </c>
      <c r="L219" s="147">
        <f>L220+L221</f>
        <v>1157</v>
      </c>
      <c r="M219" s="156">
        <f>L219/J219*100</f>
        <v>46.077260055754685</v>
      </c>
      <c r="N219" s="156">
        <f>L219/K219*100</f>
        <v>60.32325338894682</v>
      </c>
      <c r="O219" s="147">
        <f>SUM(O220:O221)</f>
        <v>89</v>
      </c>
      <c r="Q219" s="147">
        <v>1157</v>
      </c>
      <c r="R219" s="147">
        <v>1068</v>
      </c>
      <c r="S219" s="140">
        <f t="shared" si="107"/>
        <v>89</v>
      </c>
    </row>
    <row r="220" spans="1:19" ht="12.75" customHeight="1">
      <c r="A220" s="162" t="s">
        <v>875</v>
      </c>
      <c r="B220" s="164">
        <v>2024921</v>
      </c>
      <c r="C220" s="164">
        <v>1654661</v>
      </c>
      <c r="D220" s="164">
        <v>940083.5</v>
      </c>
      <c r="E220" s="150">
        <f>IF(ISERROR(D220/B220)," ",(D220/B220))*100</f>
        <v>46.425687718187525</v>
      </c>
      <c r="F220" s="150">
        <f>IF(ISERROR(D220/C220)," ",(D220/C220))*100</f>
        <v>56.814265882860596</v>
      </c>
      <c r="G220" s="164">
        <f>D220-'[5]Augusts'!D220</f>
        <v>71706.03000000003</v>
      </c>
      <c r="I220" s="162" t="s">
        <v>875</v>
      </c>
      <c r="J220" s="157">
        <f aca="true" t="shared" si="109" ref="J220:L221">ROUND(B220/1000,0)</f>
        <v>2025</v>
      </c>
      <c r="K220" s="157">
        <f t="shared" si="109"/>
        <v>1655</v>
      </c>
      <c r="L220" s="157">
        <f t="shared" si="109"/>
        <v>940</v>
      </c>
      <c r="M220" s="158">
        <f>L220/J220*100</f>
        <v>46.41975308641975</v>
      </c>
      <c r="N220" s="158">
        <f>L220/K220*100</f>
        <v>56.797583081571</v>
      </c>
      <c r="O220" s="157">
        <f>L220-'[5]Augusts'!L220</f>
        <v>72</v>
      </c>
      <c r="Q220" s="157">
        <v>940</v>
      </c>
      <c r="R220" s="157">
        <v>868</v>
      </c>
      <c r="S220" s="140">
        <f t="shared" si="107"/>
        <v>72</v>
      </c>
    </row>
    <row r="221" spans="1:19" ht="11.25" customHeight="1">
      <c r="A221" s="162" t="s">
        <v>876</v>
      </c>
      <c r="B221" s="164">
        <v>486017</v>
      </c>
      <c r="C221" s="164">
        <v>262960</v>
      </c>
      <c r="D221" s="164">
        <v>217241.93</v>
      </c>
      <c r="E221" s="150">
        <f>IF(ISERROR(D221/B221)," ",(D221/B221))*100</f>
        <v>44.698422071655926</v>
      </c>
      <c r="F221" s="150">
        <f>IF(ISERROR(D221/C221)," ",(D221/C221))*100</f>
        <v>82.61405917249772</v>
      </c>
      <c r="G221" s="164">
        <f>D221-'[5]Augusts'!D221</f>
        <v>17502</v>
      </c>
      <c r="I221" s="162" t="s">
        <v>876</v>
      </c>
      <c r="J221" s="157">
        <f t="shared" si="109"/>
        <v>486</v>
      </c>
      <c r="K221" s="157">
        <f t="shared" si="109"/>
        <v>263</v>
      </c>
      <c r="L221" s="157">
        <f t="shared" si="109"/>
        <v>217</v>
      </c>
      <c r="M221" s="158">
        <f>L221/J221*100</f>
        <v>44.650205761316876</v>
      </c>
      <c r="N221" s="158">
        <f>L221/K221*100</f>
        <v>82.50950570342205</v>
      </c>
      <c r="O221" s="157">
        <f>L221-'[5]Augusts'!L221</f>
        <v>17</v>
      </c>
      <c r="Q221" s="157">
        <v>217</v>
      </c>
      <c r="R221" s="157">
        <v>200</v>
      </c>
      <c r="S221" s="140">
        <f t="shared" si="107"/>
        <v>17</v>
      </c>
    </row>
    <row r="222" spans="1:19" ht="27.75" customHeight="1" hidden="1">
      <c r="A222" s="165" t="s">
        <v>933</v>
      </c>
      <c r="B222" s="164"/>
      <c r="C222" s="164"/>
      <c r="D222" s="164"/>
      <c r="E222" s="164"/>
      <c r="F222" s="164"/>
      <c r="G222" s="164"/>
      <c r="I222" s="165" t="s">
        <v>933</v>
      </c>
      <c r="J222" s="164"/>
      <c r="K222" s="164"/>
      <c r="L222" s="164"/>
      <c r="M222" s="158"/>
      <c r="N222" s="158"/>
      <c r="O222" s="164"/>
      <c r="Q222" s="164"/>
      <c r="R222" s="164"/>
      <c r="S222" s="140">
        <f t="shared" si="107"/>
        <v>0</v>
      </c>
    </row>
    <row r="223" spans="1:19" ht="12" hidden="1">
      <c r="A223" s="154" t="s">
        <v>869</v>
      </c>
      <c r="B223" s="164">
        <f>SUM(B224)</f>
        <v>0</v>
      </c>
      <c r="C223" s="166">
        <f>SUM(C224:C226)</f>
        <v>0</v>
      </c>
      <c r="D223" s="166">
        <f>SUM(D224:D226)</f>
        <v>0</v>
      </c>
      <c r="E223" s="150"/>
      <c r="F223" s="150"/>
      <c r="G223" s="164">
        <f>SUM(G224)</f>
        <v>0</v>
      </c>
      <c r="I223" s="154" t="s">
        <v>869</v>
      </c>
      <c r="J223" s="147">
        <f>J224</f>
        <v>0</v>
      </c>
      <c r="K223" s="157"/>
      <c r="L223" s="157"/>
      <c r="M223" s="158"/>
      <c r="N223" s="158"/>
      <c r="O223" s="157">
        <f>SUM(O224)</f>
        <v>0</v>
      </c>
      <c r="Q223" s="157"/>
      <c r="R223" s="157"/>
      <c r="S223" s="140">
        <f t="shared" si="107"/>
        <v>0</v>
      </c>
    </row>
    <row r="224" spans="1:19" ht="24" hidden="1">
      <c r="A224" s="154" t="s">
        <v>872</v>
      </c>
      <c r="B224" s="164"/>
      <c r="C224" s="152"/>
      <c r="D224" s="164"/>
      <c r="E224" s="150"/>
      <c r="F224" s="150"/>
      <c r="G224" s="164">
        <f>D224</f>
        <v>0</v>
      </c>
      <c r="I224" s="154" t="s">
        <v>872</v>
      </c>
      <c r="J224" s="157">
        <f>ROUND(B224/1000,0)</f>
        <v>0</v>
      </c>
      <c r="K224" s="157"/>
      <c r="L224" s="157"/>
      <c r="M224" s="158"/>
      <c r="N224" s="158"/>
      <c r="O224" s="157">
        <f>L224</f>
        <v>0</v>
      </c>
      <c r="Q224" s="157"/>
      <c r="R224" s="157"/>
      <c r="S224" s="140">
        <f t="shared" si="107"/>
        <v>0</v>
      </c>
    </row>
    <row r="225" spans="1:19" ht="12" hidden="1">
      <c r="A225" s="160" t="s">
        <v>874</v>
      </c>
      <c r="B225" s="166">
        <f>SUM(B226:B227)</f>
        <v>0</v>
      </c>
      <c r="C225" s="166">
        <f>SUM(C226:C227)</f>
        <v>0</v>
      </c>
      <c r="D225" s="166">
        <f>SUM(D226:D227)</f>
        <v>0</v>
      </c>
      <c r="E225" s="150"/>
      <c r="F225" s="150"/>
      <c r="G225" s="166">
        <f>SUM(G226:G227)</f>
        <v>0</v>
      </c>
      <c r="I225" s="160" t="s">
        <v>874</v>
      </c>
      <c r="J225" s="147">
        <f>J226+J227</f>
        <v>0</v>
      </c>
      <c r="K225" s="147"/>
      <c r="L225" s="147"/>
      <c r="M225" s="158"/>
      <c r="N225" s="158"/>
      <c r="O225" s="147">
        <f>SUM(O226:O227)</f>
        <v>0</v>
      </c>
      <c r="Q225" s="147"/>
      <c r="R225" s="147"/>
      <c r="S225" s="140">
        <f t="shared" si="107"/>
        <v>0</v>
      </c>
    </row>
    <row r="226" spans="1:19" ht="12" hidden="1">
      <c r="A226" s="162" t="s">
        <v>875</v>
      </c>
      <c r="B226" s="164"/>
      <c r="C226" s="164"/>
      <c r="D226" s="164"/>
      <c r="E226" s="150"/>
      <c r="F226" s="150"/>
      <c r="G226" s="164">
        <f>D226</f>
        <v>0</v>
      </c>
      <c r="I226" s="162" t="s">
        <v>875</v>
      </c>
      <c r="J226" s="157">
        <f>ROUND(B226/1000,0)</f>
        <v>0</v>
      </c>
      <c r="K226" s="157"/>
      <c r="L226" s="157"/>
      <c r="M226" s="158"/>
      <c r="N226" s="158"/>
      <c r="O226" s="157">
        <f>L226</f>
        <v>0</v>
      </c>
      <c r="Q226" s="157"/>
      <c r="R226" s="157"/>
      <c r="S226" s="140">
        <f t="shared" si="107"/>
        <v>0</v>
      </c>
    </row>
    <row r="227" spans="1:19" ht="12" hidden="1">
      <c r="A227" s="162" t="s">
        <v>876</v>
      </c>
      <c r="B227" s="164"/>
      <c r="C227" s="164"/>
      <c r="D227" s="164"/>
      <c r="E227" s="150"/>
      <c r="F227" s="150"/>
      <c r="G227" s="164">
        <f>D227</f>
        <v>0</v>
      </c>
      <c r="I227" s="162" t="s">
        <v>876</v>
      </c>
      <c r="J227" s="157">
        <f>ROUND(B227/1000,0)</f>
        <v>0</v>
      </c>
      <c r="K227" s="157"/>
      <c r="L227" s="157"/>
      <c r="M227" s="158"/>
      <c r="N227" s="158"/>
      <c r="O227" s="157">
        <f>L227</f>
        <v>0</v>
      </c>
      <c r="Q227" s="157"/>
      <c r="R227" s="157"/>
      <c r="S227" s="140">
        <f t="shared" si="107"/>
        <v>0</v>
      </c>
    </row>
    <row r="228" spans="1:19" ht="12" hidden="1">
      <c r="A228" s="119" t="s">
        <v>878</v>
      </c>
      <c r="B228" s="164"/>
      <c r="C228" s="164"/>
      <c r="D228" s="164"/>
      <c r="E228" s="150"/>
      <c r="F228" s="150"/>
      <c r="G228" s="164">
        <f>D228</f>
        <v>0</v>
      </c>
      <c r="I228" s="119" t="s">
        <v>878</v>
      </c>
      <c r="J228" s="157">
        <f>ROUND(B228/1000,0)</f>
        <v>0</v>
      </c>
      <c r="K228" s="157"/>
      <c r="L228" s="157"/>
      <c r="M228" s="158"/>
      <c r="N228" s="158"/>
      <c r="O228" s="157">
        <f>L228</f>
        <v>0</v>
      </c>
      <c r="Q228" s="157"/>
      <c r="R228" s="157"/>
      <c r="S228" s="140">
        <f t="shared" si="107"/>
        <v>0</v>
      </c>
    </row>
    <row r="229" spans="1:19" ht="12.75" customHeight="1">
      <c r="A229" s="165" t="s">
        <v>934</v>
      </c>
      <c r="B229" s="164"/>
      <c r="C229" s="164"/>
      <c r="D229" s="164"/>
      <c r="E229" s="164"/>
      <c r="F229" s="164"/>
      <c r="G229" s="164"/>
      <c r="I229" s="165" t="s">
        <v>935</v>
      </c>
      <c r="J229" s="164"/>
      <c r="K229" s="164"/>
      <c r="L229" s="164"/>
      <c r="M229" s="158"/>
      <c r="N229" s="158"/>
      <c r="O229" s="164"/>
      <c r="Q229" s="164"/>
      <c r="R229" s="164"/>
      <c r="S229" s="140">
        <f t="shared" si="107"/>
        <v>0</v>
      </c>
    </row>
    <row r="230" spans="1:19" ht="12.75" customHeight="1">
      <c r="A230" s="154" t="s">
        <v>869</v>
      </c>
      <c r="B230" s="169">
        <f>SUM(B231)</f>
        <v>112070390</v>
      </c>
      <c r="C230" s="170">
        <f>SUM(C231)</f>
        <v>84103755</v>
      </c>
      <c r="D230" s="170">
        <f>SUM(D231)</f>
        <v>84103755</v>
      </c>
      <c r="E230" s="149">
        <f>IF(ISERROR(D230/B230)," ",(D230/B230))*100</f>
        <v>75.04547365276413</v>
      </c>
      <c r="F230" s="149">
        <f>IF(ISERROR(D230/C230)," ",(D230/C230))*100</f>
        <v>100</v>
      </c>
      <c r="G230" s="170">
        <f>SUM(G231)</f>
        <v>7507951</v>
      </c>
      <c r="I230" s="154" t="s">
        <v>869</v>
      </c>
      <c r="J230" s="147">
        <f>J231</f>
        <v>112070</v>
      </c>
      <c r="K230" s="147">
        <f>K231</f>
        <v>84104</v>
      </c>
      <c r="L230" s="147">
        <f>L231</f>
        <v>84104</v>
      </c>
      <c r="M230" s="156">
        <f>L230/J230*100</f>
        <v>75.04595342196842</v>
      </c>
      <c r="N230" s="156">
        <f>L230/K230*100</f>
        <v>100</v>
      </c>
      <c r="O230" s="170">
        <f>SUM(O231)</f>
        <v>7508</v>
      </c>
      <c r="Q230" s="147">
        <v>84104</v>
      </c>
      <c r="R230" s="147">
        <v>76596</v>
      </c>
      <c r="S230" s="140">
        <f t="shared" si="107"/>
        <v>7508</v>
      </c>
    </row>
    <row r="231" spans="1:19" ht="12.75" customHeight="1">
      <c r="A231" s="154" t="s">
        <v>870</v>
      </c>
      <c r="B231" s="157">
        <v>112070390</v>
      </c>
      <c r="C231" s="157">
        <v>84103755</v>
      </c>
      <c r="D231" s="157">
        <v>84103755</v>
      </c>
      <c r="E231" s="150">
        <f>IF(ISERROR(D231/B231)," ",(D231/B231))*100</f>
        <v>75.04547365276413</v>
      </c>
      <c r="F231" s="150">
        <f>IF(ISERROR(D231/C231)," ",(D231/C231))*100</f>
        <v>100</v>
      </c>
      <c r="G231" s="164">
        <f>D231-'[5]Augusts'!D231</f>
        <v>7507951</v>
      </c>
      <c r="I231" s="154" t="s">
        <v>870</v>
      </c>
      <c r="J231" s="157">
        <f>ROUND(B231/1000,0)</f>
        <v>112070</v>
      </c>
      <c r="K231" s="157">
        <f>ROUND(C231/1000,0)</f>
        <v>84104</v>
      </c>
      <c r="L231" s="157">
        <f>ROUND(D231/1000,0)</f>
        <v>84104</v>
      </c>
      <c r="M231" s="158">
        <f>L231/J231*100</f>
        <v>75.04595342196842</v>
      </c>
      <c r="N231" s="158">
        <f>L231/K231*100</f>
        <v>100</v>
      </c>
      <c r="O231" s="157">
        <f>L231-'[5]Augusts'!L231</f>
        <v>7508</v>
      </c>
      <c r="Q231" s="157">
        <v>84104</v>
      </c>
      <c r="R231" s="157">
        <v>76596</v>
      </c>
      <c r="S231" s="140">
        <f t="shared" si="107"/>
        <v>7508</v>
      </c>
    </row>
    <row r="232" spans="1:19" ht="12.75" customHeight="1">
      <c r="A232" s="160" t="s">
        <v>874</v>
      </c>
      <c r="B232" s="166">
        <f>SUM(B233:B234)</f>
        <v>112070390</v>
      </c>
      <c r="C232" s="166">
        <f>SUM(C233:C234)</f>
        <v>84103755</v>
      </c>
      <c r="D232" s="166">
        <f>SUM(D233:D234)</f>
        <v>80806740.07</v>
      </c>
      <c r="E232" s="150">
        <f>IF(ISERROR(D232/B232)," ",(D232/B232))*100</f>
        <v>72.10355926306671</v>
      </c>
      <c r="F232" s="150">
        <f>IF(ISERROR(D232/C232)," ",(D232/C232))*100</f>
        <v>96.07982434315804</v>
      </c>
      <c r="G232" s="166">
        <f>SUM(G233:G234)</f>
        <v>7623083.8100000005</v>
      </c>
      <c r="I232" s="160" t="s">
        <v>874</v>
      </c>
      <c r="J232" s="147">
        <f>J233+J234</f>
        <v>112070</v>
      </c>
      <c r="K232" s="147">
        <f>K233+K234</f>
        <v>84104</v>
      </c>
      <c r="L232" s="147">
        <f>L233+L234</f>
        <v>80806</v>
      </c>
      <c r="M232" s="156">
        <f>L232/J232*100</f>
        <v>72.10314981707862</v>
      </c>
      <c r="N232" s="156">
        <f>L232/K232*100</f>
        <v>96.07866451060592</v>
      </c>
      <c r="O232" s="147">
        <f>SUM(O233:O234)</f>
        <v>7622</v>
      </c>
      <c r="Q232" s="147">
        <v>80806</v>
      </c>
      <c r="R232" s="147">
        <v>73184</v>
      </c>
      <c r="S232" s="140">
        <f t="shared" si="107"/>
        <v>7622</v>
      </c>
    </row>
    <row r="233" spans="1:19" ht="12.75" customHeight="1">
      <c r="A233" s="162" t="s">
        <v>875</v>
      </c>
      <c r="B233" s="164">
        <v>101686316</v>
      </c>
      <c r="C233" s="164">
        <v>74636081</v>
      </c>
      <c r="D233" s="164">
        <v>74525458</v>
      </c>
      <c r="E233" s="150">
        <f>IF(ISERROR(D233/B233)," ",(D233/B233))*100</f>
        <v>73.28956435003506</v>
      </c>
      <c r="F233" s="150">
        <f>IF(ISERROR(D233/C233)," ",(D233/C233))*100</f>
        <v>99.85178348257594</v>
      </c>
      <c r="G233" s="164">
        <f>D233-'[5]Augusts'!D233</f>
        <v>6792037</v>
      </c>
      <c r="I233" s="162" t="s">
        <v>875</v>
      </c>
      <c r="J233" s="157">
        <f aca="true" t="shared" si="110" ref="J233:L234">ROUND(B233/1000,0)</f>
        <v>101686</v>
      </c>
      <c r="K233" s="157">
        <f t="shared" si="110"/>
        <v>74636</v>
      </c>
      <c r="L233" s="157">
        <f t="shared" si="110"/>
        <v>74525</v>
      </c>
      <c r="M233" s="158">
        <f>L233/J233*100</f>
        <v>73.28934169895561</v>
      </c>
      <c r="N233" s="158">
        <f>L233/K233*100</f>
        <v>99.85127820354789</v>
      </c>
      <c r="O233" s="157">
        <f>L233-'[5]Augusts'!L233</f>
        <v>6792</v>
      </c>
      <c r="Q233" s="157">
        <v>74525</v>
      </c>
      <c r="R233" s="157">
        <v>67733</v>
      </c>
      <c r="S233" s="140">
        <f t="shared" si="107"/>
        <v>6792</v>
      </c>
    </row>
    <row r="234" spans="1:19" ht="12.75" customHeight="1">
      <c r="A234" s="162" t="s">
        <v>876</v>
      </c>
      <c r="B234" s="164">
        <v>10384074</v>
      </c>
      <c r="C234" s="164">
        <v>9467674</v>
      </c>
      <c r="D234" s="164">
        <v>6281282.07</v>
      </c>
      <c r="E234" s="150">
        <f>IF(ISERROR(D234/B234)," ",(D234/B234))*100</f>
        <v>60.48957345642953</v>
      </c>
      <c r="F234" s="150">
        <f>IF(ISERROR(D234/C234)," ",(D234/C234))*100</f>
        <v>66.34451154528557</v>
      </c>
      <c r="G234" s="164">
        <f>D234-'[5]Augusts'!D234</f>
        <v>831046.8100000005</v>
      </c>
      <c r="I234" s="162" t="s">
        <v>876</v>
      </c>
      <c r="J234" s="157">
        <f t="shared" si="110"/>
        <v>10384</v>
      </c>
      <c r="K234" s="157">
        <f t="shared" si="110"/>
        <v>9468</v>
      </c>
      <c r="L234" s="157">
        <f t="shared" si="110"/>
        <v>6281</v>
      </c>
      <c r="M234" s="158">
        <f>L234/J234*100</f>
        <v>60.48728813559322</v>
      </c>
      <c r="N234" s="158">
        <f>L234/K234*100</f>
        <v>66.33924799324039</v>
      </c>
      <c r="O234" s="157">
        <f>L234-'[5]Augusts'!L234</f>
        <v>830</v>
      </c>
      <c r="Q234" s="157">
        <v>6281</v>
      </c>
      <c r="R234" s="157">
        <v>5451</v>
      </c>
      <c r="S234" s="140">
        <f t="shared" si="107"/>
        <v>830</v>
      </c>
    </row>
    <row r="235" spans="1:19" ht="12.75" customHeight="1">
      <c r="A235" s="165" t="s">
        <v>936</v>
      </c>
      <c r="B235" s="164"/>
      <c r="C235" s="164"/>
      <c r="D235" s="164"/>
      <c r="E235" s="164"/>
      <c r="F235" s="164"/>
      <c r="G235" s="164"/>
      <c r="I235" s="165" t="s">
        <v>937</v>
      </c>
      <c r="J235" s="164"/>
      <c r="K235" s="164"/>
      <c r="L235" s="164"/>
      <c r="M235" s="158"/>
      <c r="N235" s="158"/>
      <c r="O235" s="164"/>
      <c r="Q235" s="164"/>
      <c r="R235" s="164"/>
      <c r="S235" s="140">
        <f t="shared" si="107"/>
        <v>0</v>
      </c>
    </row>
    <row r="236" spans="1:19" ht="12.75" customHeight="1">
      <c r="A236" s="154" t="s">
        <v>869</v>
      </c>
      <c r="B236" s="164">
        <f>SUM(B237)</f>
        <v>7695832</v>
      </c>
      <c r="C236" s="166">
        <f>SUM(C237)</f>
        <v>5864093</v>
      </c>
      <c r="D236" s="166">
        <f>SUM(D237)</f>
        <v>5864093</v>
      </c>
      <c r="E236" s="149">
        <f>IF(ISERROR(D236/B236)," ",(D236/B236))*100</f>
        <v>76.19829798779392</v>
      </c>
      <c r="F236" s="149">
        <f>IF(ISERROR(D236/C236)," ",(D236/C236))*100</f>
        <v>100</v>
      </c>
      <c r="G236" s="166">
        <f>SUM(G237)</f>
        <v>629423</v>
      </c>
      <c r="I236" s="154" t="s">
        <v>869</v>
      </c>
      <c r="J236" s="147">
        <f>J237</f>
        <v>7696</v>
      </c>
      <c r="K236" s="147">
        <f>K237</f>
        <v>5864</v>
      </c>
      <c r="L236" s="147">
        <f>L237</f>
        <v>5864</v>
      </c>
      <c r="M236" s="156">
        <f>L236/J236*100</f>
        <v>76.1954261954262</v>
      </c>
      <c r="N236" s="156">
        <f>L236/K236*100</f>
        <v>100</v>
      </c>
      <c r="O236" s="147">
        <f>SUM(O237)</f>
        <v>629</v>
      </c>
      <c r="Q236" s="147">
        <v>5864</v>
      </c>
      <c r="R236" s="147">
        <v>5235</v>
      </c>
      <c r="S236" s="140">
        <f t="shared" si="107"/>
        <v>629</v>
      </c>
    </row>
    <row r="237" spans="1:19" ht="12.75" customHeight="1">
      <c r="A237" s="154" t="s">
        <v>870</v>
      </c>
      <c r="B237" s="164">
        <v>7695832</v>
      </c>
      <c r="C237" s="164">
        <v>5864093</v>
      </c>
      <c r="D237" s="164">
        <v>5864093</v>
      </c>
      <c r="E237" s="150">
        <f>IF(ISERROR(D237/B237)," ",(D237/B237))*100</f>
        <v>76.19829798779392</v>
      </c>
      <c r="F237" s="150">
        <f>IF(ISERROR(D237/C237)," ",(D237/C237))*100</f>
        <v>100</v>
      </c>
      <c r="G237" s="164">
        <f>D237-'[5]Augusts'!D237</f>
        <v>629423</v>
      </c>
      <c r="I237" s="154" t="s">
        <v>870</v>
      </c>
      <c r="J237" s="157">
        <f>ROUND(B237/1000,0)</f>
        <v>7696</v>
      </c>
      <c r="K237" s="157">
        <f>ROUND(C237/1000,0)</f>
        <v>5864</v>
      </c>
      <c r="L237" s="157">
        <f>ROUND(D237/1000,0)</f>
        <v>5864</v>
      </c>
      <c r="M237" s="158">
        <f>L237/J237*100</f>
        <v>76.1954261954262</v>
      </c>
      <c r="N237" s="158">
        <f>L237/K237*100</f>
        <v>100</v>
      </c>
      <c r="O237" s="157">
        <f>L237-'[5]Augusts'!L237</f>
        <v>629</v>
      </c>
      <c r="Q237" s="157">
        <v>5864</v>
      </c>
      <c r="R237" s="157">
        <v>5235</v>
      </c>
      <c r="S237" s="140">
        <f t="shared" si="107"/>
        <v>629</v>
      </c>
    </row>
    <row r="238" spans="1:19" ht="12.75" customHeight="1">
      <c r="A238" s="160" t="s">
        <v>874</v>
      </c>
      <c r="B238" s="166">
        <f>SUM(B239)</f>
        <v>7695832</v>
      </c>
      <c r="C238" s="166">
        <f>SUM(C239)</f>
        <v>5864093</v>
      </c>
      <c r="D238" s="166">
        <f>SUM(D239)</f>
        <v>5662474.09</v>
      </c>
      <c r="E238" s="150">
        <f>IF(ISERROR(D238/B238)," ",(D238/B238))*100</f>
        <v>73.57845246621808</v>
      </c>
      <c r="F238" s="150">
        <f>IF(ISERROR(D238/C238)," ",(D238/C238))*100</f>
        <v>96.56180572170325</v>
      </c>
      <c r="G238" s="166">
        <f>SUM(G239)</f>
        <v>598781.9399999995</v>
      </c>
      <c r="I238" s="160" t="s">
        <v>874</v>
      </c>
      <c r="J238" s="147">
        <f>J239+J240</f>
        <v>7696</v>
      </c>
      <c r="K238" s="147">
        <f>K239</f>
        <v>5864</v>
      </c>
      <c r="L238" s="147">
        <f>L239</f>
        <v>5662</v>
      </c>
      <c r="M238" s="156">
        <f>L238/J238*100</f>
        <v>73.57068607068608</v>
      </c>
      <c r="N238" s="156">
        <f>L238/K238*100</f>
        <v>96.55525238744885</v>
      </c>
      <c r="O238" s="147">
        <f>SUM(O239)</f>
        <v>598</v>
      </c>
      <c r="Q238" s="147">
        <v>5662</v>
      </c>
      <c r="R238" s="147">
        <v>5064</v>
      </c>
      <c r="S238" s="140">
        <f t="shared" si="107"/>
        <v>598</v>
      </c>
    </row>
    <row r="239" spans="1:19" ht="12.75" customHeight="1">
      <c r="A239" s="162" t="s">
        <v>875</v>
      </c>
      <c r="B239" s="164">
        <v>7695832</v>
      </c>
      <c r="C239" s="164">
        <v>5864093</v>
      </c>
      <c r="D239" s="164">
        <v>5662474.09</v>
      </c>
      <c r="E239" s="150">
        <f>IF(ISERROR(D239/B239)," ",(D239/B239))*100</f>
        <v>73.57845246621808</v>
      </c>
      <c r="F239" s="150">
        <f>IF(ISERROR(D239/C239)," ",(D239/C239))*100</f>
        <v>96.56180572170325</v>
      </c>
      <c r="G239" s="164">
        <f>D239-'[5]Augusts'!D239</f>
        <v>598781.9399999995</v>
      </c>
      <c r="I239" s="162" t="s">
        <v>875</v>
      </c>
      <c r="J239" s="157">
        <f>ROUND(B239/1000,0)</f>
        <v>7696</v>
      </c>
      <c r="K239" s="157">
        <f>ROUND(C239/1000,0)</f>
        <v>5864</v>
      </c>
      <c r="L239" s="157">
        <f>ROUND(D239/1000,0)</f>
        <v>5662</v>
      </c>
      <c r="M239" s="158">
        <f>L239/J239*100</f>
        <v>73.57068607068608</v>
      </c>
      <c r="N239" s="158">
        <f>L239/K239*100</f>
        <v>96.55525238744885</v>
      </c>
      <c r="O239" s="157">
        <f>L239-'[5]Augusts'!L239</f>
        <v>598</v>
      </c>
      <c r="Q239" s="157">
        <v>5662</v>
      </c>
      <c r="R239" s="157">
        <v>5064</v>
      </c>
      <c r="S239" s="140">
        <f t="shared" si="107"/>
        <v>598</v>
      </c>
    </row>
    <row r="240" spans="13:14" ht="17.25" customHeight="1">
      <c r="M240" s="171"/>
      <c r="N240" s="171"/>
    </row>
    <row r="242" ht="17.25" customHeight="1" hidden="1"/>
    <row r="243" spans="1:12" ht="17.25" customHeight="1">
      <c r="A243" s="172"/>
      <c r="B243" s="173"/>
      <c r="C243" s="173"/>
      <c r="D243" s="173"/>
      <c r="I243" s="674" t="s">
        <v>449</v>
      </c>
      <c r="J243" s="675"/>
      <c r="K243" s="675"/>
      <c r="L243" s="173"/>
    </row>
    <row r="245" ht="0.75" customHeight="1" hidden="1"/>
    <row r="246" ht="17.25" customHeight="1" hidden="1"/>
    <row r="247" ht="17.25" customHeight="1">
      <c r="I247" s="140" t="s">
        <v>745</v>
      </c>
    </row>
    <row r="248" ht="17.25" customHeight="1">
      <c r="I248" s="140" t="s">
        <v>116</v>
      </c>
    </row>
  </sheetData>
  <mergeCells count="7">
    <mergeCell ref="A7:F7"/>
    <mergeCell ref="I7:N7"/>
    <mergeCell ref="I3:O3"/>
    <mergeCell ref="A4:F4"/>
    <mergeCell ref="I4:N4"/>
    <mergeCell ref="A5:F5"/>
    <mergeCell ref="I5:N5"/>
  </mergeCells>
  <printOptions/>
  <pageMargins left="0.75" right="0.27" top="1" bottom="1" header="0.5" footer="0.5"/>
  <pageSetup firstPageNumber="8" useFirstPageNumber="1" horizontalDpi="600" verticalDpi="600" orientation="portrait" paperSize="9" scale="97" r:id="rId1"/>
  <headerFooter alignWithMargins="0">
    <oddFooter>&amp;R&amp;9&amp;P</oddFooter>
  </headerFooter>
  <rowBreaks count="3" manualBreakCount="3">
    <brk id="48" max="14" man="1"/>
    <brk id="145" max="14" man="1"/>
    <brk id="1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H1">
      <selection activeCell="H8" sqref="H8"/>
    </sheetView>
  </sheetViews>
  <sheetFormatPr defaultColWidth="9.140625" defaultRowHeight="12.75"/>
  <cols>
    <col min="1" max="1" width="36.28125" style="1" customWidth="1"/>
    <col min="2" max="2" width="11.00390625" style="1" customWidth="1"/>
    <col min="3" max="3" width="13.7109375" style="1" customWidth="1"/>
    <col min="4" max="4" width="10.8515625" style="1" customWidth="1"/>
    <col min="5" max="5" width="7.7109375" style="1" customWidth="1"/>
    <col min="6" max="6" width="9.421875" style="1" customWidth="1"/>
    <col min="7" max="7" width="11.140625" style="1" customWidth="1"/>
    <col min="8" max="8" width="35.421875" style="1" customWidth="1"/>
    <col min="9" max="9" width="9.8515625" style="1" customWidth="1"/>
    <col min="10" max="10" width="8.421875" style="1" customWidth="1"/>
    <col min="11" max="11" width="9.140625" style="1" customWidth="1"/>
    <col min="12" max="12" width="7.57421875" style="1" customWidth="1"/>
    <col min="13" max="13" width="9.140625" style="1" customWidth="1"/>
    <col min="14" max="14" width="10.421875" style="1" customWidth="1"/>
    <col min="15" max="18" width="9.140625" style="1" hidden="1" customWidth="1"/>
    <col min="19" max="16384" width="9.140625" style="1" customWidth="1"/>
  </cols>
  <sheetData>
    <row r="1" spans="7:13" ht="12">
      <c r="G1" s="1" t="s">
        <v>940</v>
      </c>
      <c r="M1" s="1" t="s">
        <v>940</v>
      </c>
    </row>
    <row r="2" spans="2:9" ht="12">
      <c r="B2" s="174" t="s">
        <v>941</v>
      </c>
      <c r="I2" s="174" t="s">
        <v>941</v>
      </c>
    </row>
    <row r="4" spans="1:14" ht="12">
      <c r="A4" s="854" t="s">
        <v>942</v>
      </c>
      <c r="B4" s="854"/>
      <c r="C4" s="854"/>
      <c r="D4" s="854"/>
      <c r="E4" s="854"/>
      <c r="F4" s="854"/>
      <c r="G4" s="854"/>
      <c r="H4" s="854" t="s">
        <v>942</v>
      </c>
      <c r="I4" s="854"/>
      <c r="J4" s="854"/>
      <c r="K4" s="854"/>
      <c r="L4" s="854"/>
      <c r="M4" s="854"/>
      <c r="N4" s="854"/>
    </row>
    <row r="5" spans="1:13" ht="12">
      <c r="A5" s="848" t="s">
        <v>450</v>
      </c>
      <c r="B5" s="848"/>
      <c r="C5" s="848"/>
      <c r="D5" s="848"/>
      <c r="E5" s="848"/>
      <c r="F5" s="848"/>
      <c r="H5" s="848" t="s">
        <v>128</v>
      </c>
      <c r="I5" s="848"/>
      <c r="J5" s="848"/>
      <c r="K5" s="848"/>
      <c r="L5" s="848"/>
      <c r="M5" s="848"/>
    </row>
    <row r="6" spans="1:13" ht="12">
      <c r="A6" s="89"/>
      <c r="B6" s="89"/>
      <c r="C6" s="89"/>
      <c r="D6" s="89"/>
      <c r="E6" s="89"/>
      <c r="F6" s="89"/>
      <c r="H6" s="89"/>
      <c r="I6" s="89"/>
      <c r="J6" s="89"/>
      <c r="K6" s="89"/>
      <c r="L6" s="89"/>
      <c r="M6" s="89"/>
    </row>
    <row r="7" spans="6:14" ht="12">
      <c r="F7" s="853" t="s">
        <v>749</v>
      </c>
      <c r="G7" s="853"/>
      <c r="M7" s="853" t="s">
        <v>749</v>
      </c>
      <c r="N7" s="853"/>
    </row>
    <row r="8" spans="1:14" ht="84">
      <c r="A8" s="238" t="s">
        <v>828</v>
      </c>
      <c r="B8" s="238" t="s">
        <v>750</v>
      </c>
      <c r="C8" s="238" t="s">
        <v>943</v>
      </c>
      <c r="D8" s="238" t="s">
        <v>751</v>
      </c>
      <c r="E8" s="238" t="s">
        <v>944</v>
      </c>
      <c r="F8" s="238" t="s">
        <v>945</v>
      </c>
      <c r="G8" s="238" t="s">
        <v>946</v>
      </c>
      <c r="H8" s="238" t="s">
        <v>828</v>
      </c>
      <c r="I8" s="238" t="s">
        <v>750</v>
      </c>
      <c r="J8" s="238" t="s">
        <v>943</v>
      </c>
      <c r="K8" s="238" t="s">
        <v>751</v>
      </c>
      <c r="L8" s="238" t="s">
        <v>944</v>
      </c>
      <c r="M8" s="238" t="s">
        <v>945</v>
      </c>
      <c r="N8" s="238" t="s">
        <v>101</v>
      </c>
    </row>
    <row r="9" spans="1:14" ht="12">
      <c r="A9" s="238">
        <v>1</v>
      </c>
      <c r="B9" s="238">
        <v>2</v>
      </c>
      <c r="C9" s="238">
        <v>3</v>
      </c>
      <c r="D9" s="238">
        <v>4</v>
      </c>
      <c r="E9" s="801">
        <v>5</v>
      </c>
      <c r="F9" s="238">
        <v>6</v>
      </c>
      <c r="G9" s="238">
        <v>7</v>
      </c>
      <c r="H9" s="238">
        <v>1</v>
      </c>
      <c r="I9" s="238">
        <v>2</v>
      </c>
      <c r="J9" s="238">
        <v>3</v>
      </c>
      <c r="K9" s="238">
        <v>4</v>
      </c>
      <c r="L9" s="801">
        <v>5</v>
      </c>
      <c r="M9" s="238">
        <v>6</v>
      </c>
      <c r="N9" s="238">
        <v>7</v>
      </c>
    </row>
    <row r="10" spans="1:18" ht="12">
      <c r="A10" s="176" t="s">
        <v>947</v>
      </c>
      <c r="B10" s="177">
        <v>795345958</v>
      </c>
      <c r="C10" s="114" t="s">
        <v>650</v>
      </c>
      <c r="D10" s="177">
        <v>553835946</v>
      </c>
      <c r="E10" s="178" t="s">
        <v>650</v>
      </c>
      <c r="F10" s="178" t="s">
        <v>650</v>
      </c>
      <c r="G10" s="177">
        <v>57956717</v>
      </c>
      <c r="H10" s="176" t="s">
        <v>947</v>
      </c>
      <c r="I10" s="177">
        <f>ROUND(B10/1000,0)</f>
        <v>795346</v>
      </c>
      <c r="J10" s="114"/>
      <c r="K10" s="177">
        <f>ROUND(D10/1000,0)</f>
        <v>553836</v>
      </c>
      <c r="L10" s="178"/>
      <c r="M10" s="178"/>
      <c r="N10" s="177">
        <f>ROUND(G10/1000,0)</f>
        <v>57957</v>
      </c>
      <c r="P10" s="580">
        <v>553836</v>
      </c>
      <c r="Q10" s="1">
        <v>495879</v>
      </c>
      <c r="R10" s="580">
        <f aca="true" t="shared" si="0" ref="R10:R56">P10-Q10</f>
        <v>57957</v>
      </c>
    </row>
    <row r="11" spans="1:18" ht="12">
      <c r="A11" s="181" t="s">
        <v>948</v>
      </c>
      <c r="B11" s="182">
        <v>831560440</v>
      </c>
      <c r="C11" s="182">
        <f>C12+C13+C14+C15</f>
        <v>609661887</v>
      </c>
      <c r="D11" s="182">
        <f>D12+D13+D14+D15</f>
        <v>594789117.87</v>
      </c>
      <c r="E11" s="183">
        <f aca="true" t="shared" si="1" ref="E11:E19">IF(ISERROR(D11/B11)," ",(D11/B11))*100</f>
        <v>71.52686554810134</v>
      </c>
      <c r="F11" s="184">
        <f aca="true" t="shared" si="2" ref="F11:F19">IF(ISERROR(D11/C11)," ",(D11/C11))*100</f>
        <v>97.56048894524383</v>
      </c>
      <c r="G11" s="182">
        <f>SUM(G12:G15)</f>
        <v>67298767.71000001</v>
      </c>
      <c r="H11" s="181" t="s">
        <v>948</v>
      </c>
      <c r="I11" s="182">
        <f>ROUND(B11/1000,0)</f>
        <v>831560</v>
      </c>
      <c r="J11" s="182">
        <f>J12+J13+J14+J15</f>
        <v>609662</v>
      </c>
      <c r="K11" s="182">
        <f>K12+K13+K14+K15</f>
        <v>594789</v>
      </c>
      <c r="L11" s="183">
        <f aca="true" t="shared" si="3" ref="L11:M19">E11</f>
        <v>71.52686554810134</v>
      </c>
      <c r="M11" s="183">
        <f t="shared" si="3"/>
        <v>97.56048894524383</v>
      </c>
      <c r="N11" s="182">
        <f>SUM(N12:N15)</f>
        <v>67299</v>
      </c>
      <c r="P11" s="580">
        <v>594789</v>
      </c>
      <c r="Q11" s="1">
        <v>527490</v>
      </c>
      <c r="R11" s="580">
        <f t="shared" si="0"/>
        <v>67299</v>
      </c>
    </row>
    <row r="12" spans="1:18" ht="12">
      <c r="A12" s="185" t="s">
        <v>949</v>
      </c>
      <c r="B12" s="182">
        <v>711819838</v>
      </c>
      <c r="C12" s="182">
        <v>533693105</v>
      </c>
      <c r="D12" s="182">
        <v>533693105</v>
      </c>
      <c r="E12" s="183">
        <f t="shared" si="1"/>
        <v>74.97586840225152</v>
      </c>
      <c r="F12" s="184">
        <f t="shared" si="2"/>
        <v>100</v>
      </c>
      <c r="G12" s="182">
        <f>D12-'[18]aug'!D12</f>
        <v>57824996</v>
      </c>
      <c r="H12" s="185" t="s">
        <v>949</v>
      </c>
      <c r="I12" s="182">
        <f>ROUND(B12/1000,0)</f>
        <v>711820</v>
      </c>
      <c r="J12" s="182">
        <f aca="true" t="shared" si="4" ref="J12:K15">ROUND(C12/1000,0)</f>
        <v>533693</v>
      </c>
      <c r="K12" s="182">
        <f t="shared" si="4"/>
        <v>533693</v>
      </c>
      <c r="L12" s="183">
        <f t="shared" si="3"/>
        <v>74.97586840225152</v>
      </c>
      <c r="M12" s="183">
        <f t="shared" si="3"/>
        <v>100</v>
      </c>
      <c r="N12" s="182">
        <f>K12-'[18]aug'!K12</f>
        <v>57825</v>
      </c>
      <c r="P12" s="580">
        <v>533693</v>
      </c>
      <c r="Q12" s="1">
        <v>475868</v>
      </c>
      <c r="R12" s="580">
        <f t="shared" si="0"/>
        <v>57825</v>
      </c>
    </row>
    <row r="13" spans="1:18" ht="12">
      <c r="A13" s="185" t="s">
        <v>950</v>
      </c>
      <c r="B13" s="182">
        <v>3405024</v>
      </c>
      <c r="C13" s="182">
        <v>2187900</v>
      </c>
      <c r="D13" s="182">
        <v>1469041.13</v>
      </c>
      <c r="E13" s="183">
        <f t="shared" si="1"/>
        <v>43.14334142725572</v>
      </c>
      <c r="F13" s="184">
        <f t="shared" si="2"/>
        <v>67.14388820329997</v>
      </c>
      <c r="G13" s="182">
        <f>D13-'[18]aug'!D13</f>
        <v>183905.19999999995</v>
      </c>
      <c r="H13" s="185" t="s">
        <v>950</v>
      </c>
      <c r="I13" s="182">
        <f>ROUND(B13/1000,0)</f>
        <v>3405</v>
      </c>
      <c r="J13" s="182">
        <f t="shared" si="4"/>
        <v>2188</v>
      </c>
      <c r="K13" s="182">
        <f t="shared" si="4"/>
        <v>1469</v>
      </c>
      <c r="L13" s="183">
        <f t="shared" si="3"/>
        <v>43.14334142725572</v>
      </c>
      <c r="M13" s="183">
        <f t="shared" si="3"/>
        <v>67.14388820329997</v>
      </c>
      <c r="N13" s="182">
        <f>K13-'[18]aug'!K13</f>
        <v>184</v>
      </c>
      <c r="P13" s="580">
        <v>1469</v>
      </c>
      <c r="Q13" s="1">
        <v>1285</v>
      </c>
      <c r="R13" s="580">
        <f t="shared" si="0"/>
        <v>184</v>
      </c>
    </row>
    <row r="14" spans="1:18" ht="24">
      <c r="A14" s="185" t="s">
        <v>951</v>
      </c>
      <c r="B14" s="182">
        <v>65026004</v>
      </c>
      <c r="C14" s="182">
        <v>46811480</v>
      </c>
      <c r="D14" s="182">
        <v>45829606.29</v>
      </c>
      <c r="E14" s="183">
        <f t="shared" si="1"/>
        <v>70.47889070655488</v>
      </c>
      <c r="F14" s="184">
        <f t="shared" si="2"/>
        <v>97.90249376862256</v>
      </c>
      <c r="G14" s="182">
        <f>D14-'[18]aug'!D14</f>
        <v>5940089.530000001</v>
      </c>
      <c r="H14" s="185" t="s">
        <v>951</v>
      </c>
      <c r="I14" s="182">
        <f>ROUND(B14/1000,0)</f>
        <v>65026</v>
      </c>
      <c r="J14" s="182">
        <f>ROUND(C14/1000,0)+1</f>
        <v>46812</v>
      </c>
      <c r="K14" s="182">
        <f>ROUND(D14/1000,0)</f>
        <v>45830</v>
      </c>
      <c r="L14" s="183">
        <f t="shared" si="3"/>
        <v>70.47889070655488</v>
      </c>
      <c r="M14" s="183">
        <f t="shared" si="3"/>
        <v>97.90249376862256</v>
      </c>
      <c r="N14" s="182">
        <f>K14-'[18]aug'!K14</f>
        <v>5940</v>
      </c>
      <c r="P14" s="580">
        <v>45829</v>
      </c>
      <c r="Q14" s="1">
        <v>39890</v>
      </c>
      <c r="R14" s="580">
        <f t="shared" si="0"/>
        <v>5939</v>
      </c>
    </row>
    <row r="15" spans="1:18" ht="12">
      <c r="A15" s="181" t="s">
        <v>952</v>
      </c>
      <c r="B15" s="182">
        <v>51309574</v>
      </c>
      <c r="C15" s="182">
        <v>26969402</v>
      </c>
      <c r="D15" s="182">
        <v>13797365.45</v>
      </c>
      <c r="E15" s="183">
        <f t="shared" si="1"/>
        <v>26.89043072156475</v>
      </c>
      <c r="F15" s="184">
        <f t="shared" si="2"/>
        <v>51.15933030328221</v>
      </c>
      <c r="G15" s="182">
        <f>D15-'[18]aug'!D15</f>
        <v>3349776.9799999986</v>
      </c>
      <c r="H15" s="181" t="s">
        <v>952</v>
      </c>
      <c r="I15" s="182">
        <f>ROUND(B15/1000,0)-1</f>
        <v>51309</v>
      </c>
      <c r="J15" s="182">
        <f t="shared" si="4"/>
        <v>26969</v>
      </c>
      <c r="K15" s="182">
        <f>ROUND(D15/1000,0)</f>
        <v>13797</v>
      </c>
      <c r="L15" s="183">
        <f t="shared" si="3"/>
        <v>26.89043072156475</v>
      </c>
      <c r="M15" s="183">
        <f t="shared" si="3"/>
        <v>51.15933030328221</v>
      </c>
      <c r="N15" s="182">
        <f>K15-'[18]aug'!K15</f>
        <v>3350</v>
      </c>
      <c r="P15" s="580">
        <v>13798</v>
      </c>
      <c r="Q15" s="1">
        <v>10447</v>
      </c>
      <c r="R15" s="580">
        <f t="shared" si="0"/>
        <v>3351</v>
      </c>
    </row>
    <row r="16" spans="1:18" ht="12">
      <c r="A16" s="176" t="s">
        <v>953</v>
      </c>
      <c r="B16" s="177">
        <v>832064074</v>
      </c>
      <c r="C16" s="177">
        <f>C17+C41</f>
        <v>610134727</v>
      </c>
      <c r="D16" s="177">
        <f>D17+D41</f>
        <v>569678022.7299999</v>
      </c>
      <c r="E16" s="183">
        <f t="shared" si="1"/>
        <v>68.4656435160545</v>
      </c>
      <c r="F16" s="184">
        <f t="shared" si="2"/>
        <v>93.36921789898379</v>
      </c>
      <c r="G16" s="182">
        <f>D16-'[18]aug'!D16</f>
        <v>61769185.39999992</v>
      </c>
      <c r="H16" s="176" t="s">
        <v>953</v>
      </c>
      <c r="I16" s="177">
        <f>ROUND(B16/1000,0)</f>
        <v>832064</v>
      </c>
      <c r="J16" s="177">
        <f>ROUND(C16/1000,0)-1</f>
        <v>610134</v>
      </c>
      <c r="K16" s="177">
        <f>K17+K41</f>
        <v>569678</v>
      </c>
      <c r="L16" s="194">
        <f t="shared" si="3"/>
        <v>68.4656435160545</v>
      </c>
      <c r="M16" s="194">
        <f t="shared" si="3"/>
        <v>93.36921789898379</v>
      </c>
      <c r="N16" s="177">
        <f>K16-'[18]aug'!K16</f>
        <v>61769</v>
      </c>
      <c r="P16" s="580">
        <v>569677</v>
      </c>
      <c r="Q16" s="1">
        <v>507909</v>
      </c>
      <c r="R16" s="580">
        <f t="shared" si="0"/>
        <v>61768</v>
      </c>
    </row>
    <row r="17" spans="1:18" ht="12">
      <c r="A17" s="187" t="s">
        <v>954</v>
      </c>
      <c r="B17" s="177">
        <v>754923325</v>
      </c>
      <c r="C17" s="177">
        <f>C18+C22+C26</f>
        <v>552257325</v>
      </c>
      <c r="D17" s="177">
        <f>D18+D22+D26</f>
        <v>529860067.8599999</v>
      </c>
      <c r="E17" s="183">
        <f t="shared" si="1"/>
        <v>70.1872693971934</v>
      </c>
      <c r="F17" s="184">
        <f t="shared" si="2"/>
        <v>95.94441646563943</v>
      </c>
      <c r="G17" s="182">
        <f>D17-'[18]aug'!D17</f>
        <v>56303158.94999993</v>
      </c>
      <c r="H17" s="187" t="s">
        <v>954</v>
      </c>
      <c r="I17" s="177">
        <f>ROUND(B17/1000,0)</f>
        <v>754923</v>
      </c>
      <c r="J17" s="177">
        <f>J18+J22+J26</f>
        <v>552257</v>
      </c>
      <c r="K17" s="177">
        <f>K18+K22+K26</f>
        <v>529860</v>
      </c>
      <c r="L17" s="194">
        <f t="shared" si="3"/>
        <v>70.1872693971934</v>
      </c>
      <c r="M17" s="194">
        <f t="shared" si="3"/>
        <v>95.94441646563943</v>
      </c>
      <c r="N17" s="177">
        <f>K17-'[18]aug'!K17</f>
        <v>56303</v>
      </c>
      <c r="P17" s="580">
        <v>529859</v>
      </c>
      <c r="Q17" s="1">
        <v>473557</v>
      </c>
      <c r="R17" s="580">
        <f t="shared" si="0"/>
        <v>56302</v>
      </c>
    </row>
    <row r="18" spans="1:18" ht="12">
      <c r="A18" s="188" t="s">
        <v>955</v>
      </c>
      <c r="B18" s="177">
        <v>379289930</v>
      </c>
      <c r="C18" s="177">
        <f>C19+C21</f>
        <v>279641197</v>
      </c>
      <c r="D18" s="177">
        <f>D19+D20+D21</f>
        <v>261790223.77999997</v>
      </c>
      <c r="E18" s="183">
        <f t="shared" si="1"/>
        <v>69.02113741327115</v>
      </c>
      <c r="F18" s="184">
        <f t="shared" si="2"/>
        <v>93.61647231827575</v>
      </c>
      <c r="G18" s="182">
        <f>D18-'[18]aug'!D18</f>
        <v>28498992.48999998</v>
      </c>
      <c r="H18" s="188" t="s">
        <v>955</v>
      </c>
      <c r="I18" s="177">
        <f>ROUND(B18/1000,0)</f>
        <v>379290</v>
      </c>
      <c r="J18" s="177">
        <f>J19+J21</f>
        <v>279641</v>
      </c>
      <c r="K18" s="177">
        <f>K19+K20+K21</f>
        <v>261790</v>
      </c>
      <c r="L18" s="194">
        <f t="shared" si="3"/>
        <v>69.02113741327115</v>
      </c>
      <c r="M18" s="194">
        <f t="shared" si="3"/>
        <v>93.61647231827575</v>
      </c>
      <c r="N18" s="177">
        <f>K18-'[18]aug'!K18</f>
        <v>28499</v>
      </c>
      <c r="P18" s="580">
        <v>261790</v>
      </c>
      <c r="Q18" s="1">
        <v>233291</v>
      </c>
      <c r="R18" s="580">
        <f t="shared" si="0"/>
        <v>28499</v>
      </c>
    </row>
    <row r="19" spans="1:18" ht="12">
      <c r="A19" s="189" t="s">
        <v>956</v>
      </c>
      <c r="B19" s="182">
        <v>173539339</v>
      </c>
      <c r="C19" s="182">
        <v>127950055</v>
      </c>
      <c r="D19" s="182">
        <v>123922758.7</v>
      </c>
      <c r="E19" s="183">
        <f t="shared" si="1"/>
        <v>71.40903002978479</v>
      </c>
      <c r="F19" s="184">
        <f t="shared" si="2"/>
        <v>96.85244660504445</v>
      </c>
      <c r="G19" s="182">
        <f>D19-'[18]aug'!D19</f>
        <v>13121141.350000009</v>
      </c>
      <c r="H19" s="189" t="s">
        <v>956</v>
      </c>
      <c r="I19" s="182">
        <f>ROUND(B19/1000,0)</f>
        <v>173539</v>
      </c>
      <c r="J19" s="182">
        <f>ROUND(C19/1000,0)</f>
        <v>127950</v>
      </c>
      <c r="K19" s="182">
        <f>ROUND(D19/1000,0)</f>
        <v>123923</v>
      </c>
      <c r="L19" s="183">
        <f t="shared" si="3"/>
        <v>71.40903002978479</v>
      </c>
      <c r="M19" s="183">
        <f t="shared" si="3"/>
        <v>96.85244660504445</v>
      </c>
      <c r="N19" s="182">
        <f>K19-'[18]aug'!K19</f>
        <v>13121</v>
      </c>
      <c r="P19" s="580">
        <v>123923</v>
      </c>
      <c r="Q19" s="1">
        <v>110802</v>
      </c>
      <c r="R19" s="580">
        <f t="shared" si="0"/>
        <v>13121</v>
      </c>
    </row>
    <row r="20" spans="1:18" ht="24">
      <c r="A20" s="185" t="s">
        <v>957</v>
      </c>
      <c r="B20" s="190" t="s">
        <v>650</v>
      </c>
      <c r="C20" s="190" t="s">
        <v>650</v>
      </c>
      <c r="D20" s="182">
        <v>30830187.06</v>
      </c>
      <c r="E20" s="191" t="s">
        <v>650</v>
      </c>
      <c r="F20" s="191" t="s">
        <v>650</v>
      </c>
      <c r="G20" s="182">
        <f>D20-'[18]aug'!D20</f>
        <v>3344596.549999997</v>
      </c>
      <c r="H20" s="185" t="s">
        <v>957</v>
      </c>
      <c r="I20" s="190"/>
      <c r="J20" s="190"/>
      <c r="K20" s="182">
        <f>ROUND(D20/1000,0)</f>
        <v>30830</v>
      </c>
      <c r="L20" s="191"/>
      <c r="M20" s="191"/>
      <c r="N20" s="182">
        <f>K20-'[18]aug'!K20</f>
        <v>3344</v>
      </c>
      <c r="P20" s="580">
        <v>30830</v>
      </c>
      <c r="Q20" s="1">
        <v>27486</v>
      </c>
      <c r="R20" s="580">
        <f t="shared" si="0"/>
        <v>3344</v>
      </c>
    </row>
    <row r="21" spans="1:18" ht="12">
      <c r="A21" s="67" t="s">
        <v>958</v>
      </c>
      <c r="B21" s="190" t="s">
        <v>650</v>
      </c>
      <c r="C21" s="182">
        <v>151691142</v>
      </c>
      <c r="D21" s="182">
        <v>107037278.02</v>
      </c>
      <c r="E21" s="191" t="s">
        <v>650</v>
      </c>
      <c r="F21" s="184">
        <f>IF(ISERROR(D21/C21)," ",(D21/C21))*100</f>
        <v>70.56264235916953</v>
      </c>
      <c r="G21" s="182">
        <f>D21-'[18]aug'!D21</f>
        <v>12033254.589999989</v>
      </c>
      <c r="H21" s="67" t="s">
        <v>958</v>
      </c>
      <c r="I21" s="190"/>
      <c r="J21" s="182">
        <f>ROUND(C21/1000,0)</f>
        <v>151691</v>
      </c>
      <c r="K21" s="182">
        <f>ROUND(D21/1000,0)</f>
        <v>107037</v>
      </c>
      <c r="L21" s="191"/>
      <c r="M21" s="184">
        <f>F21</f>
        <v>70.56264235916953</v>
      </c>
      <c r="N21" s="182">
        <f>K21-'[18]aug'!K21</f>
        <v>12034</v>
      </c>
      <c r="P21" s="580">
        <v>107037</v>
      </c>
      <c r="Q21" s="1">
        <v>95003</v>
      </c>
      <c r="R21" s="580">
        <f t="shared" si="0"/>
        <v>12034</v>
      </c>
    </row>
    <row r="22" spans="1:18" ht="24">
      <c r="A22" s="59" t="s">
        <v>959</v>
      </c>
      <c r="B22" s="177">
        <v>44065415</v>
      </c>
      <c r="C22" s="177">
        <v>33886455</v>
      </c>
      <c r="D22" s="177">
        <f>D23+D24+D25</f>
        <v>33334954.64</v>
      </c>
      <c r="E22" s="194">
        <f>IF(ISERROR(D22/B22)," ",(D22/B22))*100</f>
        <v>75.64879314083392</v>
      </c>
      <c r="F22" s="195">
        <f>IF(ISERROR(D22/C22)," ",(D22/C22))*100</f>
        <v>98.37250500236748</v>
      </c>
      <c r="G22" s="182">
        <f>D22-'[18]aug'!D22</f>
        <v>4471445.219999999</v>
      </c>
      <c r="H22" s="59" t="s">
        <v>959</v>
      </c>
      <c r="I22" s="177">
        <f>ROUND(B22/1000,0)</f>
        <v>44065</v>
      </c>
      <c r="J22" s="177">
        <f>ROUND(C22/1000,0)</f>
        <v>33886</v>
      </c>
      <c r="K22" s="177">
        <f>K23+K24+K25</f>
        <v>33335</v>
      </c>
      <c r="L22" s="201">
        <f>E22</f>
        <v>75.64879314083392</v>
      </c>
      <c r="M22" s="195">
        <f>F22</f>
        <v>98.37250500236748</v>
      </c>
      <c r="N22" s="177">
        <f>K22-'[18]aug'!K22</f>
        <v>4471</v>
      </c>
      <c r="P22" s="580">
        <v>33335</v>
      </c>
      <c r="Q22" s="1">
        <v>28864</v>
      </c>
      <c r="R22" s="580">
        <f t="shared" si="0"/>
        <v>4471</v>
      </c>
    </row>
    <row r="23" spans="1:18" ht="24">
      <c r="A23" s="185" t="s">
        <v>960</v>
      </c>
      <c r="B23" s="190" t="s">
        <v>650</v>
      </c>
      <c r="C23" s="190" t="s">
        <v>650</v>
      </c>
      <c r="D23" s="182">
        <v>17017601.52</v>
      </c>
      <c r="E23" s="191" t="s">
        <v>650</v>
      </c>
      <c r="F23" s="191" t="s">
        <v>650</v>
      </c>
      <c r="G23" s="182">
        <f>D23-'[18]aug'!D23</f>
        <v>3374070.1399999987</v>
      </c>
      <c r="H23" s="185" t="s">
        <v>960</v>
      </c>
      <c r="I23" s="190"/>
      <c r="J23" s="190"/>
      <c r="K23" s="182">
        <f>ROUND(D23/1000,0)</f>
        <v>17018</v>
      </c>
      <c r="L23" s="191"/>
      <c r="M23" s="191"/>
      <c r="N23" s="182">
        <f>K23-'[18]aug'!K23</f>
        <v>3374</v>
      </c>
      <c r="P23" s="580">
        <v>17018</v>
      </c>
      <c r="Q23" s="1">
        <v>13644</v>
      </c>
      <c r="R23" s="580">
        <f t="shared" si="0"/>
        <v>3374</v>
      </c>
    </row>
    <row r="24" spans="1:18" ht="12">
      <c r="A24" s="185" t="s">
        <v>961</v>
      </c>
      <c r="B24" s="190" t="s">
        <v>650</v>
      </c>
      <c r="C24" s="190" t="s">
        <v>650</v>
      </c>
      <c r="D24" s="182">
        <v>16189150.05</v>
      </c>
      <c r="E24" s="191" t="s">
        <v>650</v>
      </c>
      <c r="F24" s="191" t="s">
        <v>650</v>
      </c>
      <c r="G24" s="182">
        <f>D24-'[18]aug'!D24</f>
        <v>1097375.08</v>
      </c>
      <c r="H24" s="185" t="s">
        <v>961</v>
      </c>
      <c r="I24" s="190"/>
      <c r="J24" s="190"/>
      <c r="K24" s="182">
        <f>ROUND(D24/1000,0)</f>
        <v>16189</v>
      </c>
      <c r="L24" s="191"/>
      <c r="M24" s="191"/>
      <c r="N24" s="182">
        <f>K24-'[18]aug'!K24</f>
        <v>1097</v>
      </c>
      <c r="P24" s="580">
        <v>16189</v>
      </c>
      <c r="Q24" s="1">
        <v>15092</v>
      </c>
      <c r="R24" s="580">
        <f t="shared" si="0"/>
        <v>1097</v>
      </c>
    </row>
    <row r="25" spans="1:18" ht="24">
      <c r="A25" s="185" t="s">
        <v>962</v>
      </c>
      <c r="B25" s="190" t="s">
        <v>650</v>
      </c>
      <c r="C25" s="190" t="s">
        <v>650</v>
      </c>
      <c r="D25" s="182">
        <v>128203.07</v>
      </c>
      <c r="E25" s="191" t="s">
        <v>650</v>
      </c>
      <c r="F25" s="191" t="s">
        <v>650</v>
      </c>
      <c r="G25" s="182">
        <f>D25-'[18]aug'!D25</f>
        <v>0</v>
      </c>
      <c r="H25" s="185" t="s">
        <v>962</v>
      </c>
      <c r="I25" s="190"/>
      <c r="J25" s="190"/>
      <c r="K25" s="182">
        <f>ROUND(D25/1000,0)</f>
        <v>128</v>
      </c>
      <c r="L25" s="191"/>
      <c r="M25" s="191"/>
      <c r="N25" s="182">
        <f>K25-'[18]aug'!K25</f>
        <v>0</v>
      </c>
      <c r="P25" s="580">
        <v>128</v>
      </c>
      <c r="Q25" s="1">
        <v>128</v>
      </c>
      <c r="R25" s="580">
        <f t="shared" si="0"/>
        <v>0</v>
      </c>
    </row>
    <row r="26" spans="1:18" ht="12">
      <c r="A26" s="196" t="s">
        <v>963</v>
      </c>
      <c r="B26" s="177">
        <v>331567980</v>
      </c>
      <c r="C26" s="177">
        <v>238729673</v>
      </c>
      <c r="D26" s="177">
        <f>D27+D28+D29+D30+D32+D37+D38</f>
        <v>234734889.43999997</v>
      </c>
      <c r="E26" s="194">
        <f>IF(ISERROR(D26/B26)," ",(D26/B26))*100</f>
        <v>70.79540353685539</v>
      </c>
      <c r="F26" s="195">
        <f>IF(ISERROR(D26/C26)," ",(D26/C26))*100</f>
        <v>98.32664975836497</v>
      </c>
      <c r="G26" s="182">
        <f>D26-'[18]aug'!D26</f>
        <v>23332721.23999995</v>
      </c>
      <c r="H26" s="196" t="s">
        <v>963</v>
      </c>
      <c r="I26" s="177">
        <f>ROUND(B26/1000,0)</f>
        <v>331568</v>
      </c>
      <c r="J26" s="177">
        <f>ROUND(C26/1000,0)</f>
        <v>238730</v>
      </c>
      <c r="K26" s="177">
        <f>K27+K28+K29+K30+K32+K37+K38</f>
        <v>234735</v>
      </c>
      <c r="L26" s="194">
        <f>E26</f>
        <v>70.79540353685539</v>
      </c>
      <c r="M26" s="195">
        <f>F26</f>
        <v>98.32664975836497</v>
      </c>
      <c r="N26" s="177">
        <f>K26-'[18]aug'!K26</f>
        <v>23333</v>
      </c>
      <c r="P26" s="580">
        <v>234734</v>
      </c>
      <c r="Q26" s="1">
        <v>211402</v>
      </c>
      <c r="R26" s="580">
        <f t="shared" si="0"/>
        <v>23332</v>
      </c>
    </row>
    <row r="27" spans="1:18" ht="12">
      <c r="A27" s="189" t="s">
        <v>964</v>
      </c>
      <c r="B27" s="190" t="s">
        <v>650</v>
      </c>
      <c r="C27" s="190" t="s">
        <v>650</v>
      </c>
      <c r="D27" s="182">
        <v>19787237.85</v>
      </c>
      <c r="E27" s="191" t="s">
        <v>650</v>
      </c>
      <c r="F27" s="191" t="s">
        <v>650</v>
      </c>
      <c r="G27" s="182">
        <f>D27-'[18]aug'!D27</f>
        <v>1398460.4800000004</v>
      </c>
      <c r="H27" s="189" t="s">
        <v>964</v>
      </c>
      <c r="I27" s="190"/>
      <c r="J27" s="190"/>
      <c r="K27" s="182">
        <f>ROUND(D27/1000,0)</f>
        <v>19787</v>
      </c>
      <c r="L27" s="191"/>
      <c r="M27" s="191"/>
      <c r="N27" s="182">
        <f>K27-'[18]aug'!K27</f>
        <v>1398</v>
      </c>
      <c r="P27" s="580">
        <v>19787</v>
      </c>
      <c r="Q27" s="1">
        <v>18389</v>
      </c>
      <c r="R27" s="580">
        <f t="shared" si="0"/>
        <v>1398</v>
      </c>
    </row>
    <row r="28" spans="1:18" ht="12">
      <c r="A28" s="185" t="s">
        <v>965</v>
      </c>
      <c r="B28" s="190" t="s">
        <v>650</v>
      </c>
      <c r="C28" s="190" t="s">
        <v>650</v>
      </c>
      <c r="D28" s="182">
        <v>74525458</v>
      </c>
      <c r="E28" s="191" t="s">
        <v>650</v>
      </c>
      <c r="F28" s="191" t="s">
        <v>650</v>
      </c>
      <c r="G28" s="182">
        <f>D28-'[18]aug'!D28</f>
        <v>6792037</v>
      </c>
      <c r="H28" s="185" t="s">
        <v>965</v>
      </c>
      <c r="I28" s="190"/>
      <c r="J28" s="190"/>
      <c r="K28" s="182">
        <f>ROUND(D28/1000,0)+1</f>
        <v>74526</v>
      </c>
      <c r="L28" s="191"/>
      <c r="M28" s="191"/>
      <c r="N28" s="182">
        <f>K28-'[18]aug'!K28</f>
        <v>6793</v>
      </c>
      <c r="P28" s="580">
        <v>74525</v>
      </c>
      <c r="Q28" s="1">
        <v>67733</v>
      </c>
      <c r="R28" s="580">
        <f t="shared" si="0"/>
        <v>6792</v>
      </c>
    </row>
    <row r="29" spans="1:18" ht="12">
      <c r="A29" s="185" t="s">
        <v>966</v>
      </c>
      <c r="B29" s="190" t="s">
        <v>650</v>
      </c>
      <c r="C29" s="190" t="s">
        <v>650</v>
      </c>
      <c r="D29" s="182">
        <v>5524387</v>
      </c>
      <c r="E29" s="191" t="s">
        <v>650</v>
      </c>
      <c r="F29" s="191" t="s">
        <v>650</v>
      </c>
      <c r="G29" s="182">
        <f>D29-'[18]aug'!D29</f>
        <v>573590</v>
      </c>
      <c r="H29" s="185" t="s">
        <v>966</v>
      </c>
      <c r="I29" s="190"/>
      <c r="J29" s="190"/>
      <c r="K29" s="182">
        <f>ROUND(D29/1000,0)</f>
        <v>5524</v>
      </c>
      <c r="L29" s="191"/>
      <c r="M29" s="191"/>
      <c r="N29" s="182">
        <f>K29-'[18]aug'!K29</f>
        <v>573</v>
      </c>
      <c r="P29" s="580">
        <v>5524</v>
      </c>
      <c r="Q29" s="1">
        <v>4951</v>
      </c>
      <c r="R29" s="580">
        <f t="shared" si="0"/>
        <v>573</v>
      </c>
    </row>
    <row r="30" spans="1:18" ht="12">
      <c r="A30" s="185" t="s">
        <v>967</v>
      </c>
      <c r="B30" s="182">
        <v>31084222</v>
      </c>
      <c r="C30" s="182">
        <v>23326326</v>
      </c>
      <c r="D30" s="182">
        <v>22230370.27</v>
      </c>
      <c r="E30" s="191" t="s">
        <v>650</v>
      </c>
      <c r="F30" s="184">
        <f>IF(ISERROR(D30/C30)," ",(D30/C30))*100</f>
        <v>95.30163588556552</v>
      </c>
      <c r="G30" s="182">
        <f>D30-'[18]aug'!D30</f>
        <v>2279086.3200000003</v>
      </c>
      <c r="H30" s="185" t="s">
        <v>967</v>
      </c>
      <c r="I30" s="182">
        <f>ROUND(B30/1000,0)</f>
        <v>31084</v>
      </c>
      <c r="J30" s="182">
        <f>ROUND(C30/1000,0)</f>
        <v>23326</v>
      </c>
      <c r="K30" s="182">
        <f>ROUND(D30/1000,0)</f>
        <v>22230</v>
      </c>
      <c r="L30" s="194"/>
      <c r="M30" s="184">
        <f>F30</f>
        <v>95.30163588556552</v>
      </c>
      <c r="N30" s="182">
        <f>K30-'[18]aug'!K30</f>
        <v>2279</v>
      </c>
      <c r="P30" s="580">
        <v>22230</v>
      </c>
      <c r="Q30" s="1">
        <v>19951</v>
      </c>
      <c r="R30" s="580">
        <f t="shared" si="0"/>
        <v>2279</v>
      </c>
    </row>
    <row r="31" spans="1:18" ht="12">
      <c r="A31" s="185" t="s">
        <v>968</v>
      </c>
      <c r="B31" s="182"/>
      <c r="C31" s="182"/>
      <c r="D31" s="182"/>
      <c r="E31" s="191"/>
      <c r="F31" s="184"/>
      <c r="G31" s="182">
        <f>D31-'[18]aug'!D31</f>
        <v>0</v>
      </c>
      <c r="H31" s="185" t="s">
        <v>968</v>
      </c>
      <c r="I31" s="182"/>
      <c r="J31" s="182"/>
      <c r="K31" s="182"/>
      <c r="L31" s="191"/>
      <c r="M31" s="184"/>
      <c r="N31" s="182">
        <f>K31-'[18]aug'!K31</f>
        <v>0</v>
      </c>
      <c r="P31" s="580"/>
      <c r="R31" s="580">
        <f t="shared" si="0"/>
        <v>0</v>
      </c>
    </row>
    <row r="32" spans="1:18" ht="12">
      <c r="A32" s="185" t="s">
        <v>969</v>
      </c>
      <c r="B32" s="182">
        <v>77524226</v>
      </c>
      <c r="C32" s="182">
        <v>57622485</v>
      </c>
      <c r="D32" s="182">
        <v>56982500.68</v>
      </c>
      <c r="E32" s="191" t="s">
        <v>650</v>
      </c>
      <c r="F32" s="184">
        <f>IF(ISERROR(D32/C32)," ",(D32/C32))*100</f>
        <v>98.88934966966454</v>
      </c>
      <c r="G32" s="182">
        <f>D32-'[18]aug'!D32</f>
        <v>6211716.839999996</v>
      </c>
      <c r="H32" s="185" t="s">
        <v>969</v>
      </c>
      <c r="I32" s="182">
        <f>ROUND(B32/1000,0)</f>
        <v>77524</v>
      </c>
      <c r="J32" s="182">
        <f>ROUND(C32/1000,0)</f>
        <v>57622</v>
      </c>
      <c r="K32" s="182">
        <f>ROUND(D32/1000,0)</f>
        <v>56983</v>
      </c>
      <c r="L32" s="194"/>
      <c r="M32" s="184">
        <f>F32</f>
        <v>98.88934966966454</v>
      </c>
      <c r="N32" s="182">
        <f>K32-'[18]aug'!K32</f>
        <v>6212</v>
      </c>
      <c r="P32" s="580">
        <v>56983</v>
      </c>
      <c r="Q32" s="1">
        <v>50771</v>
      </c>
      <c r="R32" s="580">
        <f t="shared" si="0"/>
        <v>6212</v>
      </c>
    </row>
    <row r="33" spans="1:18" ht="12">
      <c r="A33" s="197" t="s">
        <v>970</v>
      </c>
      <c r="B33" s="190" t="s">
        <v>650</v>
      </c>
      <c r="C33" s="190" t="s">
        <v>650</v>
      </c>
      <c r="D33" s="182">
        <v>1584733.61</v>
      </c>
      <c r="E33" s="191" t="s">
        <v>650</v>
      </c>
      <c r="F33" s="191" t="s">
        <v>650</v>
      </c>
      <c r="G33" s="182">
        <f>D33-'[18]aug'!D33</f>
        <v>182586</v>
      </c>
      <c r="H33" s="197" t="s">
        <v>814</v>
      </c>
      <c r="I33" s="190"/>
      <c r="J33" s="190"/>
      <c r="K33" s="182">
        <f aca="true" t="shared" si="5" ref="K33:K38">ROUND(D33/1000,0)</f>
        <v>1585</v>
      </c>
      <c r="L33" s="191"/>
      <c r="M33" s="191"/>
      <c r="N33" s="182">
        <f>K33-'[18]aug'!K33</f>
        <v>183</v>
      </c>
      <c r="P33" s="580">
        <v>1585</v>
      </c>
      <c r="Q33" s="1">
        <v>1402</v>
      </c>
      <c r="R33" s="580">
        <f t="shared" si="0"/>
        <v>183</v>
      </c>
    </row>
    <row r="34" spans="1:18" ht="12">
      <c r="A34" s="198" t="s">
        <v>971</v>
      </c>
      <c r="B34" s="190" t="s">
        <v>650</v>
      </c>
      <c r="C34" s="190" t="s">
        <v>650</v>
      </c>
      <c r="D34" s="182">
        <v>42064630.97</v>
      </c>
      <c r="E34" s="191" t="s">
        <v>650</v>
      </c>
      <c r="F34" s="191" t="s">
        <v>650</v>
      </c>
      <c r="G34" s="182">
        <f>D34-'[18]aug'!D34</f>
        <v>4384027.359999999</v>
      </c>
      <c r="H34" s="198" t="s">
        <v>971</v>
      </c>
      <c r="I34" s="190"/>
      <c r="J34" s="190"/>
      <c r="K34" s="182">
        <f t="shared" si="5"/>
        <v>42065</v>
      </c>
      <c r="L34" s="191"/>
      <c r="M34" s="191"/>
      <c r="N34" s="182">
        <f>K34-'[18]aug'!K34</f>
        <v>4384</v>
      </c>
      <c r="P34" s="580">
        <v>42065</v>
      </c>
      <c r="Q34" s="1">
        <v>37681</v>
      </c>
      <c r="R34" s="580">
        <f t="shared" si="0"/>
        <v>4384</v>
      </c>
    </row>
    <row r="35" spans="1:18" ht="12">
      <c r="A35" s="198" t="s">
        <v>972</v>
      </c>
      <c r="B35" s="190" t="s">
        <v>650</v>
      </c>
      <c r="C35" s="190" t="s">
        <v>650</v>
      </c>
      <c r="D35" s="182">
        <v>5028359.1</v>
      </c>
      <c r="E35" s="191" t="s">
        <v>650</v>
      </c>
      <c r="F35" s="191" t="s">
        <v>650</v>
      </c>
      <c r="G35" s="182">
        <f>D35-'[18]aug'!D35</f>
        <v>718534.6799999997</v>
      </c>
      <c r="H35" s="198" t="s">
        <v>972</v>
      </c>
      <c r="I35" s="190"/>
      <c r="J35" s="190"/>
      <c r="K35" s="182">
        <f t="shared" si="5"/>
        <v>5028</v>
      </c>
      <c r="L35" s="191"/>
      <c r="M35" s="191"/>
      <c r="N35" s="182">
        <f>K35-'[18]aug'!K35</f>
        <v>718</v>
      </c>
      <c r="P35" s="580">
        <v>5028</v>
      </c>
      <c r="Q35" s="1">
        <v>4310</v>
      </c>
      <c r="R35" s="580">
        <f t="shared" si="0"/>
        <v>718</v>
      </c>
    </row>
    <row r="36" spans="1:18" ht="12">
      <c r="A36" s="198" t="s">
        <v>973</v>
      </c>
      <c r="B36" s="190" t="s">
        <v>650</v>
      </c>
      <c r="C36" s="190" t="s">
        <v>650</v>
      </c>
      <c r="D36" s="182">
        <v>8304737</v>
      </c>
      <c r="E36" s="191" t="s">
        <v>650</v>
      </c>
      <c r="F36" s="191" t="s">
        <v>650</v>
      </c>
      <c r="G36" s="182">
        <f>D36-'[18]aug'!D36</f>
        <v>926528.7999999998</v>
      </c>
      <c r="H36" s="198" t="s">
        <v>973</v>
      </c>
      <c r="I36" s="190"/>
      <c r="J36" s="190"/>
      <c r="K36" s="182">
        <f t="shared" si="5"/>
        <v>8305</v>
      </c>
      <c r="L36" s="191"/>
      <c r="M36" s="191"/>
      <c r="N36" s="182">
        <f>K36-'[18]aug'!K36</f>
        <v>927</v>
      </c>
      <c r="P36" s="580">
        <v>8305</v>
      </c>
      <c r="Q36" s="1">
        <v>7378</v>
      </c>
      <c r="R36" s="580">
        <f t="shared" si="0"/>
        <v>927</v>
      </c>
    </row>
    <row r="37" spans="1:18" ht="12">
      <c r="A37" s="185" t="s">
        <v>974</v>
      </c>
      <c r="B37" s="182">
        <v>8093966</v>
      </c>
      <c r="C37" s="182">
        <v>7156111</v>
      </c>
      <c r="D37" s="182">
        <v>6218323.64</v>
      </c>
      <c r="E37" s="183">
        <f>IF(ISERROR(D37/B37)," ",(D37/B37))*100</f>
        <v>76.82665877272031</v>
      </c>
      <c r="F37" s="184">
        <f>IF(ISERROR(D37/C37)," ",(D37/C37))*100</f>
        <v>86.89529326753036</v>
      </c>
      <c r="G37" s="182">
        <f>D37-'[18]aug'!D37</f>
        <v>727540.5999999996</v>
      </c>
      <c r="H37" s="185" t="s">
        <v>974</v>
      </c>
      <c r="I37" s="182">
        <f>ROUND(B37/1000,0)</f>
        <v>8094</v>
      </c>
      <c r="J37" s="182">
        <f>ROUND(C37/1000,0)</f>
        <v>7156</v>
      </c>
      <c r="K37" s="182">
        <f t="shared" si="5"/>
        <v>6218</v>
      </c>
      <c r="L37" s="183">
        <f>E37</f>
        <v>76.82665877272031</v>
      </c>
      <c r="M37" s="184">
        <f>F37</f>
        <v>86.89529326753036</v>
      </c>
      <c r="N37" s="182">
        <f>K37-'[18]aug'!K37</f>
        <v>727</v>
      </c>
      <c r="P37" s="580">
        <v>6218</v>
      </c>
      <c r="Q37" s="1">
        <v>5491</v>
      </c>
      <c r="R37" s="580">
        <f t="shared" si="0"/>
        <v>727</v>
      </c>
    </row>
    <row r="38" spans="1:18" ht="12">
      <c r="A38" s="199" t="s">
        <v>975</v>
      </c>
      <c r="B38" s="190" t="s">
        <v>650</v>
      </c>
      <c r="C38" s="182">
        <v>150624751</v>
      </c>
      <c r="D38" s="182">
        <v>49466612</v>
      </c>
      <c r="E38" s="191" t="s">
        <v>650</v>
      </c>
      <c r="F38" s="184">
        <f>IF(ISERROR(D38/C38)," ",(D38/C38))*100</f>
        <v>32.84095852214886</v>
      </c>
      <c r="G38" s="182">
        <f>D38-'[18]aug'!D38</f>
        <v>5350290</v>
      </c>
      <c r="H38" s="199" t="s">
        <v>975</v>
      </c>
      <c r="I38" s="190"/>
      <c r="J38" s="182">
        <f>ROUND(C38/1000,0)</f>
        <v>150625</v>
      </c>
      <c r="K38" s="182">
        <f t="shared" si="5"/>
        <v>49467</v>
      </c>
      <c r="L38" s="191"/>
      <c r="M38" s="184">
        <f>F38</f>
        <v>32.84095852214886</v>
      </c>
      <c r="N38" s="182">
        <f>K38-'[18]aug'!K38</f>
        <v>5351</v>
      </c>
      <c r="P38" s="580">
        <v>49467</v>
      </c>
      <c r="Q38" s="1">
        <v>44116</v>
      </c>
      <c r="R38" s="580">
        <f t="shared" si="0"/>
        <v>5351</v>
      </c>
    </row>
    <row r="39" spans="1:18" ht="12">
      <c r="A39" s="198" t="s">
        <v>976</v>
      </c>
      <c r="B39" s="190" t="s">
        <v>650</v>
      </c>
      <c r="C39" s="190" t="s">
        <v>650</v>
      </c>
      <c r="D39" s="182">
        <v>49466612</v>
      </c>
      <c r="E39" s="191" t="s">
        <v>650</v>
      </c>
      <c r="F39" s="191" t="s">
        <v>650</v>
      </c>
      <c r="G39" s="182">
        <f>D39-'[18]aug'!D39</f>
        <v>5350290</v>
      </c>
      <c r="H39" s="198" t="s">
        <v>976</v>
      </c>
      <c r="I39" s="190"/>
      <c r="J39" s="190"/>
      <c r="K39" s="182">
        <f>ROUND(D39/1000,0)-1</f>
        <v>49466</v>
      </c>
      <c r="L39" s="191"/>
      <c r="M39" s="191"/>
      <c r="N39" s="182">
        <f>K39-'[18]aug'!K39</f>
        <v>5350</v>
      </c>
      <c r="P39" s="580">
        <v>49467</v>
      </c>
      <c r="Q39" s="1">
        <v>44116</v>
      </c>
      <c r="R39" s="580">
        <f t="shared" si="0"/>
        <v>5351</v>
      </c>
    </row>
    <row r="40" spans="1:18" ht="12">
      <c r="A40" s="199" t="s">
        <v>977</v>
      </c>
      <c r="B40" s="190" t="s">
        <v>650</v>
      </c>
      <c r="C40" s="190" t="s">
        <v>650</v>
      </c>
      <c r="D40" s="190"/>
      <c r="E40" s="191" t="s">
        <v>650</v>
      </c>
      <c r="F40" s="191" t="s">
        <v>650</v>
      </c>
      <c r="G40" s="182">
        <f>D40-'[18]aug'!D40</f>
        <v>0</v>
      </c>
      <c r="H40" s="199" t="s">
        <v>977</v>
      </c>
      <c r="I40" s="190"/>
      <c r="J40" s="190"/>
      <c r="K40" s="190"/>
      <c r="L40" s="191"/>
      <c r="M40" s="191"/>
      <c r="N40" s="182">
        <f>K40-'[18]aug'!K40</f>
        <v>0</v>
      </c>
      <c r="P40" s="580"/>
      <c r="R40" s="580">
        <f t="shared" si="0"/>
        <v>0</v>
      </c>
    </row>
    <row r="41" spans="1:18" ht="12">
      <c r="A41" s="200" t="s">
        <v>978</v>
      </c>
      <c r="B41" s="177">
        <v>77140749</v>
      </c>
      <c r="C41" s="177">
        <f>C42+C43</f>
        <v>57877402</v>
      </c>
      <c r="D41" s="177">
        <f>D42+D43</f>
        <v>39817954.870000005</v>
      </c>
      <c r="E41" s="194">
        <f>IF(ISERROR(D41/B41)," ",(D41/B41))*100</f>
        <v>51.617278009577014</v>
      </c>
      <c r="F41" s="201">
        <f>IF(ISERROR(D41/C41)," ",(D41/C41))*100</f>
        <v>68.79706672044472</v>
      </c>
      <c r="G41" s="182">
        <f>D41-'[18]aug'!D41</f>
        <v>5466026.450000003</v>
      </c>
      <c r="H41" s="200" t="s">
        <v>978</v>
      </c>
      <c r="I41" s="177">
        <f>ROUND(B41/1000,0)</f>
        <v>77141</v>
      </c>
      <c r="J41" s="177">
        <f>ROUND(C41/1000,0)</f>
        <v>57877</v>
      </c>
      <c r="K41" s="177">
        <f>K42+K43</f>
        <v>39818</v>
      </c>
      <c r="L41" s="195">
        <f aca="true" t="shared" si="6" ref="L41:M43">E41</f>
        <v>51.617278009577014</v>
      </c>
      <c r="M41" s="195">
        <f t="shared" si="6"/>
        <v>68.79706672044472</v>
      </c>
      <c r="N41" s="177">
        <f>K41-'[18]aug'!K41</f>
        <v>5466</v>
      </c>
      <c r="P41" s="580">
        <v>39818</v>
      </c>
      <c r="Q41" s="1">
        <v>34352</v>
      </c>
      <c r="R41" s="580">
        <f t="shared" si="0"/>
        <v>5466</v>
      </c>
    </row>
    <row r="42" spans="1:18" ht="12">
      <c r="A42" s="202" t="s">
        <v>979</v>
      </c>
      <c r="B42" s="182">
        <v>20101489</v>
      </c>
      <c r="C42" s="182">
        <v>15255965</v>
      </c>
      <c r="D42" s="182">
        <v>10995953.41</v>
      </c>
      <c r="E42" s="183">
        <f>IF(ISERROR(D42/B42)," ",(D42/B42))*100</f>
        <v>54.702183554661055</v>
      </c>
      <c r="F42" s="191">
        <f>IF(ISERROR(D42/C42)," ",(D42/C42))*100</f>
        <v>72.0764200101403</v>
      </c>
      <c r="G42" s="182">
        <f>D42-'[18]aug'!D42</f>
        <v>1367848.9000000004</v>
      </c>
      <c r="H42" s="202" t="s">
        <v>979</v>
      </c>
      <c r="I42" s="182">
        <f>ROUND(B42/1000,0)+1</f>
        <v>20102</v>
      </c>
      <c r="J42" s="182">
        <f>ROUND(C42/1000,0)</f>
        <v>15256</v>
      </c>
      <c r="K42" s="182">
        <f>ROUND(D42/1000,0)</f>
        <v>10996</v>
      </c>
      <c r="L42" s="184">
        <f t="shared" si="6"/>
        <v>54.702183554661055</v>
      </c>
      <c r="M42" s="184">
        <f t="shared" si="6"/>
        <v>72.0764200101403</v>
      </c>
      <c r="N42" s="182">
        <f>K42-'[18]aug'!K42</f>
        <v>1368</v>
      </c>
      <c r="P42" s="580">
        <v>10996</v>
      </c>
      <c r="Q42" s="1">
        <v>9628</v>
      </c>
      <c r="R42" s="580">
        <f t="shared" si="0"/>
        <v>1368</v>
      </c>
    </row>
    <row r="43" spans="1:18" ht="12">
      <c r="A43" s="185" t="s">
        <v>980</v>
      </c>
      <c r="B43" s="182">
        <v>57039260</v>
      </c>
      <c r="C43" s="182">
        <v>42621437</v>
      </c>
      <c r="D43" s="182">
        <v>28822001.46</v>
      </c>
      <c r="E43" s="183">
        <f>IF(ISERROR(D43/B43)," ",(D43/B43))*100</f>
        <v>50.530111119954924</v>
      </c>
      <c r="F43" s="191">
        <f>IF(ISERROR(D43/C43)," ",(D43/C43))*100</f>
        <v>67.62325132303728</v>
      </c>
      <c r="G43" s="182">
        <f>D43-'[18]aug'!D43</f>
        <v>4098177.5500000007</v>
      </c>
      <c r="H43" s="185" t="s">
        <v>980</v>
      </c>
      <c r="I43" s="182">
        <f>ROUND(B43/1000,0)</f>
        <v>57039</v>
      </c>
      <c r="J43" s="182">
        <f>ROUND(C43/1000,0)</f>
        <v>42621</v>
      </c>
      <c r="K43" s="182">
        <f>ROUND(D43/1000,0)</f>
        <v>28822</v>
      </c>
      <c r="L43" s="184">
        <f t="shared" si="6"/>
        <v>50.530111119954924</v>
      </c>
      <c r="M43" s="184">
        <f t="shared" si="6"/>
        <v>67.62325132303728</v>
      </c>
      <c r="N43" s="182">
        <f>K43-'[18]aug'!K43</f>
        <v>4098</v>
      </c>
      <c r="P43" s="580">
        <v>28822</v>
      </c>
      <c r="Q43" s="1">
        <v>24724</v>
      </c>
      <c r="R43" s="580">
        <f t="shared" si="0"/>
        <v>4098</v>
      </c>
    </row>
    <row r="44" spans="1:18" ht="12">
      <c r="A44" s="203" t="s">
        <v>981</v>
      </c>
      <c r="B44" s="190" t="s">
        <v>650</v>
      </c>
      <c r="C44" s="190" t="s">
        <v>650</v>
      </c>
      <c r="D44" s="182">
        <v>709840</v>
      </c>
      <c r="E44" s="191" t="s">
        <v>650</v>
      </c>
      <c r="F44" s="191" t="s">
        <v>650</v>
      </c>
      <c r="G44" s="182">
        <f>D44-'[18]aug'!D44</f>
        <v>64660</v>
      </c>
      <c r="H44" s="203" t="s">
        <v>981</v>
      </c>
      <c r="I44" s="190"/>
      <c r="J44" s="182"/>
      <c r="K44" s="182">
        <f aca="true" t="shared" si="7" ref="K44:K50">ROUND(D44/1000,0)</f>
        <v>710</v>
      </c>
      <c r="L44" s="191"/>
      <c r="M44" s="191"/>
      <c r="N44" s="182">
        <f>K44-'[18]aug'!K44</f>
        <v>65</v>
      </c>
      <c r="P44" s="580">
        <v>710</v>
      </c>
      <c r="Q44" s="1">
        <v>645</v>
      </c>
      <c r="R44" s="580">
        <f t="shared" si="0"/>
        <v>65</v>
      </c>
    </row>
    <row r="45" spans="1:18" ht="12">
      <c r="A45" s="203" t="s">
        <v>982</v>
      </c>
      <c r="B45" s="190" t="s">
        <v>650</v>
      </c>
      <c r="C45" s="190" t="s">
        <v>650</v>
      </c>
      <c r="D45" s="182">
        <v>6281282</v>
      </c>
      <c r="E45" s="191" t="s">
        <v>650</v>
      </c>
      <c r="F45" s="191" t="s">
        <v>650</v>
      </c>
      <c r="G45" s="182">
        <f>D45-'[18]aug'!D45</f>
        <v>831047</v>
      </c>
      <c r="H45" s="203" t="s">
        <v>982</v>
      </c>
      <c r="I45" s="190"/>
      <c r="J45" s="182"/>
      <c r="K45" s="182">
        <f t="shared" si="7"/>
        <v>6281</v>
      </c>
      <c r="L45" s="191"/>
      <c r="M45" s="191"/>
      <c r="N45" s="182">
        <f>K45-'[18]aug'!K45</f>
        <v>831</v>
      </c>
      <c r="P45" s="580">
        <v>6281</v>
      </c>
      <c r="Q45" s="1">
        <v>5450</v>
      </c>
      <c r="R45" s="580">
        <f t="shared" si="0"/>
        <v>831</v>
      </c>
    </row>
    <row r="46" spans="1:18" ht="24">
      <c r="A46" s="176" t="s">
        <v>983</v>
      </c>
      <c r="B46" s="177">
        <v>48031380</v>
      </c>
      <c r="C46" s="114" t="s">
        <v>226</v>
      </c>
      <c r="D46" s="177">
        <v>23275514</v>
      </c>
      <c r="E46" s="183">
        <f>IF(ISERROR(D46/B46)," ",(D46/B46))*100</f>
        <v>48.45897411234073</v>
      </c>
      <c r="F46" s="191"/>
      <c r="G46" s="182">
        <f>D46-'[18]aug'!D46</f>
        <v>133018</v>
      </c>
      <c r="H46" s="176" t="s">
        <v>983</v>
      </c>
      <c r="I46" s="177">
        <f>ROUND(B46/1000,0)</f>
        <v>48031</v>
      </c>
      <c r="J46" s="177"/>
      <c r="K46" s="177">
        <f>ROUND(D46/1000,0)-1</f>
        <v>23275</v>
      </c>
      <c r="L46" s="194">
        <f>E46</f>
        <v>48.45897411234073</v>
      </c>
      <c r="M46" s="201"/>
      <c r="N46" s="177">
        <f>K46-'[18]aug'!K46</f>
        <v>133</v>
      </c>
      <c r="P46" s="580">
        <v>23275</v>
      </c>
      <c r="Q46" s="1">
        <v>23142</v>
      </c>
      <c r="R46" s="580">
        <f t="shared" si="0"/>
        <v>133</v>
      </c>
    </row>
    <row r="47" spans="1:18" ht="12">
      <c r="A47" s="189" t="s">
        <v>984</v>
      </c>
      <c r="B47" s="190" t="s">
        <v>650</v>
      </c>
      <c r="C47" s="190" t="s">
        <v>650</v>
      </c>
      <c r="D47" s="182">
        <v>50826711</v>
      </c>
      <c r="E47" s="191" t="s">
        <v>650</v>
      </c>
      <c r="F47" s="191" t="s">
        <v>650</v>
      </c>
      <c r="G47" s="182">
        <f>D47-'[18]aug'!D47</f>
        <v>2514904</v>
      </c>
      <c r="H47" s="189" t="s">
        <v>984</v>
      </c>
      <c r="I47" s="190"/>
      <c r="J47" s="190"/>
      <c r="K47" s="182">
        <f>ROUND(D47/1000,0)-1</f>
        <v>50826</v>
      </c>
      <c r="L47" s="191"/>
      <c r="M47" s="191"/>
      <c r="N47" s="182">
        <f>K47-'[18]aug'!K47</f>
        <v>2515</v>
      </c>
      <c r="P47" s="580">
        <v>50827</v>
      </c>
      <c r="Q47" s="1">
        <v>48311</v>
      </c>
      <c r="R47" s="580">
        <f t="shared" si="0"/>
        <v>2516</v>
      </c>
    </row>
    <row r="48" spans="1:18" ht="12">
      <c r="A48" s="204" t="s">
        <v>985</v>
      </c>
      <c r="B48" s="190" t="s">
        <v>650</v>
      </c>
      <c r="C48" s="190" t="s">
        <v>650</v>
      </c>
      <c r="D48" s="182">
        <v>27412866</v>
      </c>
      <c r="E48" s="191" t="s">
        <v>650</v>
      </c>
      <c r="F48" s="191" t="s">
        <v>650</v>
      </c>
      <c r="G48" s="182">
        <f>D48-'[18]aug'!D48</f>
        <v>-1023246</v>
      </c>
      <c r="H48" s="204" t="s">
        <v>985</v>
      </c>
      <c r="I48" s="190"/>
      <c r="J48" s="190"/>
      <c r="K48" s="182">
        <f t="shared" si="7"/>
        <v>27413</v>
      </c>
      <c r="L48" s="191"/>
      <c r="M48" s="191"/>
      <c r="N48" s="182">
        <f>K48-'[18]aug'!K48</f>
        <v>-1023</v>
      </c>
      <c r="P48" s="580">
        <v>27413</v>
      </c>
      <c r="Q48" s="1">
        <v>28436</v>
      </c>
      <c r="R48" s="580">
        <f t="shared" si="0"/>
        <v>-1023</v>
      </c>
    </row>
    <row r="49" spans="1:18" ht="12">
      <c r="A49" s="199" t="s">
        <v>986</v>
      </c>
      <c r="B49" s="190" t="s">
        <v>650</v>
      </c>
      <c r="C49" s="190" t="s">
        <v>650</v>
      </c>
      <c r="D49" s="182">
        <v>27551197</v>
      </c>
      <c r="E49" s="191" t="s">
        <v>650</v>
      </c>
      <c r="F49" s="191" t="s">
        <v>650</v>
      </c>
      <c r="G49" s="182">
        <f>D49-'[18]aug'!D49</f>
        <v>2381886</v>
      </c>
      <c r="H49" s="199" t="s">
        <v>986</v>
      </c>
      <c r="I49" s="190"/>
      <c r="J49" s="190"/>
      <c r="K49" s="182">
        <f t="shared" si="7"/>
        <v>27551</v>
      </c>
      <c r="L49" s="191"/>
      <c r="M49" s="191"/>
      <c r="N49" s="182">
        <f>K49-'[18]aug'!K49</f>
        <v>2382</v>
      </c>
      <c r="P49" s="580">
        <v>27551</v>
      </c>
      <c r="Q49" s="1">
        <v>25169</v>
      </c>
      <c r="R49" s="580">
        <f t="shared" si="0"/>
        <v>2382</v>
      </c>
    </row>
    <row r="50" spans="1:18" ht="12">
      <c r="A50" s="204" t="s">
        <v>987</v>
      </c>
      <c r="B50" s="190" t="s">
        <v>650</v>
      </c>
      <c r="C50" s="190" t="s">
        <v>650</v>
      </c>
      <c r="D50" s="182">
        <v>5243091</v>
      </c>
      <c r="E50" s="191" t="s">
        <v>650</v>
      </c>
      <c r="F50" s="191" t="s">
        <v>650</v>
      </c>
      <c r="G50" s="182">
        <f>D50-'[18]aug'!D50</f>
        <v>103497</v>
      </c>
      <c r="H50" s="204" t="s">
        <v>987</v>
      </c>
      <c r="I50" s="190"/>
      <c r="J50" s="190"/>
      <c r="K50" s="182">
        <f t="shared" si="7"/>
        <v>5243</v>
      </c>
      <c r="L50" s="191"/>
      <c r="M50" s="191"/>
      <c r="N50" s="182">
        <f>K50-'[18]aug'!K50</f>
        <v>103</v>
      </c>
      <c r="P50" s="580">
        <v>5243</v>
      </c>
      <c r="Q50" s="1">
        <v>5140</v>
      </c>
      <c r="R50" s="580">
        <f t="shared" si="0"/>
        <v>103</v>
      </c>
    </row>
    <row r="51" spans="1:18" ht="12">
      <c r="A51" s="189" t="s">
        <v>988</v>
      </c>
      <c r="B51" s="182">
        <v>-84749496</v>
      </c>
      <c r="C51" s="190" t="s">
        <v>650</v>
      </c>
      <c r="D51" s="182">
        <v>-39117591</v>
      </c>
      <c r="E51" s="191" t="s">
        <v>650</v>
      </c>
      <c r="F51" s="191" t="s">
        <v>650</v>
      </c>
      <c r="G51" s="182">
        <f>D51-'[18]aug'!D51</f>
        <v>-3945487</v>
      </c>
      <c r="H51" s="189" t="s">
        <v>988</v>
      </c>
      <c r="I51" s="182">
        <f aca="true" t="shared" si="8" ref="I51:I56">ROUND(B51/1000,0)</f>
        <v>-84749</v>
      </c>
      <c r="J51" s="190"/>
      <c r="K51" s="182">
        <f>ROUND(D51/1000,0)+1</f>
        <v>-39117</v>
      </c>
      <c r="L51" s="191"/>
      <c r="M51" s="191"/>
      <c r="N51" s="182">
        <f>K51-'[18]aug'!K51</f>
        <v>-3945</v>
      </c>
      <c r="P51" s="580">
        <v>-39118</v>
      </c>
      <c r="Q51" s="1">
        <v>-35172</v>
      </c>
      <c r="R51" s="580">
        <f t="shared" si="0"/>
        <v>-3946</v>
      </c>
    </row>
    <row r="52" spans="1:18" ht="12">
      <c r="A52" s="108" t="s">
        <v>989</v>
      </c>
      <c r="B52" s="182">
        <v>84749496</v>
      </c>
      <c r="C52" s="190" t="s">
        <v>650</v>
      </c>
      <c r="D52" s="182">
        <v>39117591</v>
      </c>
      <c r="E52" s="191" t="s">
        <v>650</v>
      </c>
      <c r="F52" s="191" t="s">
        <v>650</v>
      </c>
      <c r="G52" s="182">
        <f>D52-'[18]aug'!D52</f>
        <v>3945487</v>
      </c>
      <c r="H52" s="108" t="s">
        <v>989</v>
      </c>
      <c r="I52" s="182">
        <f t="shared" si="8"/>
        <v>84749</v>
      </c>
      <c r="J52" s="190"/>
      <c r="K52" s="182">
        <f>SUM(K53:K56)</f>
        <v>39117</v>
      </c>
      <c r="L52" s="191"/>
      <c r="M52" s="191"/>
      <c r="N52" s="182">
        <f>K52-'[18]aug'!K52</f>
        <v>3945</v>
      </c>
      <c r="P52" s="580">
        <v>39118</v>
      </c>
      <c r="Q52" s="1">
        <v>35172</v>
      </c>
      <c r="R52" s="580">
        <f t="shared" si="0"/>
        <v>3946</v>
      </c>
    </row>
    <row r="53" spans="1:18" ht="24">
      <c r="A53" s="205" t="s">
        <v>990</v>
      </c>
      <c r="B53" s="182">
        <v>17266744</v>
      </c>
      <c r="C53" s="190" t="s">
        <v>650</v>
      </c>
      <c r="D53" s="182">
        <v>14543900</v>
      </c>
      <c r="E53" s="191" t="s">
        <v>650</v>
      </c>
      <c r="F53" s="191" t="s">
        <v>650</v>
      </c>
      <c r="G53" s="182">
        <f>D53-'[18]aug'!D53</f>
        <v>5688900</v>
      </c>
      <c r="H53" s="205" t="s">
        <v>990</v>
      </c>
      <c r="I53" s="182">
        <f t="shared" si="8"/>
        <v>17267</v>
      </c>
      <c r="J53" s="190"/>
      <c r="K53" s="182">
        <f>ROUND(D53/1000,0)</f>
        <v>14544</v>
      </c>
      <c r="L53" s="191"/>
      <c r="M53" s="191"/>
      <c r="N53" s="182">
        <f>K53-'[18]aug'!K53</f>
        <v>5689</v>
      </c>
      <c r="P53" s="580">
        <v>14544</v>
      </c>
      <c r="Q53" s="1">
        <v>8855</v>
      </c>
      <c r="R53" s="580">
        <f t="shared" si="0"/>
        <v>5689</v>
      </c>
    </row>
    <row r="54" spans="1:18" ht="24">
      <c r="A54" s="205" t="s">
        <v>994</v>
      </c>
      <c r="B54" s="182">
        <v>800000</v>
      </c>
      <c r="C54" s="190" t="s">
        <v>650</v>
      </c>
      <c r="D54" s="182">
        <v>606042.71</v>
      </c>
      <c r="E54" s="191" t="s">
        <v>650</v>
      </c>
      <c r="F54" s="191" t="s">
        <v>650</v>
      </c>
      <c r="G54" s="182">
        <f>D54-'[18]aug'!D54</f>
        <v>0</v>
      </c>
      <c r="H54" s="205" t="s">
        <v>994</v>
      </c>
      <c r="I54" s="182">
        <f t="shared" si="8"/>
        <v>800</v>
      </c>
      <c r="J54" s="190"/>
      <c r="K54" s="182">
        <f>ROUND(D54/1000,0)</f>
        <v>606</v>
      </c>
      <c r="L54" s="191"/>
      <c r="M54" s="191"/>
      <c r="N54" s="182">
        <f>K54-'[18]aug'!K54</f>
        <v>0</v>
      </c>
      <c r="P54" s="580">
        <v>606</v>
      </c>
      <c r="Q54" s="1">
        <v>606</v>
      </c>
      <c r="R54" s="580">
        <f t="shared" si="0"/>
        <v>0</v>
      </c>
    </row>
    <row r="55" spans="1:18" ht="12">
      <c r="A55" s="119" t="s">
        <v>991</v>
      </c>
      <c r="B55" s="182">
        <v>66179118</v>
      </c>
      <c r="C55" s="190" t="s">
        <v>650</v>
      </c>
      <c r="D55" s="190">
        <v>23494808</v>
      </c>
      <c r="E55" s="191" t="s">
        <v>650</v>
      </c>
      <c r="F55" s="191" t="s">
        <v>650</v>
      </c>
      <c r="G55" s="182">
        <f>D55-'[18]aug'!D55</f>
        <v>-1787740</v>
      </c>
      <c r="H55" s="119" t="s">
        <v>451</v>
      </c>
      <c r="I55" s="182">
        <f t="shared" si="8"/>
        <v>66179</v>
      </c>
      <c r="J55" s="190"/>
      <c r="K55" s="182">
        <f>ROUND(D55/1000,0)-1</f>
        <v>23494</v>
      </c>
      <c r="L55" s="191"/>
      <c r="M55" s="191"/>
      <c r="N55" s="182">
        <f>K55-'[18]aug'!K55</f>
        <v>-1788</v>
      </c>
      <c r="P55" s="580">
        <v>23495</v>
      </c>
      <c r="Q55" s="1">
        <v>25282</v>
      </c>
      <c r="R55" s="580">
        <f t="shared" si="0"/>
        <v>-1787</v>
      </c>
    </row>
    <row r="56" spans="1:18" ht="48">
      <c r="A56" s="7" t="s">
        <v>707</v>
      </c>
      <c r="B56" s="1">
        <v>503634</v>
      </c>
      <c r="C56" s="1">
        <v>472840</v>
      </c>
      <c r="D56" s="89">
        <v>472840</v>
      </c>
      <c r="E56" s="802"/>
      <c r="F56" s="458"/>
      <c r="G56" s="182">
        <f>D56-'[18]aug'!D56</f>
        <v>44327</v>
      </c>
      <c r="H56" s="67" t="s">
        <v>452</v>
      </c>
      <c r="I56" s="66">
        <f t="shared" si="8"/>
        <v>504</v>
      </c>
      <c r="J56" s="182">
        <f>ROUND(C56/1000,0)</f>
        <v>473</v>
      </c>
      <c r="K56" s="182">
        <f>ROUND(D56/1000,0)</f>
        <v>473</v>
      </c>
      <c r="L56" s="66"/>
      <c r="M56" s="66"/>
      <c r="N56" s="182">
        <f>K56-'[18]aug'!K56</f>
        <v>44</v>
      </c>
      <c r="P56" s="1">
        <v>473</v>
      </c>
      <c r="Q56" s="1">
        <v>429</v>
      </c>
      <c r="R56" s="580">
        <f t="shared" si="0"/>
        <v>44</v>
      </c>
    </row>
    <row r="58" spans="1:13" ht="12">
      <c r="A58" s="86" t="s">
        <v>992</v>
      </c>
      <c r="B58" s="89"/>
      <c r="C58" s="89"/>
      <c r="F58" s="89" t="s">
        <v>859</v>
      </c>
      <c r="H58" s="86"/>
      <c r="I58" s="89"/>
      <c r="J58" s="89"/>
      <c r="M58" s="89"/>
    </row>
    <row r="65" spans="8:12" ht="12">
      <c r="H65" s="1" t="s">
        <v>992</v>
      </c>
      <c r="L65" s="1" t="s">
        <v>859</v>
      </c>
    </row>
    <row r="66" spans="2:5" ht="12">
      <c r="B66" s="89"/>
      <c r="C66" s="89"/>
      <c r="E66" s="89"/>
    </row>
    <row r="70" ht="12">
      <c r="H70" s="1" t="s">
        <v>860</v>
      </c>
    </row>
    <row r="71" ht="12">
      <c r="H71" s="1" t="s">
        <v>116</v>
      </c>
    </row>
    <row r="75" ht="12">
      <c r="A75" s="1" t="s">
        <v>745</v>
      </c>
    </row>
    <row r="76" ht="12">
      <c r="A76" s="86" t="s">
        <v>993</v>
      </c>
    </row>
  </sheetData>
  <mergeCells count="6">
    <mergeCell ref="F7:G7"/>
    <mergeCell ref="M7:N7"/>
    <mergeCell ref="A4:G4"/>
    <mergeCell ref="H4:N4"/>
    <mergeCell ref="A5:F5"/>
    <mergeCell ref="H5:M5"/>
  </mergeCells>
  <printOptions horizontalCentered="1"/>
  <pageMargins left="0.9448818897637796" right="0.2755905511811024" top="0.984251968503937" bottom="0.984251968503937" header="0.5118110236220472" footer="0.5118110236220472"/>
  <pageSetup firstPageNumber="13" useFirstPageNumber="1" horizontalDpi="600" verticalDpi="600" orientation="portrait" paperSize="9" scale="85" r:id="rId1"/>
  <headerFooter alignWithMargins="0">
    <oddFooter>&amp;R&amp;9&amp;P</oddFooter>
  </headerFooter>
  <rowBreaks count="1" manualBreakCount="1">
    <brk id="51" min="7" max="13" man="1"/>
  </rowBreaks>
  <colBreaks count="1" manualBreakCount="1">
    <brk id="6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H1">
      <selection activeCell="H6" sqref="H6"/>
    </sheetView>
  </sheetViews>
  <sheetFormatPr defaultColWidth="9.140625" defaultRowHeight="12.75"/>
  <cols>
    <col min="1" max="1" width="45.00390625" style="49" customWidth="1"/>
    <col min="2" max="2" width="9.28125" style="49" customWidth="1"/>
    <col min="3" max="3" width="13.140625" style="49" customWidth="1"/>
    <col min="4" max="4" width="12.140625" style="49" customWidth="1"/>
    <col min="5" max="5" width="10.28125" style="49" customWidth="1"/>
    <col min="6" max="6" width="12.140625" style="49" customWidth="1"/>
    <col min="7" max="7" width="7.8515625" style="49" customWidth="1"/>
    <col min="8" max="8" width="47.7109375" style="49" customWidth="1"/>
    <col min="9" max="9" width="9.8515625" style="49" customWidth="1"/>
    <col min="10" max="10" width="10.8515625" style="49" customWidth="1"/>
    <col min="11" max="11" width="7.57421875" style="49" customWidth="1"/>
    <col min="12" max="12" width="7.140625" style="49" customWidth="1"/>
    <col min="13" max="13" width="10.7109375" style="49" customWidth="1"/>
    <col min="14" max="15" width="7.8515625" style="49" customWidth="1"/>
    <col min="16" max="16" width="16.421875" style="49" customWidth="1"/>
    <col min="17" max="17" width="14.00390625" style="0" customWidth="1"/>
    <col min="18" max="18" width="17.421875" style="0" customWidth="1"/>
  </cols>
  <sheetData>
    <row r="1" spans="5:13" ht="12.75">
      <c r="E1" s="86" t="s">
        <v>995</v>
      </c>
      <c r="H1" s="206"/>
      <c r="I1" s="206"/>
      <c r="J1" s="206"/>
      <c r="K1" s="206"/>
      <c r="L1" s="207" t="s">
        <v>995</v>
      </c>
      <c r="M1" s="206"/>
    </row>
    <row r="2" spans="1:13" ht="15">
      <c r="A2" s="856" t="s">
        <v>826</v>
      </c>
      <c r="B2" s="856"/>
      <c r="C2" s="856"/>
      <c r="D2" s="856"/>
      <c r="E2" s="856"/>
      <c r="H2" s="855" t="s">
        <v>826</v>
      </c>
      <c r="I2" s="855"/>
      <c r="J2" s="855"/>
      <c r="K2" s="855"/>
      <c r="L2" s="855"/>
      <c r="M2" s="206"/>
    </row>
    <row r="3" spans="8:13" ht="12.75">
      <c r="H3" s="206"/>
      <c r="I3" s="206"/>
      <c r="J3" s="206"/>
      <c r="K3" s="206"/>
      <c r="L3" s="206"/>
      <c r="M3" s="206"/>
    </row>
    <row r="4" spans="1:13" ht="15.75">
      <c r="A4" s="847" t="s">
        <v>996</v>
      </c>
      <c r="B4" s="847"/>
      <c r="C4" s="847"/>
      <c r="D4" s="847"/>
      <c r="E4" s="847"/>
      <c r="H4" s="857" t="s">
        <v>996</v>
      </c>
      <c r="I4" s="857"/>
      <c r="J4" s="857"/>
      <c r="K4" s="857"/>
      <c r="L4" s="857"/>
      <c r="M4" s="206"/>
    </row>
    <row r="5" spans="1:13" ht="15.75">
      <c r="A5" s="847" t="s">
        <v>997</v>
      </c>
      <c r="B5" s="847"/>
      <c r="C5" s="847"/>
      <c r="D5" s="847"/>
      <c r="E5" s="847"/>
      <c r="H5" s="855" t="s">
        <v>127</v>
      </c>
      <c r="I5" s="855"/>
      <c r="J5" s="855"/>
      <c r="K5" s="855"/>
      <c r="L5" s="855"/>
      <c r="M5" s="206"/>
    </row>
    <row r="6" spans="8:13" ht="12.75">
      <c r="H6" s="206"/>
      <c r="I6" s="206"/>
      <c r="J6" s="206"/>
      <c r="K6" s="206"/>
      <c r="L6" s="206"/>
      <c r="M6" s="206"/>
    </row>
    <row r="7" spans="6:13" ht="12.75">
      <c r="F7" s="41" t="s">
        <v>998</v>
      </c>
      <c r="H7" s="206"/>
      <c r="I7" s="206"/>
      <c r="J7" s="206"/>
      <c r="K7" s="206"/>
      <c r="L7" s="207" t="s">
        <v>998</v>
      </c>
      <c r="M7" s="206"/>
    </row>
    <row r="8" spans="1:16" ht="63.75">
      <c r="A8" s="8" t="s">
        <v>644</v>
      </c>
      <c r="B8" s="9" t="s">
        <v>999</v>
      </c>
      <c r="C8" s="9" t="s">
        <v>750</v>
      </c>
      <c r="D8" s="9" t="s">
        <v>751</v>
      </c>
      <c r="E8" s="9" t="s">
        <v>1000</v>
      </c>
      <c r="F8" s="9" t="s">
        <v>946</v>
      </c>
      <c r="G8" s="1"/>
      <c r="H8" s="209" t="s">
        <v>644</v>
      </c>
      <c r="I8" s="210" t="s">
        <v>999</v>
      </c>
      <c r="J8" s="210" t="s">
        <v>750</v>
      </c>
      <c r="K8" s="210" t="s">
        <v>751</v>
      </c>
      <c r="L8" s="210" t="s">
        <v>1001</v>
      </c>
      <c r="M8" s="210" t="s">
        <v>117</v>
      </c>
      <c r="N8" s="1"/>
      <c r="O8" s="1"/>
      <c r="P8" s="1"/>
    </row>
    <row r="9" spans="1:13" ht="12.75">
      <c r="A9" s="8">
        <v>1</v>
      </c>
      <c r="B9" s="8">
        <v>2</v>
      </c>
      <c r="C9" s="9">
        <v>3</v>
      </c>
      <c r="D9" s="9">
        <v>4</v>
      </c>
      <c r="E9" s="9">
        <v>5</v>
      </c>
      <c r="F9" s="60"/>
      <c r="H9" s="209">
        <v>1</v>
      </c>
      <c r="I9" s="209">
        <v>2</v>
      </c>
      <c r="J9" s="210">
        <v>3</v>
      </c>
      <c r="K9" s="210">
        <v>4</v>
      </c>
      <c r="L9" s="210">
        <v>5</v>
      </c>
      <c r="M9" s="211"/>
    </row>
    <row r="10" spans="1:18" ht="12.75">
      <c r="A10" s="98" t="s">
        <v>1002</v>
      </c>
      <c r="B10" s="212"/>
      <c r="C10" s="213">
        <f>SUM(C11:C24)</f>
        <v>880095454</v>
      </c>
      <c r="D10" s="213">
        <f>SUM(D11:D24)</f>
        <v>592953536.73</v>
      </c>
      <c r="E10" s="214">
        <f aca="true" t="shared" si="0" ref="E10:E25">IF(ISERROR(D10/C10)," ",(D10/C10))*100</f>
        <v>67.37377565524841</v>
      </c>
      <c r="F10" s="213">
        <f>SUM(F11:F24)</f>
        <v>61902203.860000014</v>
      </c>
      <c r="H10" s="215" t="s">
        <v>1002</v>
      </c>
      <c r="I10" s="216"/>
      <c r="J10" s="179">
        <f aca="true" t="shared" si="1" ref="J10:K25">ROUND(C10/1000,0)</f>
        <v>880095</v>
      </c>
      <c r="K10" s="213">
        <f>SUM(K11:K24)</f>
        <v>592953</v>
      </c>
      <c r="L10" s="217">
        <f aca="true" t="shared" si="2" ref="L10:L25">E10</f>
        <v>67.37377565524841</v>
      </c>
      <c r="M10" s="179">
        <f>M11+M12+M13+M14+M15+M16+M17+M18+M19+M20+M21+M22+M23+M24</f>
        <v>61902</v>
      </c>
      <c r="P10" s="213">
        <v>592953</v>
      </c>
      <c r="Q10" s="213">
        <v>531051</v>
      </c>
      <c r="R10" s="803">
        <f aca="true" t="shared" si="3" ref="R10:R25">P10-Q10</f>
        <v>61902</v>
      </c>
    </row>
    <row r="11" spans="1:18" ht="12.75">
      <c r="A11" s="218" t="s">
        <v>1003</v>
      </c>
      <c r="B11" s="219">
        <v>1</v>
      </c>
      <c r="C11" s="220">
        <v>91396898</v>
      </c>
      <c r="D11" s="220">
        <v>59160819.64</v>
      </c>
      <c r="E11" s="214">
        <f t="shared" si="0"/>
        <v>64.72957062503369</v>
      </c>
      <c r="F11" s="220">
        <f>D11-'[17]augusts'!D11</f>
        <v>7087639.140000001</v>
      </c>
      <c r="H11" s="221" t="s">
        <v>1003</v>
      </c>
      <c r="I11" s="222">
        <v>1</v>
      </c>
      <c r="J11" s="186">
        <f t="shared" si="1"/>
        <v>91397</v>
      </c>
      <c r="K11" s="186">
        <f>ROUND(D11/1000,0)</f>
        <v>59161</v>
      </c>
      <c r="L11" s="193">
        <f t="shared" si="2"/>
        <v>64.72957062503369</v>
      </c>
      <c r="M11" s="220">
        <f>K11-'[17]augusts'!K11</f>
        <v>7088</v>
      </c>
      <c r="P11" s="186">
        <v>59161</v>
      </c>
      <c r="Q11" s="186">
        <v>52073</v>
      </c>
      <c r="R11" s="803">
        <f t="shared" si="3"/>
        <v>7088</v>
      </c>
    </row>
    <row r="12" spans="1:18" ht="12.75">
      <c r="A12" s="60" t="s">
        <v>1004</v>
      </c>
      <c r="B12" s="219">
        <v>2</v>
      </c>
      <c r="C12" s="220">
        <v>47948937</v>
      </c>
      <c r="D12" s="220">
        <v>34194366.84</v>
      </c>
      <c r="E12" s="214">
        <f t="shared" si="0"/>
        <v>71.31412911197594</v>
      </c>
      <c r="F12" s="220">
        <f>D12-'[17]augusts'!D12</f>
        <v>3423751.100000005</v>
      </c>
      <c r="H12" s="211" t="s">
        <v>1004</v>
      </c>
      <c r="I12" s="222">
        <v>2</v>
      </c>
      <c r="J12" s="186">
        <f t="shared" si="1"/>
        <v>47949</v>
      </c>
      <c r="K12" s="186">
        <f>ROUND(D12/1000,0)</f>
        <v>34194</v>
      </c>
      <c r="L12" s="193">
        <f t="shared" si="2"/>
        <v>71.31412911197594</v>
      </c>
      <c r="M12" s="220">
        <f>K12-'[17]augusts'!K12</f>
        <v>3424</v>
      </c>
      <c r="P12" s="186">
        <v>34194</v>
      </c>
      <c r="Q12" s="186">
        <v>30770</v>
      </c>
      <c r="R12" s="803">
        <f t="shared" si="3"/>
        <v>3424</v>
      </c>
    </row>
    <row r="13" spans="1:18" ht="12.75">
      <c r="A13" s="69" t="s">
        <v>1005</v>
      </c>
      <c r="B13" s="219">
        <v>3</v>
      </c>
      <c r="C13" s="220">
        <v>115700651</v>
      </c>
      <c r="D13" s="220">
        <v>81261224.92</v>
      </c>
      <c r="E13" s="214">
        <f t="shared" si="0"/>
        <v>70.23402566680458</v>
      </c>
      <c r="F13" s="220">
        <f>D13-'[17]augusts'!D13</f>
        <v>9677603.700000003</v>
      </c>
      <c r="H13" s="192" t="s">
        <v>1005</v>
      </c>
      <c r="I13" s="222">
        <v>3</v>
      </c>
      <c r="J13" s="186">
        <f t="shared" si="1"/>
        <v>115701</v>
      </c>
      <c r="K13" s="186">
        <f>ROUND(D13/1000,0)</f>
        <v>81261</v>
      </c>
      <c r="L13" s="193">
        <f t="shared" si="2"/>
        <v>70.23402566680458</v>
      </c>
      <c r="M13" s="220">
        <f>K13-'[17]augusts'!K13</f>
        <v>9678</v>
      </c>
      <c r="P13" s="186">
        <v>81261</v>
      </c>
      <c r="Q13" s="186">
        <v>71583</v>
      </c>
      <c r="R13" s="803">
        <f t="shared" si="3"/>
        <v>9678</v>
      </c>
    </row>
    <row r="14" spans="1:18" ht="12.75">
      <c r="A14" s="60" t="s">
        <v>1006</v>
      </c>
      <c r="B14" s="219">
        <v>4</v>
      </c>
      <c r="C14" s="220">
        <v>98696459</v>
      </c>
      <c r="D14" s="220">
        <v>67662903.12</v>
      </c>
      <c r="E14" s="214">
        <f t="shared" si="0"/>
        <v>68.55656606687378</v>
      </c>
      <c r="F14" s="220">
        <f>D14-'[17]augusts'!D14</f>
        <v>7032422.400000006</v>
      </c>
      <c r="H14" s="211" t="s">
        <v>1006</v>
      </c>
      <c r="I14" s="222">
        <v>4</v>
      </c>
      <c r="J14" s="186">
        <f t="shared" si="1"/>
        <v>98696</v>
      </c>
      <c r="K14" s="186">
        <f>ROUND(D14/1000,0)</f>
        <v>67663</v>
      </c>
      <c r="L14" s="193">
        <f t="shared" si="2"/>
        <v>68.55656606687378</v>
      </c>
      <c r="M14" s="220">
        <f>K14-'[17]augusts'!K14</f>
        <v>7032</v>
      </c>
      <c r="P14" s="186">
        <v>67663</v>
      </c>
      <c r="Q14" s="186">
        <v>60631</v>
      </c>
      <c r="R14" s="803">
        <f t="shared" si="3"/>
        <v>7032</v>
      </c>
    </row>
    <row r="15" spans="1:18" ht="12.75">
      <c r="A15" s="60" t="s">
        <v>1007</v>
      </c>
      <c r="B15" s="219">
        <v>5</v>
      </c>
      <c r="C15" s="220">
        <v>69600475</v>
      </c>
      <c r="D15" s="220">
        <v>52792494.18</v>
      </c>
      <c r="E15" s="214">
        <f t="shared" si="0"/>
        <v>75.85076708169018</v>
      </c>
      <c r="F15" s="220">
        <f>D15-'[17]augusts'!D15</f>
        <v>5826734.329999998</v>
      </c>
      <c r="H15" s="211" t="s">
        <v>1007</v>
      </c>
      <c r="I15" s="222">
        <v>5</v>
      </c>
      <c r="J15" s="186">
        <f t="shared" si="1"/>
        <v>69600</v>
      </c>
      <c r="K15" s="186">
        <f>ROUND(D15/1000,0)+1</f>
        <v>52793</v>
      </c>
      <c r="L15" s="193">
        <f t="shared" si="2"/>
        <v>75.85076708169018</v>
      </c>
      <c r="M15" s="220">
        <f>K15-'[17]augusts'!K15</f>
        <v>5827</v>
      </c>
      <c r="P15" s="186">
        <v>52793</v>
      </c>
      <c r="Q15" s="186">
        <v>46966</v>
      </c>
      <c r="R15" s="803">
        <f t="shared" si="3"/>
        <v>5827</v>
      </c>
    </row>
    <row r="16" spans="1:18" ht="12.75">
      <c r="A16" s="69" t="s">
        <v>1008</v>
      </c>
      <c r="B16" s="219">
        <v>6</v>
      </c>
      <c r="C16" s="220">
        <v>84717119</v>
      </c>
      <c r="D16" s="220">
        <v>62340211.94</v>
      </c>
      <c r="E16" s="214">
        <f t="shared" si="0"/>
        <v>73.5863219569589</v>
      </c>
      <c r="F16" s="220">
        <f>D16-'[17]augusts'!D16</f>
        <v>6792622.07</v>
      </c>
      <c r="H16" s="192" t="s">
        <v>1008</v>
      </c>
      <c r="I16" s="222">
        <v>6</v>
      </c>
      <c r="J16" s="186">
        <f t="shared" si="1"/>
        <v>84717</v>
      </c>
      <c r="K16" s="186">
        <f t="shared" si="1"/>
        <v>62340</v>
      </c>
      <c r="L16" s="193">
        <f t="shared" si="2"/>
        <v>73.5863219569589</v>
      </c>
      <c r="M16" s="220">
        <f>K16-'[17]augusts'!K16</f>
        <v>6792</v>
      </c>
      <c r="P16" s="186">
        <v>62340</v>
      </c>
      <c r="Q16" s="186">
        <v>55548</v>
      </c>
      <c r="R16" s="803">
        <f t="shared" si="3"/>
        <v>6792</v>
      </c>
    </row>
    <row r="17" spans="1:18" ht="25.5">
      <c r="A17" s="69" t="s">
        <v>1009</v>
      </c>
      <c r="B17" s="219">
        <v>7</v>
      </c>
      <c r="C17" s="220">
        <v>11048483</v>
      </c>
      <c r="D17" s="220">
        <v>5628090.72</v>
      </c>
      <c r="E17" s="214">
        <f t="shared" si="0"/>
        <v>50.93994098556336</v>
      </c>
      <c r="F17" s="220">
        <f>D17-'[17]augusts'!D17</f>
        <v>515418.0599999996</v>
      </c>
      <c r="H17" s="192" t="s">
        <v>1009</v>
      </c>
      <c r="I17" s="222">
        <v>7</v>
      </c>
      <c r="J17" s="186">
        <f t="shared" si="1"/>
        <v>11048</v>
      </c>
      <c r="K17" s="186">
        <f t="shared" si="1"/>
        <v>5628</v>
      </c>
      <c r="L17" s="193">
        <f t="shared" si="2"/>
        <v>50.93994098556336</v>
      </c>
      <c r="M17" s="220">
        <f>K17-'[17]augusts'!K17</f>
        <v>515</v>
      </c>
      <c r="P17" s="186">
        <v>5628</v>
      </c>
      <c r="Q17" s="186">
        <v>5113</v>
      </c>
      <c r="R17" s="803">
        <f t="shared" si="3"/>
        <v>515</v>
      </c>
    </row>
    <row r="18" spans="1:18" ht="12.75">
      <c r="A18" s="60" t="s">
        <v>1010</v>
      </c>
      <c r="B18" s="219">
        <v>8</v>
      </c>
      <c r="C18" s="220">
        <v>23604384</v>
      </c>
      <c r="D18" s="220">
        <v>17759169.89</v>
      </c>
      <c r="E18" s="214">
        <f t="shared" si="0"/>
        <v>75.23674369134142</v>
      </c>
      <c r="F18" s="220">
        <f>D18-'[17]augusts'!D18</f>
        <v>1871886.1100000013</v>
      </c>
      <c r="H18" s="211" t="s">
        <v>1010</v>
      </c>
      <c r="I18" s="222">
        <v>8</v>
      </c>
      <c r="J18" s="186">
        <f t="shared" si="1"/>
        <v>23604</v>
      </c>
      <c r="K18" s="186">
        <f t="shared" si="1"/>
        <v>17759</v>
      </c>
      <c r="L18" s="193">
        <f t="shared" si="2"/>
        <v>75.23674369134142</v>
      </c>
      <c r="M18" s="220">
        <f>K18-'[17]augusts'!K18</f>
        <v>1872</v>
      </c>
      <c r="P18" s="186">
        <v>17759</v>
      </c>
      <c r="Q18" s="186">
        <v>15887</v>
      </c>
      <c r="R18" s="803">
        <f t="shared" si="3"/>
        <v>1872</v>
      </c>
    </row>
    <row r="19" spans="1:18" ht="12.75">
      <c r="A19" s="69" t="s">
        <v>1011</v>
      </c>
      <c r="B19" s="219">
        <v>9</v>
      </c>
      <c r="C19" s="220">
        <v>202127</v>
      </c>
      <c r="D19" s="220">
        <v>141039.69</v>
      </c>
      <c r="E19" s="214">
        <f t="shared" si="0"/>
        <v>69.77775853794893</v>
      </c>
      <c r="F19" s="220">
        <f>D19-'[17]augusts'!D19</f>
        <v>21149.26000000001</v>
      </c>
      <c r="H19" s="192" t="s">
        <v>1011</v>
      </c>
      <c r="I19" s="222">
        <v>9</v>
      </c>
      <c r="J19" s="186">
        <f t="shared" si="1"/>
        <v>202</v>
      </c>
      <c r="K19" s="186">
        <f t="shared" si="1"/>
        <v>141</v>
      </c>
      <c r="L19" s="193">
        <f t="shared" si="2"/>
        <v>69.77775853794893</v>
      </c>
      <c r="M19" s="220">
        <f>K19-'[17]augusts'!K19</f>
        <v>21</v>
      </c>
      <c r="P19" s="186">
        <v>141</v>
      </c>
      <c r="Q19" s="186">
        <v>120</v>
      </c>
      <c r="R19" s="803">
        <f t="shared" si="3"/>
        <v>21</v>
      </c>
    </row>
    <row r="20" spans="1:18" ht="25.5">
      <c r="A20" s="69" t="s">
        <v>1012</v>
      </c>
      <c r="B20" s="219">
        <v>10</v>
      </c>
      <c r="C20" s="220">
        <v>81646795</v>
      </c>
      <c r="D20" s="220">
        <v>46747025.63</v>
      </c>
      <c r="E20" s="214">
        <f t="shared" si="0"/>
        <v>57.25518757962269</v>
      </c>
      <c r="F20" s="220">
        <f>D20-'[17]augusts'!D20</f>
        <v>4377560.620000005</v>
      </c>
      <c r="G20" s="223"/>
      <c r="H20" s="192" t="s">
        <v>1012</v>
      </c>
      <c r="I20" s="222">
        <v>10</v>
      </c>
      <c r="J20" s="186">
        <f t="shared" si="1"/>
        <v>81647</v>
      </c>
      <c r="K20" s="186">
        <f t="shared" si="1"/>
        <v>46747</v>
      </c>
      <c r="L20" s="193">
        <f t="shared" si="2"/>
        <v>57.25518757962269</v>
      </c>
      <c r="M20" s="220">
        <f>K20-'[17]augusts'!K20</f>
        <v>4378</v>
      </c>
      <c r="P20" s="186">
        <v>46747</v>
      </c>
      <c r="Q20" s="186">
        <v>42369</v>
      </c>
      <c r="R20" s="803">
        <f t="shared" si="3"/>
        <v>4378</v>
      </c>
    </row>
    <row r="21" spans="1:18" ht="25.5">
      <c r="A21" s="69" t="s">
        <v>1013</v>
      </c>
      <c r="B21" s="219">
        <v>11</v>
      </c>
      <c r="C21" s="220">
        <v>912523</v>
      </c>
      <c r="D21" s="220">
        <v>623000.15</v>
      </c>
      <c r="E21" s="214">
        <f t="shared" si="0"/>
        <v>68.2722682058425</v>
      </c>
      <c r="F21" s="220">
        <f>D21-'[17]augusts'!D21</f>
        <v>69124.96999999997</v>
      </c>
      <c r="H21" s="192" t="s">
        <v>1013</v>
      </c>
      <c r="I21" s="222">
        <v>11</v>
      </c>
      <c r="J21" s="186">
        <f t="shared" si="1"/>
        <v>913</v>
      </c>
      <c r="K21" s="186">
        <f t="shared" si="1"/>
        <v>623</v>
      </c>
      <c r="L21" s="193">
        <f t="shared" si="2"/>
        <v>68.2722682058425</v>
      </c>
      <c r="M21" s="220">
        <f>K21-'[17]augusts'!K21</f>
        <v>69</v>
      </c>
      <c r="P21" s="186">
        <v>623</v>
      </c>
      <c r="Q21" s="186">
        <v>554</v>
      </c>
      <c r="R21" s="803">
        <f t="shared" si="3"/>
        <v>69</v>
      </c>
    </row>
    <row r="22" spans="1:18" ht="12.75">
      <c r="A22" s="60" t="s">
        <v>1014</v>
      </c>
      <c r="B22" s="219">
        <v>12</v>
      </c>
      <c r="C22" s="220">
        <v>16138770</v>
      </c>
      <c r="D22" s="220">
        <v>7469076.87</v>
      </c>
      <c r="E22" s="214">
        <f t="shared" si="0"/>
        <v>46.28033530436335</v>
      </c>
      <c r="F22" s="220">
        <f>D22-'[17]augusts'!D22</f>
        <v>956340.3300000001</v>
      </c>
      <c r="H22" s="211" t="s">
        <v>1014</v>
      </c>
      <c r="I22" s="222">
        <v>12</v>
      </c>
      <c r="J22" s="186">
        <f t="shared" si="1"/>
        <v>16139</v>
      </c>
      <c r="K22" s="186">
        <f t="shared" si="1"/>
        <v>7469</v>
      </c>
      <c r="L22" s="193">
        <f t="shared" si="2"/>
        <v>46.28033530436335</v>
      </c>
      <c r="M22" s="220">
        <f>K22-'[17]augusts'!K22</f>
        <v>956</v>
      </c>
      <c r="P22" s="186">
        <v>7469</v>
      </c>
      <c r="Q22" s="186">
        <v>6513</v>
      </c>
      <c r="R22" s="803">
        <f t="shared" si="3"/>
        <v>956</v>
      </c>
    </row>
    <row r="23" spans="1:18" ht="12.75">
      <c r="A23" s="60" t="s">
        <v>1015</v>
      </c>
      <c r="B23" s="219">
        <v>13</v>
      </c>
      <c r="C23" s="220">
        <v>25686566</v>
      </c>
      <c r="D23" s="220">
        <v>13400516.74</v>
      </c>
      <c r="E23" s="214">
        <f t="shared" si="0"/>
        <v>52.16935864451481</v>
      </c>
      <c r="F23" s="220">
        <f>D23-'[17]augusts'!D23</f>
        <v>1303821.370000001</v>
      </c>
      <c r="H23" s="211" t="s">
        <v>1015</v>
      </c>
      <c r="I23" s="222">
        <v>13</v>
      </c>
      <c r="J23" s="186">
        <f t="shared" si="1"/>
        <v>25687</v>
      </c>
      <c r="K23" s="186">
        <f t="shared" si="1"/>
        <v>13401</v>
      </c>
      <c r="L23" s="193">
        <f t="shared" si="2"/>
        <v>52.16935864451481</v>
      </c>
      <c r="M23" s="220">
        <f>K23-'[17]augusts'!K23</f>
        <v>1304</v>
      </c>
      <c r="P23" s="186">
        <v>13401</v>
      </c>
      <c r="Q23" s="186">
        <v>12097</v>
      </c>
      <c r="R23" s="803">
        <f t="shared" si="3"/>
        <v>1304</v>
      </c>
    </row>
    <row r="24" spans="1:18" ht="12.75">
      <c r="A24" s="69" t="s">
        <v>1016</v>
      </c>
      <c r="B24" s="219">
        <v>14</v>
      </c>
      <c r="C24" s="220">
        <v>212795267</v>
      </c>
      <c r="D24" s="220">
        <f>120498082.4+23275514</f>
        <v>143773596.4</v>
      </c>
      <c r="E24" s="214">
        <f t="shared" si="0"/>
        <v>67.56428299695219</v>
      </c>
      <c r="F24" s="220">
        <f>D24-'[17]augusts'!D24</f>
        <v>12946130.400000006</v>
      </c>
      <c r="H24" s="192" t="s">
        <v>1016</v>
      </c>
      <c r="I24" s="222">
        <v>14</v>
      </c>
      <c r="J24" s="186">
        <f t="shared" si="1"/>
        <v>212795</v>
      </c>
      <c r="K24" s="186">
        <f>ROUND(D24/1000,0)-1</f>
        <v>143773</v>
      </c>
      <c r="L24" s="193">
        <f t="shared" si="2"/>
        <v>67.56428299695219</v>
      </c>
      <c r="M24" s="220">
        <f>K24-'[17]augusts'!K24</f>
        <v>12946</v>
      </c>
      <c r="P24" s="186">
        <v>143773</v>
      </c>
      <c r="Q24" s="186">
        <v>130827</v>
      </c>
      <c r="R24" s="803">
        <f t="shared" si="3"/>
        <v>12946</v>
      </c>
    </row>
    <row r="25" spans="1:18" ht="12.75">
      <c r="A25" s="60" t="s">
        <v>1017</v>
      </c>
      <c r="B25" s="225"/>
      <c r="C25" s="226">
        <v>48031380</v>
      </c>
      <c r="D25" s="226">
        <v>23275514</v>
      </c>
      <c r="E25" s="214">
        <f t="shared" si="0"/>
        <v>48.45897411234073</v>
      </c>
      <c r="F25" s="220">
        <f>D25-'[17]augusts'!D25</f>
        <v>133018</v>
      </c>
      <c r="H25" s="211" t="s">
        <v>1017</v>
      </c>
      <c r="I25" s="227"/>
      <c r="J25" s="186">
        <f t="shared" si="1"/>
        <v>48031</v>
      </c>
      <c r="K25" s="186">
        <f>ROUND(D25/1000,0)-1</f>
        <v>23275</v>
      </c>
      <c r="L25" s="193">
        <f t="shared" si="2"/>
        <v>48.45897411234073</v>
      </c>
      <c r="M25" s="220">
        <f>K25-'[17]augusts'!K25</f>
        <v>133</v>
      </c>
      <c r="P25" s="186">
        <v>23275</v>
      </c>
      <c r="Q25" s="186">
        <v>23142</v>
      </c>
      <c r="R25" s="803">
        <f t="shared" si="3"/>
        <v>133</v>
      </c>
    </row>
    <row r="26" spans="2:17" ht="12.75">
      <c r="B26" s="39"/>
      <c r="C26" s="47"/>
      <c r="D26" s="47"/>
      <c r="E26" s="228"/>
      <c r="H26" s="206"/>
      <c r="I26" s="208"/>
      <c r="J26" s="229"/>
      <c r="K26" s="229"/>
      <c r="L26" s="230"/>
      <c r="M26" s="206"/>
      <c r="Q26" s="229"/>
    </row>
    <row r="27" spans="2:13" ht="12.75">
      <c r="B27" s="39"/>
      <c r="C27" s="47"/>
      <c r="D27" s="47"/>
      <c r="E27" s="228"/>
      <c r="H27" s="206"/>
      <c r="I27" s="208"/>
      <c r="J27" s="229"/>
      <c r="K27" s="229"/>
      <c r="L27" s="230"/>
      <c r="M27" s="206"/>
    </row>
    <row r="28" spans="2:13" ht="12.75">
      <c r="B28" s="39"/>
      <c r="C28" s="47"/>
      <c r="D28" s="47"/>
      <c r="E28" s="228"/>
      <c r="H28" s="206"/>
      <c r="I28" s="208"/>
      <c r="J28" s="229"/>
      <c r="K28" s="229"/>
      <c r="L28" s="230"/>
      <c r="M28" s="206"/>
    </row>
    <row r="29" spans="1:13" ht="12.75">
      <c r="A29" s="41" t="s">
        <v>1018</v>
      </c>
      <c r="B29" s="39"/>
      <c r="C29" s="39"/>
      <c r="D29" s="39"/>
      <c r="E29" s="1"/>
      <c r="F29" s="49" t="s">
        <v>1019</v>
      </c>
      <c r="H29" s="207" t="s">
        <v>198</v>
      </c>
      <c r="I29" s="208"/>
      <c r="J29" s="208"/>
      <c r="K29" s="206"/>
      <c r="L29" s="208" t="s">
        <v>859</v>
      </c>
      <c r="M29" s="206"/>
    </row>
    <row r="30" spans="2:13" ht="12.75">
      <c r="B30" s="39"/>
      <c r="C30" s="47"/>
      <c r="D30" s="47"/>
      <c r="E30" s="228"/>
      <c r="H30" s="206"/>
      <c r="I30" s="206"/>
      <c r="J30" s="206"/>
      <c r="K30" s="206"/>
      <c r="L30" s="206"/>
      <c r="M30" s="206"/>
    </row>
    <row r="31" spans="2:13" ht="12.75">
      <c r="B31" s="39"/>
      <c r="C31" s="47"/>
      <c r="D31" s="47"/>
      <c r="E31" s="228"/>
      <c r="H31" s="206"/>
      <c r="I31" s="206"/>
      <c r="J31" s="206"/>
      <c r="K31" s="206"/>
      <c r="L31" s="206"/>
      <c r="M31" s="206"/>
    </row>
    <row r="32" spans="2:13" ht="12.75">
      <c r="B32" s="39"/>
      <c r="D32" s="47"/>
      <c r="E32" s="228"/>
      <c r="G32" s="39"/>
      <c r="H32" s="206"/>
      <c r="I32" s="206"/>
      <c r="J32" s="206"/>
      <c r="K32" s="206"/>
      <c r="L32" s="206"/>
      <c r="M32" s="206"/>
    </row>
    <row r="33" spans="2:13" ht="12.75">
      <c r="B33" s="39"/>
      <c r="C33" s="47"/>
      <c r="D33" s="47"/>
      <c r="E33" s="228"/>
      <c r="H33" s="206"/>
      <c r="I33" s="206"/>
      <c r="J33" s="206"/>
      <c r="K33" s="206"/>
      <c r="L33" s="206"/>
      <c r="M33" s="206"/>
    </row>
    <row r="34" spans="2:13" ht="12.75">
      <c r="B34" s="39"/>
      <c r="C34" s="47"/>
      <c r="D34" s="47"/>
      <c r="E34" s="228"/>
      <c r="H34" s="206"/>
      <c r="I34" s="206"/>
      <c r="J34" s="206"/>
      <c r="K34" s="206"/>
      <c r="L34" s="206"/>
      <c r="M34" s="206"/>
    </row>
    <row r="35" spans="4:13" ht="12.75">
      <c r="D35" s="47"/>
      <c r="E35" s="228"/>
      <c r="H35" s="206"/>
      <c r="I35" s="206"/>
      <c r="J35" s="206"/>
      <c r="K35" s="206"/>
      <c r="L35" s="206"/>
      <c r="M35" s="206"/>
    </row>
    <row r="36" spans="2:13" ht="12.75">
      <c r="B36" s="39"/>
      <c r="C36" s="47"/>
      <c r="D36" s="47"/>
      <c r="E36" s="228"/>
      <c r="H36" s="229" t="s">
        <v>745</v>
      </c>
      <c r="I36" s="206"/>
      <c r="J36" s="206"/>
      <c r="K36" s="206"/>
      <c r="L36" s="206"/>
      <c r="M36" s="206"/>
    </row>
    <row r="37" spans="3:13" ht="12.75">
      <c r="C37" s="47"/>
      <c r="D37" s="47"/>
      <c r="E37" s="228"/>
      <c r="H37" s="206" t="s">
        <v>116</v>
      </c>
      <c r="I37" s="206"/>
      <c r="J37" s="206"/>
      <c r="K37" s="206"/>
      <c r="L37" s="206"/>
      <c r="M37" s="206"/>
    </row>
    <row r="38" spans="3:13" ht="12.75">
      <c r="C38" s="47"/>
      <c r="D38" s="47"/>
      <c r="E38" s="228"/>
      <c r="H38" s="206"/>
      <c r="I38" s="206"/>
      <c r="J38" s="206"/>
      <c r="K38" s="206"/>
      <c r="L38" s="206"/>
      <c r="M38" s="206"/>
    </row>
    <row r="39" spans="3:13" ht="12.75">
      <c r="C39" s="47"/>
      <c r="D39" s="47"/>
      <c r="E39" s="228"/>
      <c r="H39" s="206"/>
      <c r="I39" s="206"/>
      <c r="J39" s="206"/>
      <c r="K39" s="206"/>
      <c r="L39" s="206"/>
      <c r="M39" s="206"/>
    </row>
    <row r="40" spans="1:13" ht="12.75">
      <c r="A40" s="38"/>
      <c r="C40" s="47"/>
      <c r="D40" s="47"/>
      <c r="E40" s="228"/>
      <c r="H40" s="206"/>
      <c r="I40" s="206"/>
      <c r="J40" s="206"/>
      <c r="K40" s="206"/>
      <c r="L40" s="206"/>
      <c r="M40" s="206"/>
    </row>
    <row r="41" spans="1:13" ht="12.75">
      <c r="A41" s="38"/>
      <c r="C41" s="47"/>
      <c r="D41" s="47"/>
      <c r="E41" s="228"/>
      <c r="H41" s="206"/>
      <c r="I41" s="206"/>
      <c r="J41" s="206"/>
      <c r="K41" s="206"/>
      <c r="L41" s="206"/>
      <c r="M41" s="206"/>
    </row>
    <row r="42" spans="3:13" ht="12.75">
      <c r="C42" s="47"/>
      <c r="D42" s="47"/>
      <c r="E42" s="228"/>
      <c r="H42" s="206"/>
      <c r="I42" s="206"/>
      <c r="J42" s="206"/>
      <c r="K42" s="206"/>
      <c r="L42" s="206"/>
      <c r="M42" s="206"/>
    </row>
    <row r="43" spans="3:5" ht="12.75">
      <c r="C43" s="47"/>
      <c r="D43" s="47"/>
      <c r="E43" s="228"/>
    </row>
    <row r="44" spans="3:5" ht="12.75">
      <c r="C44" s="47"/>
      <c r="D44" s="47"/>
      <c r="E44" s="228"/>
    </row>
    <row r="45" spans="3:5" ht="12.75">
      <c r="C45" s="47"/>
      <c r="D45" s="47"/>
      <c r="E45" s="228"/>
    </row>
    <row r="46" spans="2:4" ht="12.75">
      <c r="B46" s="47"/>
      <c r="C46" s="47"/>
      <c r="D46" s="228"/>
    </row>
    <row r="47" spans="2:4" ht="12.75">
      <c r="B47" s="47"/>
      <c r="C47" s="47"/>
      <c r="D47" s="228"/>
    </row>
    <row r="48" spans="2:4" ht="12.75">
      <c r="B48" s="47"/>
      <c r="C48" s="47"/>
      <c r="D48" s="228"/>
    </row>
    <row r="49" spans="2:4" ht="12.75">
      <c r="B49" s="47"/>
      <c r="C49" s="47"/>
      <c r="D49" s="228"/>
    </row>
    <row r="50" spans="2:4" ht="12.75">
      <c r="B50" s="47"/>
      <c r="C50" s="47"/>
      <c r="D50" s="228"/>
    </row>
    <row r="51" spans="2:4" ht="12.75">
      <c r="B51" s="47"/>
      <c r="C51" s="47"/>
      <c r="D51" s="228"/>
    </row>
    <row r="52" spans="2:4" ht="12.75">
      <c r="B52" s="47"/>
      <c r="D52" s="228"/>
    </row>
    <row r="53" spans="2:4" ht="12.75">
      <c r="B53" s="47"/>
      <c r="D53" s="228"/>
    </row>
    <row r="54" spans="2:4" ht="12.75">
      <c r="B54" s="47"/>
      <c r="D54" s="228"/>
    </row>
    <row r="55" spans="2:4" ht="12.75">
      <c r="B55" s="47"/>
      <c r="D55" s="228"/>
    </row>
    <row r="56" spans="2:4" ht="12.75">
      <c r="B56" s="47"/>
      <c r="D56" s="228"/>
    </row>
    <row r="57" spans="2:4" ht="12.75">
      <c r="B57" s="47"/>
      <c r="D57" s="228"/>
    </row>
    <row r="58" spans="2:4" ht="12.75">
      <c r="B58" s="47"/>
      <c r="D58" s="228"/>
    </row>
    <row r="59" spans="2:4" ht="12.75">
      <c r="B59" s="47"/>
      <c r="D59" s="228"/>
    </row>
    <row r="60" spans="2:4" ht="12.75">
      <c r="B60" s="47"/>
      <c r="D60" s="228"/>
    </row>
    <row r="61" spans="2:4" ht="12.75">
      <c r="B61" s="47"/>
      <c r="D61" s="228"/>
    </row>
    <row r="62" spans="2:4" ht="12.75">
      <c r="B62" s="47"/>
      <c r="D62" s="228"/>
    </row>
    <row r="63" spans="2:4" ht="12.75">
      <c r="B63" s="47"/>
      <c r="D63" s="228"/>
    </row>
    <row r="64" spans="2:4" ht="12.75">
      <c r="B64" s="47"/>
      <c r="D64" s="228"/>
    </row>
    <row r="65" spans="2:4" ht="12.75">
      <c r="B65" s="47"/>
      <c r="D65" s="228"/>
    </row>
    <row r="66" spans="2:4" ht="12.75">
      <c r="B66" s="47"/>
      <c r="D66" s="228"/>
    </row>
    <row r="67" spans="2:4" ht="12.75">
      <c r="B67" s="47"/>
      <c r="D67" s="228"/>
    </row>
    <row r="68" spans="2:4" ht="12.75">
      <c r="B68" s="47"/>
      <c r="D68" s="228"/>
    </row>
    <row r="69" spans="2:4" ht="12.75">
      <c r="B69" s="47"/>
      <c r="D69" s="228"/>
    </row>
    <row r="70" spans="2:4" ht="12.75">
      <c r="B70" s="47"/>
      <c r="D70" s="228"/>
    </row>
    <row r="71" spans="2:4" ht="12.75">
      <c r="B71" s="47"/>
      <c r="D71" s="228"/>
    </row>
    <row r="72" spans="2:4" ht="12.75">
      <c r="B72" s="47"/>
      <c r="D72" s="228"/>
    </row>
    <row r="73" spans="2:4" ht="12.75">
      <c r="B73" s="47"/>
      <c r="D73" s="228"/>
    </row>
    <row r="74" spans="2:4" ht="12.75">
      <c r="B74" s="47"/>
      <c r="D74" s="228"/>
    </row>
    <row r="75" spans="2:4" ht="12.75">
      <c r="B75" s="47"/>
      <c r="D75" s="228"/>
    </row>
    <row r="76" spans="2:4" ht="12.75">
      <c r="B76" s="47"/>
      <c r="D76" s="228"/>
    </row>
    <row r="77" spans="2:4" ht="12.75">
      <c r="B77" s="47"/>
      <c r="D77" s="228"/>
    </row>
    <row r="78" spans="2:4" ht="12.75">
      <c r="B78" s="47"/>
      <c r="D78" s="228"/>
    </row>
    <row r="79" spans="2:4" ht="12.75">
      <c r="B79" s="47"/>
      <c r="D79" s="228"/>
    </row>
    <row r="80" spans="2:4" ht="12.75">
      <c r="B80" s="47"/>
      <c r="D80" s="228"/>
    </row>
    <row r="81" spans="2:4" ht="12.75">
      <c r="B81" s="47"/>
      <c r="D81" s="228"/>
    </row>
    <row r="82" spans="2:4" ht="12.75">
      <c r="B82" s="47"/>
      <c r="D82" s="228"/>
    </row>
    <row r="83" spans="2:4" ht="12.75">
      <c r="B83" s="47"/>
      <c r="D83" s="228"/>
    </row>
    <row r="84" spans="2:4" ht="12.75">
      <c r="B84" s="47"/>
      <c r="D84" s="228"/>
    </row>
    <row r="85" spans="2:4" ht="12.75">
      <c r="B85" s="47"/>
      <c r="D85" s="228"/>
    </row>
    <row r="86" spans="2:4" ht="12.75">
      <c r="B86" s="47"/>
      <c r="D86" s="228"/>
    </row>
    <row r="87" spans="2:4" ht="12.75">
      <c r="B87" s="47"/>
      <c r="D87" s="228"/>
    </row>
    <row r="88" spans="2:4" ht="12.75">
      <c r="B88" s="47"/>
      <c r="D88" s="228"/>
    </row>
    <row r="89" spans="2:4" ht="12.75">
      <c r="B89" s="47"/>
      <c r="D89" s="228"/>
    </row>
    <row r="90" spans="2:4" ht="12.75">
      <c r="B90" s="47"/>
      <c r="D90" s="228"/>
    </row>
    <row r="91" spans="2:4" ht="12.75">
      <c r="B91" s="47"/>
      <c r="D91" s="228"/>
    </row>
    <row r="92" spans="2:4" ht="12.75">
      <c r="B92" s="47"/>
      <c r="D92" s="228"/>
    </row>
    <row r="93" spans="2:4" ht="12.75">
      <c r="B93" s="47"/>
      <c r="D93" s="228"/>
    </row>
    <row r="94" spans="2:4" ht="12.75">
      <c r="B94" s="47"/>
      <c r="D94" s="228"/>
    </row>
    <row r="95" spans="2:4" ht="12.75">
      <c r="B95" s="47"/>
      <c r="D95" s="228"/>
    </row>
    <row r="96" spans="2:4" ht="12.75">
      <c r="B96" s="47"/>
      <c r="D96" s="228"/>
    </row>
    <row r="97" spans="2:4" ht="12.75">
      <c r="B97" s="47"/>
      <c r="D97" s="228"/>
    </row>
    <row r="98" spans="2:4" ht="12.75">
      <c r="B98" s="47"/>
      <c r="D98" s="228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</sheetData>
  <mergeCells count="6">
    <mergeCell ref="A5:E5"/>
    <mergeCell ref="H5:L5"/>
    <mergeCell ref="A2:E2"/>
    <mergeCell ref="H2:L2"/>
    <mergeCell ref="A4:E4"/>
    <mergeCell ref="H4:L4"/>
  </mergeCells>
  <printOptions horizontalCentered="1"/>
  <pageMargins left="0.9448818897637796" right="0.35433070866141736" top="0.984251968503937" bottom="0.984251968503937" header="0.5118110236220472" footer="0.5118110236220472"/>
  <pageSetup firstPageNumber="15" useFirstPageNumber="1" horizontalDpi="600" verticalDpi="600" orientation="portrait" paperSize="9" scale="94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7"/>
  <sheetViews>
    <sheetView workbookViewId="0" topLeftCell="G1">
      <selection activeCell="G6" sqref="G6"/>
    </sheetView>
  </sheetViews>
  <sheetFormatPr defaultColWidth="9.140625" defaultRowHeight="17.25" customHeight="1"/>
  <cols>
    <col min="1" max="1" width="40.57421875" style="49" customWidth="1"/>
    <col min="2" max="2" width="13.421875" style="49" customWidth="1"/>
    <col min="3" max="3" width="15.00390625" style="49" customWidth="1"/>
    <col min="4" max="4" width="13.140625" style="49" customWidth="1"/>
    <col min="5" max="5" width="8.28125" style="231" customWidth="1"/>
    <col min="6" max="6" width="17.00390625" style="49" customWidth="1"/>
    <col min="7" max="7" width="41.421875" style="49" customWidth="1"/>
    <col min="8" max="8" width="15.28125" style="49" customWidth="1"/>
    <col min="9" max="9" width="12.8515625" style="49" customWidth="1"/>
    <col min="10" max="10" width="9.7109375" style="223" customWidth="1"/>
    <col min="11" max="11" width="8.28125" style="233" customWidth="1"/>
    <col min="12" max="12" width="9.8515625" style="49" customWidth="1"/>
  </cols>
  <sheetData>
    <row r="1" spans="6:12" ht="17.25" customHeight="1">
      <c r="F1" s="232" t="s">
        <v>1020</v>
      </c>
      <c r="L1" s="232" t="s">
        <v>1020</v>
      </c>
    </row>
    <row r="2" spans="1:12" ht="17.25" customHeight="1">
      <c r="A2" s="861" t="s">
        <v>1021</v>
      </c>
      <c r="B2" s="861"/>
      <c r="C2" s="861"/>
      <c r="D2" s="861"/>
      <c r="E2" s="861"/>
      <c r="F2" s="861"/>
      <c r="G2" s="862" t="s">
        <v>747</v>
      </c>
      <c r="H2" s="862"/>
      <c r="I2" s="862"/>
      <c r="J2" s="862"/>
      <c r="K2" s="862"/>
      <c r="L2" s="862"/>
    </row>
    <row r="4" spans="1:12" ht="17.25" customHeight="1">
      <c r="A4" s="863" t="s">
        <v>1022</v>
      </c>
      <c r="B4" s="863"/>
      <c r="C4" s="863"/>
      <c r="D4" s="863"/>
      <c r="E4" s="863"/>
      <c r="F4" s="863"/>
      <c r="G4" s="864" t="s">
        <v>1022</v>
      </c>
      <c r="H4" s="864"/>
      <c r="I4" s="864"/>
      <c r="J4" s="864"/>
      <c r="K4" s="864"/>
      <c r="L4" s="864"/>
    </row>
    <row r="5" spans="1:12" ht="17.25" customHeight="1">
      <c r="A5" s="865" t="s">
        <v>98</v>
      </c>
      <c r="B5" s="865"/>
      <c r="C5" s="865"/>
      <c r="D5" s="865"/>
      <c r="E5" s="865"/>
      <c r="F5" s="865"/>
      <c r="G5" s="866" t="s">
        <v>98</v>
      </c>
      <c r="H5" s="866"/>
      <c r="I5" s="866"/>
      <c r="J5" s="866"/>
      <c r="K5" s="866"/>
      <c r="L5" s="866"/>
    </row>
    <row r="6" spans="1:12" ht="7.5" customHeight="1">
      <c r="A6" s="234"/>
      <c r="B6" s="234"/>
      <c r="C6" s="234"/>
      <c r="D6" s="234"/>
      <c r="E6" s="235"/>
      <c r="F6" s="234"/>
      <c r="G6" s="234"/>
      <c r="H6" s="234"/>
      <c r="I6" s="234"/>
      <c r="J6" s="676"/>
      <c r="K6" s="236"/>
      <c r="L6" s="234"/>
    </row>
    <row r="7" spans="6:12" ht="12.75">
      <c r="F7" s="237" t="s">
        <v>1023</v>
      </c>
      <c r="L7" s="237" t="s">
        <v>1024</v>
      </c>
    </row>
    <row r="8" spans="1:12" ht="47.25" customHeight="1">
      <c r="A8" s="238" t="s">
        <v>644</v>
      </c>
      <c r="B8" s="238" t="s">
        <v>750</v>
      </c>
      <c r="C8" s="238" t="s">
        <v>1025</v>
      </c>
      <c r="D8" s="238" t="s">
        <v>751</v>
      </c>
      <c r="E8" s="239" t="s">
        <v>1026</v>
      </c>
      <c r="F8" s="240" t="s">
        <v>946</v>
      </c>
      <c r="G8" s="238" t="s">
        <v>644</v>
      </c>
      <c r="H8" s="238" t="s">
        <v>750</v>
      </c>
      <c r="I8" s="238" t="s">
        <v>1025</v>
      </c>
      <c r="J8" s="144" t="s">
        <v>751</v>
      </c>
      <c r="K8" s="241" t="s">
        <v>1026</v>
      </c>
      <c r="L8" s="677" t="s">
        <v>101</v>
      </c>
    </row>
    <row r="9" spans="1:12" ht="12.75">
      <c r="A9" s="242">
        <v>1</v>
      </c>
      <c r="B9" s="225">
        <v>2</v>
      </c>
      <c r="C9" s="243">
        <v>3</v>
      </c>
      <c r="D9" s="243">
        <v>4</v>
      </c>
      <c r="E9" s="244">
        <v>5</v>
      </c>
      <c r="F9" s="242">
        <v>6</v>
      </c>
      <c r="G9" s="242">
        <v>1</v>
      </c>
      <c r="H9" s="225">
        <v>2</v>
      </c>
      <c r="I9" s="243">
        <v>3</v>
      </c>
      <c r="J9" s="678">
        <v>4</v>
      </c>
      <c r="K9" s="243">
        <v>5</v>
      </c>
      <c r="L9" s="242">
        <v>6</v>
      </c>
    </row>
    <row r="10" spans="1:12" ht="12.75" customHeight="1">
      <c r="A10" s="218" t="s">
        <v>1027</v>
      </c>
      <c r="B10" s="96">
        <f>SUM(B20,B28,B40,B45,B51,B58,B70,B78,B90,B96,B103,B115,B170,B180,B186)</f>
        <v>727134239</v>
      </c>
      <c r="C10" s="96">
        <f>SUM(C20,C28,C40,C45,C51,C58,C70,C78,C90,C96,C103,C115,C170,C180,C186)</f>
        <v>535896057</v>
      </c>
      <c r="D10" s="96">
        <f>SUM(D20,D28,D40,D45,D51,D58,D70,D78,D90,D96,D103,D115,D170,D180,D186)</f>
        <v>521911087</v>
      </c>
      <c r="E10" s="245">
        <f aca="true" t="shared" si="0" ref="E10:E17">D10/B10*100</f>
        <v>71.7764422313223</v>
      </c>
      <c r="F10" s="96">
        <f>SUM(F20,F28,F40,F45,F51,F58,F70,F78,F90,F96,F103,F115,F170,F180,F186)</f>
        <v>55772090</v>
      </c>
      <c r="G10" s="32" t="s">
        <v>1027</v>
      </c>
      <c r="H10" s="96">
        <f>SUM(H20,H28,H40,H45,H51,H58,H70,H78,H90,H96,H103,H115,H170,H180,H186)</f>
        <v>727134</v>
      </c>
      <c r="I10" s="96">
        <f>SUM(I20,I28,I40,I45,I51,I58,I70,I78,I90,I96,I103,I115,I170,I180,I186)</f>
        <v>535896</v>
      </c>
      <c r="J10" s="96">
        <f>SUM(J20,J28,J40,J45,J51,J58,J70,J78,J90,J96,J103,J115,J170,J180,J186)</f>
        <v>521912</v>
      </c>
      <c r="K10" s="246">
        <f aca="true" t="shared" si="1" ref="K10:K17">J10/H10*100</f>
        <v>71.77659138480665</v>
      </c>
      <c r="L10" s="96">
        <f>SUM(L20,L28,L40,L45,L51,L58,L70,L78,L90,L96,L103,L115,L170,L180,L186)-2</f>
        <v>55774</v>
      </c>
    </row>
    <row r="11" spans="1:12" ht="12.75" customHeight="1">
      <c r="A11" s="218" t="s">
        <v>1002</v>
      </c>
      <c r="B11" s="96">
        <f>B12+B14</f>
        <v>769845749</v>
      </c>
      <c r="C11" s="96">
        <f>C12+C14</f>
        <v>577343534</v>
      </c>
      <c r="D11" s="96">
        <f>D12+D14</f>
        <v>532274401</v>
      </c>
      <c r="E11" s="245">
        <f t="shared" si="0"/>
        <v>69.14039620162922</v>
      </c>
      <c r="F11" s="96">
        <f>F12+F14</f>
        <v>53044443</v>
      </c>
      <c r="G11" s="32" t="s">
        <v>1002</v>
      </c>
      <c r="H11" s="96">
        <f>H12+H14</f>
        <v>769845</v>
      </c>
      <c r="I11" s="96">
        <f>I12+I14</f>
        <v>577344</v>
      </c>
      <c r="J11" s="680">
        <f>J12+J14</f>
        <v>532274</v>
      </c>
      <c r="K11" s="94">
        <f t="shared" si="1"/>
        <v>69.14041138151187</v>
      </c>
      <c r="L11" s="96">
        <f>L12+L14</f>
        <v>53044</v>
      </c>
    </row>
    <row r="12" spans="1:12" ht="12.75" customHeight="1">
      <c r="A12" s="218" t="s">
        <v>1028</v>
      </c>
      <c r="B12" s="220">
        <f>SUM(B23,B38,B43,B54,B62,B74,B84,B93,B99,B109,B120,B176,B184,B189)</f>
        <v>736820824</v>
      </c>
      <c r="C12" s="220">
        <f>SUM(C23,C38,C43,C54,C62,C74,C84,C93,C99,C109,C120,C176,C184,C189)</f>
        <v>551427107</v>
      </c>
      <c r="D12" s="220">
        <f>SUM(D23,D38,D43,D54,D62,D74,D84,D93,D99,D109,D120,D176,D184,D189)</f>
        <v>517219771</v>
      </c>
      <c r="E12" s="247">
        <f t="shared" si="0"/>
        <v>70.1961391634067</v>
      </c>
      <c r="F12" s="220">
        <f>SUM(F23,F38,F43,F54,F62,F74,F84,F93,F99,F109,F120,F176,F184,F189)</f>
        <v>51511036</v>
      </c>
      <c r="G12" s="218" t="s">
        <v>1028</v>
      </c>
      <c r="H12" s="220">
        <f>SUM(H23,H38,H43,H54,H62,H74,H84,H93,H99,H109,H120,H176,H184,H189)</f>
        <v>736820</v>
      </c>
      <c r="I12" s="220">
        <f>SUM(I23,I38,I43,I54,I62,I74,I84,I93,I99,I109,I120,I176,I184,I189)</f>
        <v>551427</v>
      </c>
      <c r="J12" s="220">
        <f>SUM(J23,J38,J43,J54,J62,J74,J84,J93,J99,J109,J120,J176,J184,J189)</f>
        <v>517220</v>
      </c>
      <c r="K12" s="251">
        <f t="shared" si="1"/>
        <v>70.1962487446052</v>
      </c>
      <c r="L12" s="220">
        <f>SUM(L23,L38,L43,L54,L62,L74,L84,L93,L99,L109,L120,L176,L184,L189)</f>
        <v>51511</v>
      </c>
    </row>
    <row r="13" spans="1:12" ht="12.75" customHeight="1">
      <c r="A13" s="252" t="s">
        <v>1029</v>
      </c>
      <c r="B13" s="220">
        <f>SUM(B55,B63,B85,B110,B121,B190)</f>
        <v>5690057</v>
      </c>
      <c r="C13" s="220"/>
      <c r="D13" s="220">
        <f>SUM(D24,D55,D63,D85,D110,D190)</f>
        <v>3376979</v>
      </c>
      <c r="E13" s="247">
        <f t="shared" si="0"/>
        <v>59.348772780307826</v>
      </c>
      <c r="F13" s="220">
        <f>SUM(F24,F55,F63,F85,F110,F121,F190)</f>
        <v>115258</v>
      </c>
      <c r="G13" s="252" t="s">
        <v>1029</v>
      </c>
      <c r="H13" s="220">
        <f>SUM(H55,H63,H85,H110,H121,H190)</f>
        <v>5690</v>
      </c>
      <c r="I13" s="248">
        <f>ROUND(C13/1000,0)</f>
        <v>0</v>
      </c>
      <c r="J13" s="220">
        <f>SUM(J24,J55,J63,J85,J110,J190)</f>
        <v>3376</v>
      </c>
      <c r="K13" s="251">
        <f t="shared" si="1"/>
        <v>59.33216168717047</v>
      </c>
      <c r="L13" s="248">
        <f>ROUND(F13/1000,0)-1</f>
        <v>114</v>
      </c>
    </row>
    <row r="14" spans="1:12" ht="12.75" customHeight="1">
      <c r="A14" s="218" t="s">
        <v>1030</v>
      </c>
      <c r="B14" s="220">
        <f>SUM(B25,B56,B64,B75,B86,B94,B100,B111,B122,B177,B191)</f>
        <v>33024925</v>
      </c>
      <c r="C14" s="220">
        <f>SUM(C25,C56,C64,C75,C86,C94,C100,C111,C122,C177,C191)</f>
        <v>25916427</v>
      </c>
      <c r="D14" s="220">
        <f>SUM(D25,D56,D64,D75,D86,D94,D100,D111,D122,D177,D191)</f>
        <v>15054630</v>
      </c>
      <c r="E14" s="247">
        <f t="shared" si="0"/>
        <v>45.58565992201345</v>
      </c>
      <c r="F14" s="220">
        <f>SUM(F25,F56,F64,F75,F86,F94,F100,F111,F122,F177,F191)</f>
        <v>1533407</v>
      </c>
      <c r="G14" s="218" t="s">
        <v>1030</v>
      </c>
      <c r="H14" s="220">
        <f>SUM(H25,H56,H64,H75,H86,H94,H100,H111,H122,H177,H191)</f>
        <v>33025</v>
      </c>
      <c r="I14" s="220">
        <f>SUM(I25,I56,I64,I75,I86,I94,I100,I111,I122,I177,I191)</f>
        <v>25917</v>
      </c>
      <c r="J14" s="220">
        <f>SUM(J25,J56,J64,J75,J86,J94,J100,J111,J122,J177,J191)</f>
        <v>15054</v>
      </c>
      <c r="K14" s="251">
        <f t="shared" si="1"/>
        <v>45.58364875094625</v>
      </c>
      <c r="L14" s="220">
        <f>SUM(L25,L56,L64,L75,L86,L94,L100,L111,L122,L177,L191)</f>
        <v>1533</v>
      </c>
    </row>
    <row r="15" spans="1:12" ht="12.75" customHeight="1">
      <c r="A15" s="218" t="s">
        <v>877</v>
      </c>
      <c r="B15" s="96">
        <f>SUM(B65)</f>
        <v>6370052</v>
      </c>
      <c r="C15" s="96">
        <f>SUM(C65)</f>
        <v>4887675</v>
      </c>
      <c r="D15" s="96">
        <f>SUM(D65)</f>
        <v>4112528</v>
      </c>
      <c r="E15" s="245">
        <f t="shared" si="0"/>
        <v>64.56035209759669</v>
      </c>
      <c r="F15" s="96">
        <f>SUM(F65)</f>
        <v>534652</v>
      </c>
      <c r="G15" s="32" t="s">
        <v>877</v>
      </c>
      <c r="H15" s="96">
        <f>SUM(H65)</f>
        <v>6370</v>
      </c>
      <c r="I15" s="96">
        <f>ROUND(C15/1000,0)</f>
        <v>4888</v>
      </c>
      <c r="J15" s="96">
        <f>SUM(J65)</f>
        <v>4112</v>
      </c>
      <c r="K15" s="94">
        <f t="shared" si="1"/>
        <v>64.55259026687598</v>
      </c>
      <c r="L15" s="96">
        <f>SUM(L65)</f>
        <v>534</v>
      </c>
    </row>
    <row r="16" spans="1:12" ht="12.75" customHeight="1">
      <c r="A16" s="218" t="s">
        <v>878</v>
      </c>
      <c r="B16" s="96">
        <f>B10-B11-B15</f>
        <v>-49081562</v>
      </c>
      <c r="C16" s="96">
        <f>C10-C11-C15</f>
        <v>-46335152</v>
      </c>
      <c r="D16" s="96">
        <f>D10-D11-D15</f>
        <v>-14475842</v>
      </c>
      <c r="E16" s="245">
        <f t="shared" si="0"/>
        <v>29.493441956879856</v>
      </c>
      <c r="F16" s="96">
        <f>F10-F11-F15</f>
        <v>2192995</v>
      </c>
      <c r="G16" s="32" t="s">
        <v>878</v>
      </c>
      <c r="H16" s="96">
        <f>H10-H11-H15</f>
        <v>-49081</v>
      </c>
      <c r="I16" s="96">
        <f>I10-I11-I15</f>
        <v>-46336</v>
      </c>
      <c r="J16" s="679">
        <f>J10-J11-J15</f>
        <v>-14474</v>
      </c>
      <c r="K16" s="94">
        <f t="shared" si="1"/>
        <v>29.49002669057273</v>
      </c>
      <c r="L16" s="96">
        <f>L10-L11-L15</f>
        <v>2196</v>
      </c>
    </row>
    <row r="17" spans="1:12" ht="12.75" customHeight="1">
      <c r="A17" s="69" t="s">
        <v>1031</v>
      </c>
      <c r="B17" s="96">
        <f>SUM(B67,B88,B113,B124,B193)</f>
        <v>48047657</v>
      </c>
      <c r="C17" s="96">
        <f>SUM(C67,C88,C113,C124,C193)</f>
        <v>43781980</v>
      </c>
      <c r="D17" s="96">
        <f>SUM(D67,D88,D113,D124,D193)</f>
        <v>25412866</v>
      </c>
      <c r="E17" s="245">
        <f t="shared" si="0"/>
        <v>52.890957825477315</v>
      </c>
      <c r="F17" s="96">
        <f>SUM(F67,F88,F113,F124,F193)</f>
        <v>-1023246</v>
      </c>
      <c r="G17" s="76" t="s">
        <v>1031</v>
      </c>
      <c r="H17" s="96">
        <f>SUM(H67,H88,H113,H124,H193)</f>
        <v>48047</v>
      </c>
      <c r="I17" s="96">
        <f>SUM(I67,I88,I113,I124,I193)</f>
        <v>43781</v>
      </c>
      <c r="J17" s="96">
        <f>SUM(J67,J88,J113,J124,J193)</f>
        <v>25413</v>
      </c>
      <c r="K17" s="94">
        <f t="shared" si="1"/>
        <v>52.89195995587653</v>
      </c>
      <c r="L17" s="96">
        <f>SUM(L67,L88,L113,L124,L193)</f>
        <v>-1024</v>
      </c>
    </row>
    <row r="18" spans="1:12" ht="20.25" customHeight="1">
      <c r="A18" s="32" t="s">
        <v>891</v>
      </c>
      <c r="B18" s="249"/>
      <c r="C18" s="249"/>
      <c r="D18" s="249"/>
      <c r="E18" s="247"/>
      <c r="F18" s="249"/>
      <c r="G18" s="32" t="s">
        <v>891</v>
      </c>
      <c r="H18" s="249"/>
      <c r="I18" s="249"/>
      <c r="J18" s="682"/>
      <c r="K18" s="251"/>
      <c r="L18" s="249"/>
    </row>
    <row r="19" spans="1:12" ht="12.75" customHeight="1">
      <c r="A19" s="434" t="s">
        <v>1032</v>
      </c>
      <c r="B19" s="249"/>
      <c r="C19" s="249"/>
      <c r="D19" s="249"/>
      <c r="E19" s="247"/>
      <c r="F19" s="249"/>
      <c r="G19" s="434" t="s">
        <v>1032</v>
      </c>
      <c r="H19" s="249"/>
      <c r="I19" s="249"/>
      <c r="J19" s="682"/>
      <c r="K19" s="251"/>
      <c r="L19" s="249"/>
    </row>
    <row r="20" spans="1:12" ht="12.75" customHeight="1">
      <c r="A20" s="218" t="s">
        <v>0</v>
      </c>
      <c r="B20" s="220">
        <f>B21</f>
        <v>2874300</v>
      </c>
      <c r="C20" s="683">
        <v>2224300</v>
      </c>
      <c r="D20" s="686">
        <f>D21</f>
        <v>1384622</v>
      </c>
      <c r="E20" s="247">
        <f>D20/B20*100</f>
        <v>48.172494172494176</v>
      </c>
      <c r="F20" s="249">
        <f>SUM(F21)</f>
        <v>124314</v>
      </c>
      <c r="G20" s="218" t="s">
        <v>0</v>
      </c>
      <c r="H20" s="220">
        <f>H21</f>
        <v>2874</v>
      </c>
      <c r="I20" s="220">
        <f>ROUND(C20/1000,0)</f>
        <v>2224</v>
      </c>
      <c r="J20" s="683">
        <f>J21</f>
        <v>1385</v>
      </c>
      <c r="K20" s="251">
        <f>J20/H20*100</f>
        <v>48.19067501739735</v>
      </c>
      <c r="L20" s="249">
        <f>SUM(L21)</f>
        <v>125</v>
      </c>
    </row>
    <row r="21" spans="1:12" ht="12.75" customHeight="1">
      <c r="A21" s="218" t="s">
        <v>1</v>
      </c>
      <c r="B21" s="220">
        <v>2874300</v>
      </c>
      <c r="C21" s="683"/>
      <c r="D21" s="683">
        <f>'[15]Septembris'!$K$6</f>
        <v>1384622</v>
      </c>
      <c r="E21" s="247">
        <f>D21/B21*100</f>
        <v>48.172494172494176</v>
      </c>
      <c r="F21" s="249">
        <f>D21-'[6]Augusts'!D21</f>
        <v>124314</v>
      </c>
      <c r="G21" s="218" t="s">
        <v>1</v>
      </c>
      <c r="H21" s="220">
        <f>ROUND(B21/1000,0)</f>
        <v>2874</v>
      </c>
      <c r="I21" s="220"/>
      <c r="J21" s="683">
        <f>ROUND(D21/1000,0)</f>
        <v>1385</v>
      </c>
      <c r="K21" s="251">
        <f>J21/H21*100</f>
        <v>48.19067501739735</v>
      </c>
      <c r="L21" s="249">
        <f>J21-'[6]Augusts'!J21</f>
        <v>125</v>
      </c>
    </row>
    <row r="22" spans="1:12" ht="12.75" customHeight="1">
      <c r="A22" s="218" t="s">
        <v>2</v>
      </c>
      <c r="B22" s="249">
        <f>B23+B25</f>
        <v>2874300</v>
      </c>
      <c r="C22" s="681">
        <f>C23+C25</f>
        <v>2224300</v>
      </c>
      <c r="D22" s="681">
        <f>D23+D25</f>
        <v>1285852</v>
      </c>
      <c r="E22" s="247">
        <f>D22/B22*100</f>
        <v>44.736179243641935</v>
      </c>
      <c r="F22" s="249">
        <f>SUM(F23:F25)</f>
        <v>137554</v>
      </c>
      <c r="G22" s="218" t="s">
        <v>2</v>
      </c>
      <c r="H22" s="249">
        <f>H23+H25</f>
        <v>2874</v>
      </c>
      <c r="I22" s="220">
        <f>SUM(I23:I25)</f>
        <v>2224</v>
      </c>
      <c r="J22" s="683">
        <f>SUM(J23+J25)</f>
        <v>1285</v>
      </c>
      <c r="K22" s="251">
        <f>J22/H22*100</f>
        <v>44.71120389700766</v>
      </c>
      <c r="L22" s="249">
        <f>SUM(L23:L25)</f>
        <v>137</v>
      </c>
    </row>
    <row r="23" spans="1:12" ht="12.75" customHeight="1">
      <c r="A23" s="218" t="s">
        <v>3</v>
      </c>
      <c r="B23" s="220">
        <v>2856700</v>
      </c>
      <c r="C23" s="683">
        <v>2206700</v>
      </c>
      <c r="D23" s="683">
        <f>'[15]Septembris'!$K$8</f>
        <v>1272490</v>
      </c>
      <c r="E23" s="247">
        <f>D23/B23*100</f>
        <v>44.544054328420906</v>
      </c>
      <c r="F23" s="249">
        <f>D23-'[6]Augusts'!D23</f>
        <v>137446</v>
      </c>
      <c r="G23" s="218" t="s">
        <v>3</v>
      </c>
      <c r="H23" s="220">
        <f>ROUND(B23/1000,0)-1</f>
        <v>2856</v>
      </c>
      <c r="I23" s="220">
        <f>ROUND(C23/1000,0)-1</f>
        <v>2206</v>
      </c>
      <c r="J23" s="683">
        <f>ROUND(D23/1000,0)</f>
        <v>1272</v>
      </c>
      <c r="K23" s="251">
        <f>J23/H23*100</f>
        <v>44.537815126050425</v>
      </c>
      <c r="L23" s="249">
        <f>J23-'[6]Augusts'!J23</f>
        <v>137</v>
      </c>
    </row>
    <row r="24" spans="1:12" ht="12.75" customHeight="1" hidden="1">
      <c r="A24" s="252" t="s">
        <v>1029</v>
      </c>
      <c r="B24" s="220"/>
      <c r="C24" s="683"/>
      <c r="D24" s="683"/>
      <c r="E24" s="247"/>
      <c r="F24" s="249">
        <f>D24-'[6]Augusts'!D24</f>
        <v>0</v>
      </c>
      <c r="G24" s="252" t="s">
        <v>1029</v>
      </c>
      <c r="H24" s="220">
        <f>SUM(H25:H26)</f>
        <v>18</v>
      </c>
      <c r="I24" s="220"/>
      <c r="J24" s="683"/>
      <c r="K24" s="251"/>
      <c r="L24" s="249">
        <f>J24-'[6]Augusts'!J24</f>
        <v>0</v>
      </c>
    </row>
    <row r="25" spans="1:12" ht="12.75" customHeight="1">
      <c r="A25" s="218" t="s">
        <v>1030</v>
      </c>
      <c r="B25" s="220">
        <v>17600</v>
      </c>
      <c r="C25" s="683">
        <v>17600</v>
      </c>
      <c r="D25" s="683">
        <f>'[15]Septembris'!$K$31</f>
        <v>13362</v>
      </c>
      <c r="E25" s="247">
        <f>D25/B25*100</f>
        <v>75.92045454545455</v>
      </c>
      <c r="F25" s="249">
        <f>D25-'[6]Augusts'!D25</f>
        <v>108</v>
      </c>
      <c r="G25" s="218" t="s">
        <v>1030</v>
      </c>
      <c r="H25" s="220">
        <f>ROUND(B25/1000,0)</f>
        <v>18</v>
      </c>
      <c r="I25" s="220">
        <f>ROUND(C25/1000,0)</f>
        <v>18</v>
      </c>
      <c r="J25" s="683">
        <f>ROUND(D25/1000,0)</f>
        <v>13</v>
      </c>
      <c r="K25" s="251">
        <f>J25/H25*100</f>
        <v>72.22222222222221</v>
      </c>
      <c r="L25" s="249">
        <f>J25-'[6]Augusts'!J25</f>
        <v>0</v>
      </c>
    </row>
    <row r="26" spans="1:12" ht="12.75" customHeight="1">
      <c r="A26" s="32" t="s">
        <v>893</v>
      </c>
      <c r="B26" s="249"/>
      <c r="C26" s="681"/>
      <c r="D26" s="681"/>
      <c r="E26" s="247"/>
      <c r="F26" s="249"/>
      <c r="G26" s="32" t="s">
        <v>893</v>
      </c>
      <c r="H26" s="249"/>
      <c r="I26" s="220"/>
      <c r="J26" s="683"/>
      <c r="K26" s="251"/>
      <c r="L26" s="249"/>
    </row>
    <row r="27" spans="1:12" ht="24" customHeight="1">
      <c r="A27" s="92" t="s">
        <v>4</v>
      </c>
      <c r="B27" s="249"/>
      <c r="C27" s="681"/>
      <c r="D27" s="681"/>
      <c r="E27" s="247"/>
      <c r="F27" s="249">
        <f>D27-'[6]Augusts'!D27</f>
        <v>0</v>
      </c>
      <c r="G27" s="128" t="s">
        <v>4</v>
      </c>
      <c r="H27" s="249"/>
      <c r="I27" s="220"/>
      <c r="J27" s="683"/>
      <c r="K27" s="251"/>
      <c r="L27" s="249"/>
    </row>
    <row r="28" spans="1:12" ht="12.75" customHeight="1">
      <c r="A28" s="218" t="s">
        <v>0</v>
      </c>
      <c r="B28" s="249">
        <f>B29+B34+B35+B36</f>
        <v>2890000</v>
      </c>
      <c r="C28" s="682">
        <v>2095900</v>
      </c>
      <c r="D28" s="681">
        <f>D29+D34+D35+D36</f>
        <v>2080125</v>
      </c>
      <c r="E28" s="247">
        <f aca="true" t="shared" si="2" ref="E28:E38">D28/B28*100</f>
        <v>71.97664359861592</v>
      </c>
      <c r="F28" s="249">
        <f>SUM(F29,F34,F35,F36)</f>
        <v>303087</v>
      </c>
      <c r="G28" s="218" t="s">
        <v>0</v>
      </c>
      <c r="H28" s="249">
        <f>H29+H34+H35+H36</f>
        <v>2890</v>
      </c>
      <c r="I28" s="220">
        <f>ROUND(C28/1000,0)</f>
        <v>2096</v>
      </c>
      <c r="J28" s="681">
        <f>J29+J34+J35+J36</f>
        <v>2080</v>
      </c>
      <c r="K28" s="251">
        <f aca="true" t="shared" si="3" ref="K28:K35">J28/H28*100</f>
        <v>71.97231833910035</v>
      </c>
      <c r="L28" s="249">
        <f>SUM(L29,L34,L35,L36)</f>
        <v>304</v>
      </c>
    </row>
    <row r="29" spans="1:12" ht="12.75" customHeight="1">
      <c r="A29" s="69" t="s">
        <v>5</v>
      </c>
      <c r="B29" s="220">
        <f>SUM(B30:B33)</f>
        <v>2555000</v>
      </c>
      <c r="C29" s="250"/>
      <c r="D29" s="220">
        <f>SUM(D30:D33)</f>
        <v>1599249</v>
      </c>
      <c r="E29" s="247">
        <f t="shared" si="2"/>
        <v>62.59291585127201</v>
      </c>
      <c r="F29" s="249">
        <f>SUM(F30:F33)</f>
        <v>225606</v>
      </c>
      <c r="G29" s="69" t="s">
        <v>5</v>
      </c>
      <c r="H29" s="220">
        <f>SUM(H30:H33)</f>
        <v>2555</v>
      </c>
      <c r="I29" s="220"/>
      <c r="J29" s="683">
        <f>SUM(J30:J33)</f>
        <v>1599</v>
      </c>
      <c r="K29" s="251">
        <f t="shared" si="3"/>
        <v>62.58317025440313</v>
      </c>
      <c r="L29" s="249">
        <f>SUM(L30:L33)</f>
        <v>226</v>
      </c>
    </row>
    <row r="30" spans="1:12" ht="51">
      <c r="A30" s="77" t="s">
        <v>6</v>
      </c>
      <c r="B30" s="220">
        <v>2000000</v>
      </c>
      <c r="C30" s="250"/>
      <c r="D30" s="250">
        <v>1196423</v>
      </c>
      <c r="E30" s="247">
        <f t="shared" si="2"/>
        <v>59.82115</v>
      </c>
      <c r="F30" s="249">
        <f>D30-'[6]Augusts'!D30</f>
        <v>203250</v>
      </c>
      <c r="G30" s="77" t="s">
        <v>6</v>
      </c>
      <c r="H30" s="220">
        <f aca="true" t="shared" si="4" ref="H30:H36">ROUND(B30/1000,0)</f>
        <v>2000</v>
      </c>
      <c r="I30" s="220"/>
      <c r="J30" s="683">
        <f aca="true" t="shared" si="5" ref="J30:J36">ROUND(D30/1000,0)</f>
        <v>1196</v>
      </c>
      <c r="K30" s="251">
        <f t="shared" si="3"/>
        <v>59.8</v>
      </c>
      <c r="L30" s="249">
        <f>J30-'[6]Augusts'!J30+1</f>
        <v>204</v>
      </c>
    </row>
    <row r="31" spans="1:12" ht="38.25">
      <c r="A31" s="77" t="s">
        <v>7</v>
      </c>
      <c r="B31" s="220">
        <v>240000</v>
      </c>
      <c r="C31" s="250"/>
      <c r="D31" s="250">
        <v>163626</v>
      </c>
      <c r="E31" s="247">
        <f t="shared" si="2"/>
        <v>68.17750000000001</v>
      </c>
      <c r="F31" s="249">
        <f>D31-'[6]Augusts'!D31</f>
        <v>0</v>
      </c>
      <c r="G31" s="77" t="s">
        <v>7</v>
      </c>
      <c r="H31" s="220">
        <f t="shared" si="4"/>
        <v>240</v>
      </c>
      <c r="I31" s="220"/>
      <c r="J31" s="683">
        <f t="shared" si="5"/>
        <v>164</v>
      </c>
      <c r="K31" s="251">
        <f t="shared" si="3"/>
        <v>68.33333333333333</v>
      </c>
      <c r="L31" s="249">
        <f>J31-'[6]Augusts'!J31</f>
        <v>0</v>
      </c>
    </row>
    <row r="32" spans="1:12" ht="25.5" customHeight="1">
      <c r="A32" s="77" t="s">
        <v>8</v>
      </c>
      <c r="B32" s="220">
        <v>145000</v>
      </c>
      <c r="C32" s="250"/>
      <c r="D32" s="250">
        <v>98603</v>
      </c>
      <c r="E32" s="247">
        <f t="shared" si="2"/>
        <v>68.00206896551724</v>
      </c>
      <c r="F32" s="249">
        <f>D32-'[6]Augusts'!D32</f>
        <v>0</v>
      </c>
      <c r="G32" s="77" t="s">
        <v>8</v>
      </c>
      <c r="H32" s="220">
        <f t="shared" si="4"/>
        <v>145</v>
      </c>
      <c r="I32" s="220"/>
      <c r="J32" s="683">
        <f t="shared" si="5"/>
        <v>99</v>
      </c>
      <c r="K32" s="251">
        <f t="shared" si="3"/>
        <v>68.27586206896552</v>
      </c>
      <c r="L32" s="249">
        <f>J32-'[6]Augusts'!J32</f>
        <v>0</v>
      </c>
    </row>
    <row r="33" spans="1:12" ht="38.25">
      <c r="A33" s="77" t="s">
        <v>9</v>
      </c>
      <c r="B33" s="220">
        <v>170000</v>
      </c>
      <c r="C33" s="250"/>
      <c r="D33" s="250">
        <v>140597</v>
      </c>
      <c r="E33" s="247">
        <f t="shared" si="2"/>
        <v>82.70411764705882</v>
      </c>
      <c r="F33" s="249">
        <f>D33-'[6]Augusts'!D33</f>
        <v>22356</v>
      </c>
      <c r="G33" s="77" t="s">
        <v>9</v>
      </c>
      <c r="H33" s="220">
        <f t="shared" si="4"/>
        <v>170</v>
      </c>
      <c r="I33" s="220"/>
      <c r="J33" s="683">
        <f>ROUND(D33/1000,0)-1</f>
        <v>140</v>
      </c>
      <c r="K33" s="251">
        <f t="shared" si="3"/>
        <v>82.35294117647058</v>
      </c>
      <c r="L33" s="249">
        <f>J33-'[6]Augusts'!J33</f>
        <v>22</v>
      </c>
    </row>
    <row r="34" spans="1:12" ht="12.75" customHeight="1">
      <c r="A34" s="69" t="s">
        <v>10</v>
      </c>
      <c r="B34" s="220">
        <v>160000</v>
      </c>
      <c r="C34" s="250"/>
      <c r="D34" s="250">
        <v>109307</v>
      </c>
      <c r="E34" s="247">
        <f t="shared" si="2"/>
        <v>68.316875</v>
      </c>
      <c r="F34" s="249">
        <f>D34-'[6]Augusts'!D34</f>
        <v>25097</v>
      </c>
      <c r="G34" s="69" t="s">
        <v>10</v>
      </c>
      <c r="H34" s="220">
        <f t="shared" si="4"/>
        <v>160</v>
      </c>
      <c r="I34" s="220"/>
      <c r="J34" s="683">
        <f t="shared" si="5"/>
        <v>109</v>
      </c>
      <c r="K34" s="251">
        <f t="shared" si="3"/>
        <v>68.125</v>
      </c>
      <c r="L34" s="249">
        <f>J34-'[6]Augusts'!J34</f>
        <v>25</v>
      </c>
    </row>
    <row r="35" spans="1:12" ht="12.75" customHeight="1">
      <c r="A35" s="69" t="s">
        <v>11</v>
      </c>
      <c r="B35" s="220">
        <v>170000</v>
      </c>
      <c r="C35" s="250"/>
      <c r="D35" s="250">
        <v>158936</v>
      </c>
      <c r="E35" s="247">
        <f t="shared" si="2"/>
        <v>93.49176470588235</v>
      </c>
      <c r="F35" s="249">
        <f>D35-'[6]Augusts'!D35</f>
        <v>17874</v>
      </c>
      <c r="G35" s="69" t="s">
        <v>11</v>
      </c>
      <c r="H35" s="220">
        <f t="shared" si="4"/>
        <v>170</v>
      </c>
      <c r="I35" s="220"/>
      <c r="J35" s="683">
        <f t="shared" si="5"/>
        <v>159</v>
      </c>
      <c r="K35" s="251">
        <f t="shared" si="3"/>
        <v>93.52941176470588</v>
      </c>
      <c r="L35" s="249">
        <f>J35-'[6]Augusts'!J35</f>
        <v>18</v>
      </c>
    </row>
    <row r="36" spans="1:12" ht="12.75" customHeight="1">
      <c r="A36" s="255" t="s">
        <v>12</v>
      </c>
      <c r="B36" s="220">
        <v>5000</v>
      </c>
      <c r="C36" s="250"/>
      <c r="D36" s="250">
        <f>212634-1</f>
        <v>212633</v>
      </c>
      <c r="E36" s="247">
        <f t="shared" si="2"/>
        <v>4252.66</v>
      </c>
      <c r="F36" s="249">
        <f>D36-'[6]Augusts'!D36</f>
        <v>34510</v>
      </c>
      <c r="G36" s="255" t="s">
        <v>12</v>
      </c>
      <c r="H36" s="220">
        <f t="shared" si="4"/>
        <v>5</v>
      </c>
      <c r="I36" s="220"/>
      <c r="J36" s="683">
        <f t="shared" si="5"/>
        <v>213</v>
      </c>
      <c r="K36" s="251"/>
      <c r="L36" s="249">
        <f>J36-'[6]Augusts'!J36</f>
        <v>35</v>
      </c>
    </row>
    <row r="37" spans="1:12" ht="12.75" customHeight="1">
      <c r="A37" s="218" t="s">
        <v>2</v>
      </c>
      <c r="B37" s="249">
        <f>B38</f>
        <v>1275000</v>
      </c>
      <c r="C37" s="249">
        <f>C38</f>
        <v>947860</v>
      </c>
      <c r="D37" s="249">
        <f>D38</f>
        <v>540361</v>
      </c>
      <c r="E37" s="247">
        <f t="shared" si="2"/>
        <v>42.38125490196079</v>
      </c>
      <c r="F37" s="249">
        <f>F38</f>
        <v>63278</v>
      </c>
      <c r="G37" s="218" t="s">
        <v>2</v>
      </c>
      <c r="H37" s="249">
        <f>H38</f>
        <v>1275</v>
      </c>
      <c r="I37" s="220">
        <f>ROUND(C37/1000,0)</f>
        <v>948</v>
      </c>
      <c r="J37" s="683">
        <f>SUM(J38)</f>
        <v>540</v>
      </c>
      <c r="K37" s="251">
        <f>J37/H37*100</f>
        <v>42.35294117647059</v>
      </c>
      <c r="L37" s="249">
        <f>L38</f>
        <v>63</v>
      </c>
    </row>
    <row r="38" spans="1:12" ht="12.75" customHeight="1">
      <c r="A38" s="218" t="s">
        <v>3</v>
      </c>
      <c r="B38" s="220">
        <v>1275000</v>
      </c>
      <c r="C38" s="250">
        <v>947860</v>
      </c>
      <c r="D38" s="250">
        <f>'[15]Septembris'!$W$8</f>
        <v>540361</v>
      </c>
      <c r="E38" s="247">
        <f t="shared" si="2"/>
        <v>42.38125490196079</v>
      </c>
      <c r="F38" s="249">
        <f>D38-'[6]Augusts'!D38</f>
        <v>63278</v>
      </c>
      <c r="G38" s="218" t="s">
        <v>3</v>
      </c>
      <c r="H38" s="220">
        <f>ROUND(B38/1000,0)</f>
        <v>1275</v>
      </c>
      <c r="I38" s="220">
        <f>ROUND(C38/1000,0)</f>
        <v>948</v>
      </c>
      <c r="J38" s="683">
        <f>ROUND(D38/1000,0)</f>
        <v>540</v>
      </c>
      <c r="K38" s="251">
        <f>J38/H38*100</f>
        <v>42.35294117647059</v>
      </c>
      <c r="L38" s="249">
        <f>J38-'[6]Augusts'!J38</f>
        <v>63</v>
      </c>
    </row>
    <row r="39" spans="1:12" ht="24" customHeight="1">
      <c r="A39" s="92" t="s">
        <v>13</v>
      </c>
      <c r="B39" s="112"/>
      <c r="C39" s="112"/>
      <c r="D39" s="112"/>
      <c r="E39" s="247"/>
      <c r="F39" s="249"/>
      <c r="G39" s="92" t="s">
        <v>13</v>
      </c>
      <c r="H39" s="112"/>
      <c r="I39" s="220"/>
      <c r="J39" s="683"/>
      <c r="K39" s="251"/>
      <c r="L39" s="249"/>
    </row>
    <row r="40" spans="1:12" ht="12.75" customHeight="1">
      <c r="A40" s="218" t="s">
        <v>0</v>
      </c>
      <c r="B40" s="249">
        <f>B41</f>
        <v>500000</v>
      </c>
      <c r="C40" s="253">
        <v>500000</v>
      </c>
      <c r="D40" s="681">
        <f>D41</f>
        <v>1237550</v>
      </c>
      <c r="E40" s="247">
        <f>D40/B40*100</f>
        <v>247.51</v>
      </c>
      <c r="F40" s="249">
        <f>F41</f>
        <v>0</v>
      </c>
      <c r="G40" s="218" t="s">
        <v>0</v>
      </c>
      <c r="H40" s="249">
        <f>H41</f>
        <v>500</v>
      </c>
      <c r="I40" s="220">
        <f>ROUND(C40/1000,0)</f>
        <v>500</v>
      </c>
      <c r="J40" s="683">
        <f>J41</f>
        <v>1238</v>
      </c>
      <c r="K40" s="251">
        <f>J40/H40*100</f>
        <v>247.6</v>
      </c>
      <c r="L40" s="249">
        <f>L41</f>
        <v>0</v>
      </c>
    </row>
    <row r="41" spans="1:12" ht="12.75" customHeight="1">
      <c r="A41" s="256" t="s">
        <v>14</v>
      </c>
      <c r="B41" s="220">
        <v>500000</v>
      </c>
      <c r="C41" s="250"/>
      <c r="D41" s="683">
        <f>'[15]Septembris'!$X$6</f>
        <v>1237550</v>
      </c>
      <c r="E41" s="247">
        <f>D41/B41*100</f>
        <v>247.51</v>
      </c>
      <c r="F41" s="249">
        <f>D41-'[6]Augusts'!D41</f>
        <v>0</v>
      </c>
      <c r="G41" s="256" t="s">
        <v>14</v>
      </c>
      <c r="H41" s="220">
        <f>ROUND(B41/1000,0)</f>
        <v>500</v>
      </c>
      <c r="I41" s="220"/>
      <c r="J41" s="683">
        <f>ROUND(D41/1000,0)</f>
        <v>1238</v>
      </c>
      <c r="K41" s="251">
        <f>J41/H41*100</f>
        <v>247.6</v>
      </c>
      <c r="L41" s="249">
        <f>J41-'[6]Augusts'!J41</f>
        <v>0</v>
      </c>
    </row>
    <row r="42" spans="1:12" ht="12.75" customHeight="1">
      <c r="A42" s="218" t="s">
        <v>2</v>
      </c>
      <c r="B42" s="249">
        <f>B43</f>
        <v>31300</v>
      </c>
      <c r="C42" s="249">
        <f>C43</f>
        <v>31300</v>
      </c>
      <c r="D42" s="681">
        <f>D43</f>
        <v>29817</v>
      </c>
      <c r="E42" s="247">
        <f>D42/B42*100</f>
        <v>95.26198083067092</v>
      </c>
      <c r="F42" s="249">
        <f>SUM(F43)</f>
        <v>0</v>
      </c>
      <c r="G42" s="218" t="s">
        <v>2</v>
      </c>
      <c r="H42" s="249">
        <f>H43</f>
        <v>31</v>
      </c>
      <c r="I42" s="220">
        <f>ROUND(C42/1000,0)</f>
        <v>31</v>
      </c>
      <c r="J42" s="683">
        <f>J43</f>
        <v>30</v>
      </c>
      <c r="K42" s="251">
        <f>J42/H42*100</f>
        <v>96.7741935483871</v>
      </c>
      <c r="L42" s="249">
        <f>SUM(L43)</f>
        <v>0</v>
      </c>
    </row>
    <row r="43" spans="1:12" ht="12.75" customHeight="1">
      <c r="A43" s="218" t="s">
        <v>15</v>
      </c>
      <c r="B43" s="220">
        <v>31300</v>
      </c>
      <c r="C43" s="250">
        <v>31300</v>
      </c>
      <c r="D43" s="683">
        <f>'[15]Septembris'!$X$7</f>
        <v>29817</v>
      </c>
      <c r="E43" s="247">
        <f>D43/B43*100</f>
        <v>95.26198083067092</v>
      </c>
      <c r="F43" s="249">
        <f>D43-'[6]Augusts'!D43</f>
        <v>0</v>
      </c>
      <c r="G43" s="218" t="s">
        <v>15</v>
      </c>
      <c r="H43" s="220">
        <f>ROUND(B43/1000,0)</f>
        <v>31</v>
      </c>
      <c r="I43" s="220">
        <f>ROUND(C43/1000,0)</f>
        <v>31</v>
      </c>
      <c r="J43" s="683">
        <f>ROUND(D43/1000,0)</f>
        <v>30</v>
      </c>
      <c r="K43" s="251">
        <f>J43/H43*100</f>
        <v>96.7741935483871</v>
      </c>
      <c r="L43" s="249">
        <f>J43-'[6]Augusts'!J43</f>
        <v>0</v>
      </c>
    </row>
    <row r="44" spans="1:12" ht="12.75" customHeight="1">
      <c r="A44" s="92" t="s">
        <v>16</v>
      </c>
      <c r="B44" s="220"/>
      <c r="C44" s="220"/>
      <c r="D44" s="686"/>
      <c r="E44" s="247"/>
      <c r="F44" s="249"/>
      <c r="G44" s="92" t="s">
        <v>16</v>
      </c>
      <c r="H44" s="220"/>
      <c r="I44" s="220"/>
      <c r="J44" s="683"/>
      <c r="K44" s="251"/>
      <c r="L44" s="249"/>
    </row>
    <row r="45" spans="1:12" ht="12.75" customHeight="1">
      <c r="A45" s="218" t="s">
        <v>0</v>
      </c>
      <c r="B45" s="220">
        <f>B46</f>
        <v>75000</v>
      </c>
      <c r="C45" s="250">
        <v>75000</v>
      </c>
      <c r="D45" s="686">
        <f>D46</f>
        <v>117372</v>
      </c>
      <c r="E45" s="247">
        <f>D45/B45*100</f>
        <v>156.49599999999998</v>
      </c>
      <c r="F45" s="249">
        <f>F46</f>
        <v>6092</v>
      </c>
      <c r="G45" s="218" t="s">
        <v>0</v>
      </c>
      <c r="H45" s="220">
        <f>H46</f>
        <v>75</v>
      </c>
      <c r="I45" s="220">
        <f>ROUND(C45/1000,0)</f>
        <v>75</v>
      </c>
      <c r="J45" s="683">
        <f>ROUND(D45/1000,0)</f>
        <v>117</v>
      </c>
      <c r="K45" s="251">
        <f>J45/H45*100</f>
        <v>156</v>
      </c>
      <c r="L45" s="249">
        <f>L46</f>
        <v>7</v>
      </c>
    </row>
    <row r="46" spans="1:12" ht="12.75" customHeight="1">
      <c r="A46" s="69" t="s">
        <v>5</v>
      </c>
      <c r="B46" s="220">
        <v>75000</v>
      </c>
      <c r="C46" s="250"/>
      <c r="D46" s="250">
        <f>D47+D48</f>
        <v>117372</v>
      </c>
      <c r="E46" s="247">
        <f>D46/B46*100</f>
        <v>156.49599999999998</v>
      </c>
      <c r="F46" s="249">
        <f>SUM(F47:F48)</f>
        <v>6092</v>
      </c>
      <c r="G46" s="69" t="s">
        <v>5</v>
      </c>
      <c r="H46" s="220">
        <f>SUM(H47:H48)</f>
        <v>75</v>
      </c>
      <c r="I46" s="220"/>
      <c r="J46" s="683">
        <f>ROUND(D46/1000,0)</f>
        <v>117</v>
      </c>
      <c r="K46" s="251">
        <f>J46/H46*100</f>
        <v>156</v>
      </c>
      <c r="L46" s="249">
        <f>SUM(L47:L48)</f>
        <v>7</v>
      </c>
    </row>
    <row r="47" spans="1:12" ht="12.75">
      <c r="A47" s="77" t="s">
        <v>17</v>
      </c>
      <c r="B47" s="220">
        <v>15000</v>
      </c>
      <c r="C47" s="250"/>
      <c r="D47" s="250">
        <v>17291</v>
      </c>
      <c r="E47" s="247">
        <f>D47/B47*100</f>
        <v>115.27333333333334</v>
      </c>
      <c r="F47" s="249">
        <f>D47-'[6]Augusts'!D47</f>
        <v>3152</v>
      </c>
      <c r="G47" s="77" t="s">
        <v>17</v>
      </c>
      <c r="H47" s="220">
        <f>ROUND(B47/1000,0)</f>
        <v>15</v>
      </c>
      <c r="I47" s="220"/>
      <c r="J47" s="683">
        <f>ROUND(D47/1000,0)</f>
        <v>17</v>
      </c>
      <c r="K47" s="251">
        <f>J47/H47*100</f>
        <v>113.33333333333333</v>
      </c>
      <c r="L47" s="249">
        <f>J47-'[6]Augusts'!J47</f>
        <v>3</v>
      </c>
    </row>
    <row r="48" spans="1:12" ht="12.75">
      <c r="A48" s="77" t="s">
        <v>18</v>
      </c>
      <c r="B48" s="220">
        <v>60000</v>
      </c>
      <c r="C48" s="250"/>
      <c r="D48" s="250">
        <v>100081</v>
      </c>
      <c r="E48" s="247">
        <f>D48/B48*100</f>
        <v>166.80166666666668</v>
      </c>
      <c r="F48" s="249">
        <f>D48-'[6]Augusts'!D48</f>
        <v>2940</v>
      </c>
      <c r="G48" s="77" t="s">
        <v>18</v>
      </c>
      <c r="H48" s="220">
        <f>ROUND(B48/1000,0)</f>
        <v>60</v>
      </c>
      <c r="I48" s="220"/>
      <c r="J48" s="683">
        <f>ROUND(D48/1000,0)</f>
        <v>100</v>
      </c>
      <c r="K48" s="251">
        <f>J48/H48*100</f>
        <v>166.66666666666669</v>
      </c>
      <c r="L48" s="249">
        <f>J48-'[6]Augusts'!J48+1</f>
        <v>4</v>
      </c>
    </row>
    <row r="49" spans="1:12" ht="12.75" customHeight="1">
      <c r="A49" s="32" t="s">
        <v>897</v>
      </c>
      <c r="B49" s="249"/>
      <c r="C49" s="249"/>
      <c r="D49" s="249"/>
      <c r="E49" s="247"/>
      <c r="F49" s="249"/>
      <c r="G49" s="32" t="s">
        <v>897</v>
      </c>
      <c r="H49" s="249"/>
      <c r="I49" s="220"/>
      <c r="J49" s="683"/>
      <c r="K49" s="251"/>
      <c r="L49" s="249"/>
    </row>
    <row r="50" spans="1:12" ht="12.75" customHeight="1">
      <c r="A50" s="212" t="s">
        <v>19</v>
      </c>
      <c r="B50" s="249"/>
      <c r="C50" s="249"/>
      <c r="D50" s="681"/>
      <c r="E50" s="247"/>
      <c r="F50" s="249"/>
      <c r="G50" s="212" t="s">
        <v>19</v>
      </c>
      <c r="H50" s="249"/>
      <c r="I50" s="220"/>
      <c r="J50" s="683"/>
      <c r="K50" s="251"/>
      <c r="L50" s="249"/>
    </row>
    <row r="51" spans="1:12" ht="12.75" customHeight="1">
      <c r="A51" s="218" t="s">
        <v>0</v>
      </c>
      <c r="B51" s="249">
        <f>B52</f>
        <v>1508663</v>
      </c>
      <c r="C51" s="253">
        <v>1193655</v>
      </c>
      <c r="D51" s="681">
        <f>D52</f>
        <v>1193655</v>
      </c>
      <c r="E51" s="247">
        <f aca="true" t="shared" si="6" ref="E51:E56">D51/B51*100</f>
        <v>79.12005530724888</v>
      </c>
      <c r="F51" s="249">
        <f>F52</f>
        <v>90665</v>
      </c>
      <c r="G51" s="218" t="s">
        <v>0</v>
      </c>
      <c r="H51" s="249">
        <f>H52</f>
        <v>1509</v>
      </c>
      <c r="I51" s="220">
        <f>ROUND(C51/1000,0)</f>
        <v>1194</v>
      </c>
      <c r="J51" s="683">
        <f>J52</f>
        <v>1194</v>
      </c>
      <c r="K51" s="251">
        <f aca="true" t="shared" si="7" ref="K51:K56">J51/H51*100</f>
        <v>79.12524850894633</v>
      </c>
      <c r="L51" s="249">
        <f>L52</f>
        <v>91</v>
      </c>
    </row>
    <row r="52" spans="1:12" ht="12.75" customHeight="1">
      <c r="A52" s="69" t="s">
        <v>20</v>
      </c>
      <c r="B52" s="220">
        <v>1508663</v>
      </c>
      <c r="C52" s="250"/>
      <c r="D52" s="683">
        <f>'[15]Septembris'!$N$6</f>
        <v>1193655</v>
      </c>
      <c r="E52" s="247">
        <f t="shared" si="6"/>
        <v>79.12005530724888</v>
      </c>
      <c r="F52" s="249">
        <f>D52-'[6]Augusts'!D52</f>
        <v>90665</v>
      </c>
      <c r="G52" s="69" t="s">
        <v>20</v>
      </c>
      <c r="H52" s="220">
        <f>ROUND(B52/1000,0)</f>
        <v>1509</v>
      </c>
      <c r="I52" s="220"/>
      <c r="J52" s="683">
        <f>ROUND(D52/1000,0)</f>
        <v>1194</v>
      </c>
      <c r="K52" s="251">
        <f t="shared" si="7"/>
        <v>79.12524850894633</v>
      </c>
      <c r="L52" s="249">
        <f>J52-'[6]Augusts'!J52</f>
        <v>91</v>
      </c>
    </row>
    <row r="53" spans="1:12" ht="12.75" customHeight="1">
      <c r="A53" s="218" t="s">
        <v>2</v>
      </c>
      <c r="B53" s="249">
        <f>SUM(B54+B56)</f>
        <v>1508663</v>
      </c>
      <c r="C53" s="249">
        <f>SUM(C54+C56)</f>
        <v>1193655</v>
      </c>
      <c r="D53" s="681">
        <f>SUM(D54+D56)</f>
        <v>1178155</v>
      </c>
      <c r="E53" s="247">
        <f t="shared" si="6"/>
        <v>78.09265554998035</v>
      </c>
      <c r="F53" s="249">
        <f>F54+F56</f>
        <v>135132</v>
      </c>
      <c r="G53" s="218" t="s">
        <v>2</v>
      </c>
      <c r="H53" s="249">
        <f>SUM(H54+H56)</f>
        <v>1508</v>
      </c>
      <c r="I53" s="220">
        <f>SUM(I54,I56)</f>
        <v>1194</v>
      </c>
      <c r="J53" s="683">
        <f>J54+J56</f>
        <v>1178</v>
      </c>
      <c r="K53" s="251">
        <f t="shared" si="7"/>
        <v>78.11671087533156</v>
      </c>
      <c r="L53" s="249">
        <f>L54+L56</f>
        <v>135</v>
      </c>
    </row>
    <row r="54" spans="1:12" ht="12.75" customHeight="1">
      <c r="A54" s="218" t="s">
        <v>21</v>
      </c>
      <c r="B54" s="220">
        <v>1333663</v>
      </c>
      <c r="C54" s="250">
        <v>1018655</v>
      </c>
      <c r="D54" s="683">
        <f>'[15]Septembris'!$N$8</f>
        <v>963428</v>
      </c>
      <c r="E54" s="247">
        <f t="shared" si="6"/>
        <v>72.23923884819479</v>
      </c>
      <c r="F54" s="249">
        <f>D54-'[6]Augusts'!D54</f>
        <v>85041</v>
      </c>
      <c r="G54" s="218" t="s">
        <v>21</v>
      </c>
      <c r="H54" s="220">
        <f>ROUND(B54/1000,0)-1</f>
        <v>1333</v>
      </c>
      <c r="I54" s="220">
        <f>ROUND(C54/1000,0)</f>
        <v>1019</v>
      </c>
      <c r="J54" s="683">
        <f>ROUND(D54/1000,0)</f>
        <v>963</v>
      </c>
      <c r="K54" s="251">
        <f t="shared" si="7"/>
        <v>72.2430607651913</v>
      </c>
      <c r="L54" s="249">
        <f>J54-'[6]Augusts'!J54</f>
        <v>85</v>
      </c>
    </row>
    <row r="55" spans="1:12" ht="12.75" customHeight="1">
      <c r="A55" s="252" t="s">
        <v>22</v>
      </c>
      <c r="B55" s="220">
        <v>300000</v>
      </c>
      <c r="C55" s="250"/>
      <c r="D55" s="683">
        <f>'[15]Septembris'!$N$15</f>
        <v>200000</v>
      </c>
      <c r="E55" s="247">
        <f t="shared" si="6"/>
        <v>66.66666666666666</v>
      </c>
      <c r="F55" s="249">
        <f>D55-'[6]Augusts'!D55</f>
        <v>0</v>
      </c>
      <c r="G55" s="252" t="s">
        <v>22</v>
      </c>
      <c r="H55" s="220">
        <f>ROUND(B55/1000,0)</f>
        <v>300</v>
      </c>
      <c r="I55" s="220"/>
      <c r="J55" s="683">
        <f>ROUND(D55/1000,0)</f>
        <v>200</v>
      </c>
      <c r="K55" s="251">
        <f t="shared" si="7"/>
        <v>66.66666666666666</v>
      </c>
      <c r="L55" s="249">
        <f>J55-'[6]Augusts'!J55</f>
        <v>0</v>
      </c>
    </row>
    <row r="56" spans="1:12" ht="12.75" customHeight="1">
      <c r="A56" s="218" t="s">
        <v>23</v>
      </c>
      <c r="B56" s="220">
        <v>175000</v>
      </c>
      <c r="C56" s="250">
        <v>175000</v>
      </c>
      <c r="D56" s="683">
        <f>'[15]Septembris'!$N$31</f>
        <v>214727</v>
      </c>
      <c r="E56" s="247">
        <f t="shared" si="6"/>
        <v>122.70114285714287</v>
      </c>
      <c r="F56" s="249">
        <f>D56-'[6]Augusts'!D56</f>
        <v>50091</v>
      </c>
      <c r="G56" s="218" t="s">
        <v>23</v>
      </c>
      <c r="H56" s="220">
        <f>ROUND(B56/1000,0)</f>
        <v>175</v>
      </c>
      <c r="I56" s="220">
        <f>ROUND(C56/1000,0)</f>
        <v>175</v>
      </c>
      <c r="J56" s="683">
        <f>ROUND(D56/1000,0)</f>
        <v>215</v>
      </c>
      <c r="K56" s="251">
        <f t="shared" si="7"/>
        <v>122.85714285714286</v>
      </c>
      <c r="L56" s="249">
        <f>J56-'[6]Augusts'!J56</f>
        <v>50</v>
      </c>
    </row>
    <row r="57" spans="1:12" ht="12.75" customHeight="1">
      <c r="A57" s="92" t="s">
        <v>24</v>
      </c>
      <c r="B57" s="249"/>
      <c r="C57" s="249"/>
      <c r="D57" s="681"/>
      <c r="E57" s="247"/>
      <c r="F57" s="249"/>
      <c r="G57" s="92" t="s">
        <v>24</v>
      </c>
      <c r="H57" s="249"/>
      <c r="I57" s="220"/>
      <c r="J57" s="683"/>
      <c r="K57" s="251"/>
      <c r="L57" s="249"/>
    </row>
    <row r="58" spans="1:12" ht="12.75" customHeight="1">
      <c r="A58" s="218" t="s">
        <v>0</v>
      </c>
      <c r="B58" s="249">
        <f>B59</f>
        <v>1424238</v>
      </c>
      <c r="C58" s="253">
        <v>1040885</v>
      </c>
      <c r="D58" s="681">
        <f>D59+D60</f>
        <v>1040885</v>
      </c>
      <c r="E58" s="247">
        <f>D58/B58*100</f>
        <v>73.0836419193983</v>
      </c>
      <c r="F58" s="249">
        <f>F59</f>
        <v>12017</v>
      </c>
      <c r="G58" s="218" t="s">
        <v>0</v>
      </c>
      <c r="H58" s="249">
        <f>H59</f>
        <v>1424</v>
      </c>
      <c r="I58" s="220">
        <f>ROUND(C58/1000,0)</f>
        <v>1041</v>
      </c>
      <c r="J58" s="683">
        <f>J59</f>
        <v>1041</v>
      </c>
      <c r="K58" s="251">
        <f>J58/H58*100</f>
        <v>73.10393258426966</v>
      </c>
      <c r="L58" s="249">
        <f>L59</f>
        <v>12</v>
      </c>
    </row>
    <row r="59" spans="1:12" ht="12" customHeight="1">
      <c r="A59" s="69" t="s">
        <v>20</v>
      </c>
      <c r="B59" s="220">
        <v>1424238</v>
      </c>
      <c r="C59" s="250"/>
      <c r="D59" s="683">
        <f>'[15]Septembris'!$O$6</f>
        <v>1040885</v>
      </c>
      <c r="E59" s="247">
        <f>D59/B59*100</f>
        <v>73.0836419193983</v>
      </c>
      <c r="F59" s="249">
        <f>D59-'[6]Augusts'!D59</f>
        <v>12017</v>
      </c>
      <c r="G59" s="69" t="s">
        <v>20</v>
      </c>
      <c r="H59" s="220">
        <f>ROUND(B59/1000,0)</f>
        <v>1424</v>
      </c>
      <c r="I59" s="220"/>
      <c r="J59" s="683">
        <f>ROUND(D59/1000,0)</f>
        <v>1041</v>
      </c>
      <c r="K59" s="251">
        <f>J59/H59*100</f>
        <v>73.10393258426966</v>
      </c>
      <c r="L59" s="249">
        <f>J59-'[6]Augusts'!J59</f>
        <v>12</v>
      </c>
    </row>
    <row r="60" spans="1:12" ht="0.75" customHeight="1" hidden="1">
      <c r="A60" s="69" t="s">
        <v>25</v>
      </c>
      <c r="B60" s="220"/>
      <c r="C60" s="250"/>
      <c r="D60" s="683"/>
      <c r="E60" s="247"/>
      <c r="F60" s="249">
        <f>D60-'[6]Augusts'!D60</f>
        <v>0</v>
      </c>
      <c r="G60" s="69" t="s">
        <v>26</v>
      </c>
      <c r="H60" s="220"/>
      <c r="I60" s="220"/>
      <c r="J60" s="683">
        <f>ROUND(D60/1000,0)</f>
        <v>0</v>
      </c>
      <c r="K60" s="251"/>
      <c r="L60" s="249">
        <f>J60-'[6]Augusts'!J60</f>
        <v>0</v>
      </c>
    </row>
    <row r="61" spans="1:12" ht="12.75" customHeight="1">
      <c r="A61" s="218" t="s">
        <v>2</v>
      </c>
      <c r="B61" s="249">
        <f>B62+B64</f>
        <v>1585878</v>
      </c>
      <c r="C61" s="249">
        <f>C62+C64</f>
        <v>1193885</v>
      </c>
      <c r="D61" s="249">
        <f>D62+D64</f>
        <v>1049997</v>
      </c>
      <c r="E61" s="247">
        <f aca="true" t="shared" si="8" ref="E61:E67">D61/B61*100</f>
        <v>66.20919137537692</v>
      </c>
      <c r="F61" s="249">
        <f>F62+F64</f>
        <v>28347</v>
      </c>
      <c r="G61" s="218" t="s">
        <v>2</v>
      </c>
      <c r="H61" s="249">
        <f>H62+H64</f>
        <v>1586</v>
      </c>
      <c r="I61" s="220">
        <f>SUM(I62,I64)</f>
        <v>1194</v>
      </c>
      <c r="J61" s="683">
        <f>J62+J64</f>
        <v>1050</v>
      </c>
      <c r="K61" s="251">
        <f>J61/H61*100</f>
        <v>66.20428751576293</v>
      </c>
      <c r="L61" s="249">
        <f>L62+L64</f>
        <v>28</v>
      </c>
    </row>
    <row r="62" spans="1:12" ht="12.75" customHeight="1">
      <c r="A62" s="218" t="s">
        <v>21</v>
      </c>
      <c r="B62" s="220">
        <v>1578778</v>
      </c>
      <c r="C62" s="250">
        <v>1186785</v>
      </c>
      <c r="D62" s="250">
        <f>'[15]Septembris'!$O$8</f>
        <v>1049005</v>
      </c>
      <c r="E62" s="247">
        <f t="shared" si="8"/>
        <v>66.44411057159398</v>
      </c>
      <c r="F62" s="249">
        <f>D62-'[6]Augusts'!D62</f>
        <v>28347</v>
      </c>
      <c r="G62" s="218" t="s">
        <v>21</v>
      </c>
      <c r="H62" s="220">
        <f>ROUND(B62/1000,0)</f>
        <v>1579</v>
      </c>
      <c r="I62" s="220">
        <f>ROUND(C62/1000,0)</f>
        <v>1187</v>
      </c>
      <c r="J62" s="683">
        <f>ROUND(D62/1000,0)</f>
        <v>1049</v>
      </c>
      <c r="K62" s="251">
        <f>J62/H62*100</f>
        <v>66.43445218492717</v>
      </c>
      <c r="L62" s="249">
        <f>J62-'[6]Augusts'!J62</f>
        <v>28</v>
      </c>
    </row>
    <row r="63" spans="1:12" ht="12.75" customHeight="1">
      <c r="A63" s="252" t="s">
        <v>22</v>
      </c>
      <c r="B63" s="220">
        <v>233730</v>
      </c>
      <c r="C63" s="250"/>
      <c r="D63" s="250">
        <v>159439</v>
      </c>
      <c r="E63" s="247">
        <f t="shared" si="8"/>
        <v>68.21503444144955</v>
      </c>
      <c r="F63" s="249">
        <f>D63-'[6]Augusts'!D63</f>
        <v>26138</v>
      </c>
      <c r="G63" s="252" t="s">
        <v>22</v>
      </c>
      <c r="H63" s="220">
        <f>ROUND(B63/1000,0)</f>
        <v>234</v>
      </c>
      <c r="I63" s="220"/>
      <c r="J63" s="683">
        <f>ROUND(D63/1000,0)</f>
        <v>159</v>
      </c>
      <c r="K63" s="251">
        <f>J63/H63*100</f>
        <v>67.94871794871796</v>
      </c>
      <c r="L63" s="249">
        <f>J63-'[6]Augusts'!J63-1</f>
        <v>25</v>
      </c>
    </row>
    <row r="64" spans="1:12" ht="12.75" customHeight="1">
      <c r="A64" s="218" t="s">
        <v>23</v>
      </c>
      <c r="B64" s="220">
        <v>7100</v>
      </c>
      <c r="C64" s="250">
        <v>7100</v>
      </c>
      <c r="D64" s="250">
        <f>'[15]Septembris'!$O$31</f>
        <v>992</v>
      </c>
      <c r="E64" s="247">
        <f t="shared" si="8"/>
        <v>13.971830985915492</v>
      </c>
      <c r="F64" s="249">
        <f>D64-'[6]Augusts'!D64</f>
        <v>0</v>
      </c>
      <c r="G64" s="218" t="s">
        <v>23</v>
      </c>
      <c r="H64" s="220">
        <f>ROUND(B64/1000,0)</f>
        <v>7</v>
      </c>
      <c r="I64" s="220">
        <f>ROUND(C64/1000,0)</f>
        <v>7</v>
      </c>
      <c r="J64" s="683">
        <v>1</v>
      </c>
      <c r="K64" s="251"/>
      <c r="L64" s="249">
        <f>J64-'[6]Augusts'!J64</f>
        <v>0</v>
      </c>
    </row>
    <row r="65" spans="1:12" ht="12.75" customHeight="1">
      <c r="A65" s="218" t="s">
        <v>877</v>
      </c>
      <c r="B65" s="220">
        <v>6370052</v>
      </c>
      <c r="C65" s="250">
        <f>4368600-134497+672075-18503</f>
        <v>4887675</v>
      </c>
      <c r="D65" s="250">
        <f>'[15]Septembris'!$O$34</f>
        <v>4112528</v>
      </c>
      <c r="E65" s="247">
        <f t="shared" si="8"/>
        <v>64.56035209759669</v>
      </c>
      <c r="F65" s="249">
        <f>D65-'[6]Augusts'!D65</f>
        <v>534652</v>
      </c>
      <c r="G65" s="218" t="s">
        <v>877</v>
      </c>
      <c r="H65" s="220">
        <f>ROUND(B65/1000,0)</f>
        <v>6370</v>
      </c>
      <c r="I65" s="220">
        <f>ROUND(C65/1000,0)</f>
        <v>4888</v>
      </c>
      <c r="J65" s="683">
        <f>ROUND(D65/1000,0)-1</f>
        <v>4112</v>
      </c>
      <c r="K65" s="251">
        <f>J65/H65*100</f>
        <v>64.55259026687598</v>
      </c>
      <c r="L65" s="249">
        <f>J65-'[6]Augusts'!J65</f>
        <v>534</v>
      </c>
    </row>
    <row r="66" spans="1:12" ht="12.75" customHeight="1">
      <c r="A66" s="218" t="s">
        <v>878</v>
      </c>
      <c r="B66" s="220">
        <f>B58-B61-B65</f>
        <v>-6531692</v>
      </c>
      <c r="C66" s="250">
        <f>C58-C61</f>
        <v>-153000</v>
      </c>
      <c r="D66" s="220">
        <f>D58-D61-D65</f>
        <v>-4121640</v>
      </c>
      <c r="E66" s="247">
        <f t="shared" si="8"/>
        <v>63.102179343422804</v>
      </c>
      <c r="F66" s="249">
        <f>F58-F61-F65</f>
        <v>-550982</v>
      </c>
      <c r="G66" s="218" t="s">
        <v>878</v>
      </c>
      <c r="H66" s="220">
        <f>H58-H61-H65</f>
        <v>-6532</v>
      </c>
      <c r="I66" s="220"/>
      <c r="J66" s="683">
        <f>J58-J61-J65</f>
        <v>-4121</v>
      </c>
      <c r="K66" s="251">
        <f>J66/H66*100</f>
        <v>63.08940600122474</v>
      </c>
      <c r="L66" s="249">
        <f>L58-L61-L65</f>
        <v>-550</v>
      </c>
    </row>
    <row r="67" spans="1:12" ht="12.75" customHeight="1">
      <c r="A67" s="218" t="s">
        <v>27</v>
      </c>
      <c r="B67" s="220">
        <v>6531692</v>
      </c>
      <c r="C67" s="250">
        <f>538100+848100+1058100+628100+428100+428100+140000+300000+672075</f>
        <v>5040675</v>
      </c>
      <c r="D67" s="250">
        <f>'[15]Septembris'!$O$44</f>
        <v>4284226</v>
      </c>
      <c r="E67" s="247">
        <f t="shared" si="8"/>
        <v>65.59136591253844</v>
      </c>
      <c r="F67" s="249">
        <f>D67-'[6]Augusts'!D67</f>
        <v>557662</v>
      </c>
      <c r="G67" s="218" t="s">
        <v>27</v>
      </c>
      <c r="H67" s="220">
        <f>ROUND(B67/1000,0)</f>
        <v>6532</v>
      </c>
      <c r="I67" s="220">
        <f>ROUND(C67/1000,0)</f>
        <v>5041</v>
      </c>
      <c r="J67" s="683">
        <f>ROUND(D67/1000,0)</f>
        <v>4284</v>
      </c>
      <c r="K67" s="251">
        <f>J67/H67*100</f>
        <v>65.58481322718922</v>
      </c>
      <c r="L67" s="249">
        <f>J67-'[6]Augusts'!J67</f>
        <v>557</v>
      </c>
    </row>
    <row r="68" spans="1:12" ht="12.75" customHeight="1">
      <c r="A68" s="76" t="s">
        <v>899</v>
      </c>
      <c r="B68" s="249"/>
      <c r="C68" s="249"/>
      <c r="D68" s="249"/>
      <c r="E68" s="247"/>
      <c r="F68" s="249"/>
      <c r="G68" s="76" t="s">
        <v>899</v>
      </c>
      <c r="H68" s="249"/>
      <c r="I68" s="220"/>
      <c r="J68" s="683"/>
      <c r="K68" s="251"/>
      <c r="L68" s="249"/>
    </row>
    <row r="69" spans="1:12" ht="12.75" customHeight="1">
      <c r="A69" s="212" t="s">
        <v>28</v>
      </c>
      <c r="B69" s="249"/>
      <c r="C69" s="249"/>
      <c r="D69" s="249"/>
      <c r="E69" s="247"/>
      <c r="F69" s="249"/>
      <c r="G69" s="212" t="s">
        <v>28</v>
      </c>
      <c r="H69" s="249"/>
      <c r="I69" s="220"/>
      <c r="J69" s="683"/>
      <c r="K69" s="251"/>
      <c r="L69" s="249"/>
    </row>
    <row r="70" spans="1:12" ht="12.75" customHeight="1">
      <c r="A70" s="218" t="s">
        <v>0</v>
      </c>
      <c r="B70" s="249">
        <f>SUM(B71:B72)</f>
        <v>500000</v>
      </c>
      <c r="C70" s="253">
        <v>449000</v>
      </c>
      <c r="D70" s="249">
        <f>SUM(D71:D72)</f>
        <v>430794</v>
      </c>
      <c r="E70" s="247">
        <f>D70/B70*100</f>
        <v>86.1588</v>
      </c>
      <c r="F70" s="249">
        <f>SUM(F71:F72)</f>
        <v>21077</v>
      </c>
      <c r="G70" s="218" t="s">
        <v>0</v>
      </c>
      <c r="H70" s="249">
        <f>SUM(H71:H72)</f>
        <v>500</v>
      </c>
      <c r="I70" s="220">
        <f>ROUND(C70/1000,0)</f>
        <v>449</v>
      </c>
      <c r="J70" s="683">
        <f>SUM(J71:J72)</f>
        <v>431</v>
      </c>
      <c r="K70" s="251">
        <f aca="true" t="shared" si="9" ref="K70:K75">J70/H70*100</f>
        <v>86.2</v>
      </c>
      <c r="L70" s="249">
        <f>SUM(L71:L72)</f>
        <v>21</v>
      </c>
    </row>
    <row r="71" spans="1:12" ht="12.75" customHeight="1">
      <c r="A71" s="69" t="s">
        <v>29</v>
      </c>
      <c r="B71" s="220">
        <v>300000</v>
      </c>
      <c r="C71" s="250"/>
      <c r="D71" s="250">
        <v>291084</v>
      </c>
      <c r="E71" s="247">
        <f>D71/B71*100</f>
        <v>97.028</v>
      </c>
      <c r="F71" s="249">
        <f>D71-'[6]Augusts'!D71</f>
        <v>21115</v>
      </c>
      <c r="G71" s="69" t="s">
        <v>29</v>
      </c>
      <c r="H71" s="220">
        <f>ROUND(B71/1000,0)</f>
        <v>300</v>
      </c>
      <c r="I71" s="220"/>
      <c r="J71" s="683">
        <f>ROUND(D71/1000,0)</f>
        <v>291</v>
      </c>
      <c r="K71" s="251">
        <f t="shared" si="9"/>
        <v>97</v>
      </c>
      <c r="L71" s="249">
        <f>J71-'[6]Augusts'!J71</f>
        <v>21</v>
      </c>
    </row>
    <row r="72" spans="1:12" ht="12.75" customHeight="1">
      <c r="A72" s="69" t="s">
        <v>30</v>
      </c>
      <c r="B72" s="220">
        <f>65000+135000</f>
        <v>200000</v>
      </c>
      <c r="C72" s="250"/>
      <c r="D72" s="250">
        <f>-257+27905+112061+1</f>
        <v>139710</v>
      </c>
      <c r="E72" s="247">
        <f>D72/B72*100</f>
        <v>69.855</v>
      </c>
      <c r="F72" s="249">
        <f>D72-'[6]Augusts'!D72</f>
        <v>-38</v>
      </c>
      <c r="G72" s="69" t="s">
        <v>30</v>
      </c>
      <c r="H72" s="220">
        <f>ROUND(B72/1000,0)</f>
        <v>200</v>
      </c>
      <c r="I72" s="220"/>
      <c r="J72" s="683">
        <f>ROUND(D72/1000,0)</f>
        <v>140</v>
      </c>
      <c r="K72" s="251">
        <f t="shared" si="9"/>
        <v>70</v>
      </c>
      <c r="L72" s="249">
        <f>J72-'[6]Augusts'!J72</f>
        <v>0</v>
      </c>
    </row>
    <row r="73" spans="1:12" ht="12.75" customHeight="1">
      <c r="A73" s="218" t="s">
        <v>2</v>
      </c>
      <c r="B73" s="249">
        <f>SUM(B74:B75)</f>
        <v>500000</v>
      </c>
      <c r="C73" s="249">
        <f>SUM(C74:C75)</f>
        <v>449000</v>
      </c>
      <c r="D73" s="249">
        <f>SUM(D74:D75)</f>
        <v>392024</v>
      </c>
      <c r="E73" s="247">
        <f>D73/B73*100</f>
        <v>78.4048</v>
      </c>
      <c r="F73" s="249">
        <f>SUM(F74:F75)</f>
        <v>23999</v>
      </c>
      <c r="G73" s="218" t="s">
        <v>2</v>
      </c>
      <c r="H73" s="249">
        <f>SUM(H74:H75)</f>
        <v>500</v>
      </c>
      <c r="I73" s="220">
        <f>SUM(I74:I75)</f>
        <v>449</v>
      </c>
      <c r="J73" s="683">
        <f>SUM(J74:J75)</f>
        <v>392</v>
      </c>
      <c r="K73" s="251">
        <f t="shared" si="9"/>
        <v>78.4</v>
      </c>
      <c r="L73" s="249">
        <f>SUM(L74:L75)</f>
        <v>24</v>
      </c>
    </row>
    <row r="74" spans="1:12" ht="12.75" customHeight="1">
      <c r="A74" s="218" t="s">
        <v>3</v>
      </c>
      <c r="B74" s="220">
        <v>421000</v>
      </c>
      <c r="C74" s="250">
        <v>381000</v>
      </c>
      <c r="D74" s="250">
        <f>'[15]Septembris'!$L$8</f>
        <v>324024</v>
      </c>
      <c r="E74" s="247">
        <f>D74/B74*100</f>
        <v>76.96532066508314</v>
      </c>
      <c r="F74" s="249">
        <f>D74-'[6]Augusts'!D74</f>
        <v>23999</v>
      </c>
      <c r="G74" s="218" t="s">
        <v>3</v>
      </c>
      <c r="H74" s="220">
        <f aca="true" t="shared" si="10" ref="H74:J75">ROUND(B74/1000,0)</f>
        <v>421</v>
      </c>
      <c r="I74" s="220">
        <f t="shared" si="10"/>
        <v>381</v>
      </c>
      <c r="J74" s="683">
        <f t="shared" si="10"/>
        <v>324</v>
      </c>
      <c r="K74" s="251">
        <f t="shared" si="9"/>
        <v>76.95961995249407</v>
      </c>
      <c r="L74" s="249">
        <f>J74-'[6]Augusts'!J74</f>
        <v>24</v>
      </c>
    </row>
    <row r="75" spans="1:12" ht="12.75" customHeight="1">
      <c r="A75" s="218" t="s">
        <v>1030</v>
      </c>
      <c r="B75" s="220">
        <v>79000</v>
      </c>
      <c r="C75" s="250">
        <v>68000</v>
      </c>
      <c r="D75" s="250">
        <f>'[15]Septembris'!$L$31</f>
        <v>68000</v>
      </c>
      <c r="E75" s="247"/>
      <c r="F75" s="249">
        <f>D75-'[6]Augusts'!D75</f>
        <v>0</v>
      </c>
      <c r="G75" s="218" t="s">
        <v>1030</v>
      </c>
      <c r="H75" s="220">
        <f t="shared" si="10"/>
        <v>79</v>
      </c>
      <c r="I75" s="220">
        <f t="shared" si="10"/>
        <v>68</v>
      </c>
      <c r="J75" s="683">
        <f t="shared" si="10"/>
        <v>68</v>
      </c>
      <c r="K75" s="251">
        <f t="shared" si="9"/>
        <v>86.07594936708861</v>
      </c>
      <c r="L75" s="249">
        <f>J75-'[6]Augusts'!J75</f>
        <v>0</v>
      </c>
    </row>
    <row r="76" spans="1:12" ht="12.75" customHeight="1">
      <c r="A76" s="32" t="s">
        <v>901</v>
      </c>
      <c r="B76" s="220"/>
      <c r="C76" s="220"/>
      <c r="D76" s="220"/>
      <c r="E76" s="247"/>
      <c r="F76" s="249"/>
      <c r="G76" s="32" t="s">
        <v>901</v>
      </c>
      <c r="H76" s="220"/>
      <c r="I76" s="220"/>
      <c r="J76" s="683"/>
      <c r="K76" s="251"/>
      <c r="L76" s="249"/>
    </row>
    <row r="77" spans="1:12" ht="12.75" customHeight="1">
      <c r="A77" s="212" t="s">
        <v>31</v>
      </c>
      <c r="B77" s="249"/>
      <c r="C77" s="249"/>
      <c r="D77" s="249"/>
      <c r="E77" s="247"/>
      <c r="F77" s="249"/>
      <c r="G77" s="212" t="s">
        <v>31</v>
      </c>
      <c r="H77" s="249"/>
      <c r="I77" s="220"/>
      <c r="J77" s="683"/>
      <c r="K77" s="251"/>
      <c r="L77" s="249"/>
    </row>
    <row r="78" spans="1:12" ht="12.75" customHeight="1">
      <c r="A78" s="218" t="s">
        <v>0</v>
      </c>
      <c r="B78" s="249">
        <f>SUM(B79:B82)</f>
        <v>59956438</v>
      </c>
      <c r="C78" s="253">
        <v>45455438</v>
      </c>
      <c r="D78" s="249">
        <f>SUM(D79:D82)</f>
        <v>39410140</v>
      </c>
      <c r="E78" s="247">
        <f aca="true" t="shared" si="11" ref="E78:E84">D78/B78*100</f>
        <v>65.73128977408564</v>
      </c>
      <c r="F78" s="249">
        <f>SUM(F79:F82)</f>
        <v>4624695</v>
      </c>
      <c r="G78" s="218" t="s">
        <v>0</v>
      </c>
      <c r="H78" s="249">
        <f>SUM(H79:H82)</f>
        <v>59956</v>
      </c>
      <c r="I78" s="220">
        <f>ROUND(C78/1000,0)</f>
        <v>45455</v>
      </c>
      <c r="J78" s="683">
        <f>SUM(J79:J82)</f>
        <v>39410</v>
      </c>
      <c r="K78" s="251">
        <f aca="true" t="shared" si="12" ref="K78:K88">J78/H78*100</f>
        <v>65.73153646007071</v>
      </c>
      <c r="L78" s="249">
        <f>SUM(L79:L82)</f>
        <v>4625</v>
      </c>
    </row>
    <row r="79" spans="1:12" ht="12.75" customHeight="1">
      <c r="A79" s="218" t="s">
        <v>32</v>
      </c>
      <c r="B79" s="220">
        <v>8300000</v>
      </c>
      <c r="C79" s="250"/>
      <c r="D79" s="250">
        <v>7010450</v>
      </c>
      <c r="E79" s="247">
        <f t="shared" si="11"/>
        <v>84.46325301204818</v>
      </c>
      <c r="F79" s="249">
        <f>D79-'[6]Augusts'!D79</f>
        <v>638977</v>
      </c>
      <c r="G79" s="218" t="s">
        <v>32</v>
      </c>
      <c r="H79" s="220">
        <f>ROUND(B79/1000,0)</f>
        <v>8300</v>
      </c>
      <c r="I79" s="220"/>
      <c r="J79" s="683">
        <f>ROUND(D79/1000,0)</f>
        <v>7010</v>
      </c>
      <c r="K79" s="251">
        <f t="shared" si="12"/>
        <v>84.4578313253012</v>
      </c>
      <c r="L79" s="249">
        <f>J79-'[6]Augusts'!J79</f>
        <v>639</v>
      </c>
    </row>
    <row r="80" spans="1:12" ht="12.75" customHeight="1">
      <c r="A80" s="218" t="s">
        <v>33</v>
      </c>
      <c r="B80" s="220">
        <v>49067000</v>
      </c>
      <c r="C80" s="250"/>
      <c r="D80" s="250">
        <v>30591546</v>
      </c>
      <c r="E80" s="247">
        <f t="shared" si="11"/>
        <v>62.34647726577944</v>
      </c>
      <c r="F80" s="249">
        <f>D80-'[6]Augusts'!D80</f>
        <v>3971452</v>
      </c>
      <c r="G80" s="218" t="s">
        <v>33</v>
      </c>
      <c r="H80" s="220">
        <f>ROUND(B80/1000,0)</f>
        <v>49067</v>
      </c>
      <c r="I80" s="220"/>
      <c r="J80" s="683">
        <f>ROUND(D80/1000,0)</f>
        <v>30592</v>
      </c>
      <c r="K80" s="251">
        <f t="shared" si="12"/>
        <v>62.34740253123281</v>
      </c>
      <c r="L80" s="249">
        <f>J80-'[6]Augusts'!J80</f>
        <v>3972</v>
      </c>
    </row>
    <row r="81" spans="1:12" ht="12.75" customHeight="1">
      <c r="A81" s="125" t="s">
        <v>951</v>
      </c>
      <c r="B81" s="220">
        <v>50000</v>
      </c>
      <c r="C81" s="250"/>
      <c r="D81" s="250">
        <v>78315</v>
      </c>
      <c r="E81" s="247">
        <f t="shared" si="11"/>
        <v>156.63</v>
      </c>
      <c r="F81" s="249">
        <f>D81-'[6]Augusts'!D81</f>
        <v>14266</v>
      </c>
      <c r="G81" s="125" t="s">
        <v>951</v>
      </c>
      <c r="H81" s="220">
        <f>ROUND(B81/1000,0)</f>
        <v>50</v>
      </c>
      <c r="I81" s="220"/>
      <c r="J81" s="683">
        <f>ROUND(D81/1000,0)</f>
        <v>78</v>
      </c>
      <c r="K81" s="251">
        <f t="shared" si="12"/>
        <v>156</v>
      </c>
      <c r="L81" s="249">
        <f>J81-'[6]Augusts'!J81</f>
        <v>14</v>
      </c>
    </row>
    <row r="82" spans="1:12" ht="12.75" customHeight="1">
      <c r="A82" s="218" t="s">
        <v>952</v>
      </c>
      <c r="B82" s="220">
        <v>2539438</v>
      </c>
      <c r="C82" s="250"/>
      <c r="D82" s="250">
        <v>1729829</v>
      </c>
      <c r="E82" s="247">
        <f t="shared" si="11"/>
        <v>68.11857584237143</v>
      </c>
      <c r="F82" s="249">
        <f>D82-'[6]Augusts'!D82</f>
        <v>0</v>
      </c>
      <c r="G82" s="218" t="s">
        <v>952</v>
      </c>
      <c r="H82" s="220">
        <f>ROUND(B82/1000,0)</f>
        <v>2539</v>
      </c>
      <c r="I82" s="220"/>
      <c r="J82" s="683">
        <f>ROUND(D82/1000,0)</f>
        <v>1730</v>
      </c>
      <c r="K82" s="251">
        <f t="shared" si="12"/>
        <v>68.13706183536826</v>
      </c>
      <c r="L82" s="249">
        <f>J82-'[6]Augusts'!J82</f>
        <v>0</v>
      </c>
    </row>
    <row r="83" spans="1:12" ht="12.75" customHeight="1">
      <c r="A83" s="218" t="s">
        <v>2</v>
      </c>
      <c r="B83" s="249">
        <f>B84+B86</f>
        <v>70841479</v>
      </c>
      <c r="C83" s="249">
        <f>C84+C86</f>
        <v>55706975</v>
      </c>
      <c r="D83" s="249">
        <f>D84+D86</f>
        <v>45446569</v>
      </c>
      <c r="E83" s="247">
        <f t="shared" si="11"/>
        <v>64.1524847328498</v>
      </c>
      <c r="F83" s="249">
        <f>F84+F86</f>
        <v>4043301</v>
      </c>
      <c r="G83" s="218" t="s">
        <v>2</v>
      </c>
      <c r="H83" s="249">
        <f>H84+H86</f>
        <v>70841</v>
      </c>
      <c r="I83" s="220">
        <f>SUM(I84,I86)</f>
        <v>55707</v>
      </c>
      <c r="J83" s="683">
        <f>J84+J86</f>
        <v>45447</v>
      </c>
      <c r="K83" s="251">
        <f t="shared" si="12"/>
        <v>64.15352691238125</v>
      </c>
      <c r="L83" s="249">
        <f>L84+L86</f>
        <v>4044</v>
      </c>
    </row>
    <row r="84" spans="1:12" ht="13.5" customHeight="1">
      <c r="A84" s="218" t="s">
        <v>3</v>
      </c>
      <c r="B84" s="220">
        <v>49455387</v>
      </c>
      <c r="C84" s="250">
        <v>38433588</v>
      </c>
      <c r="D84" s="250">
        <f>'[15]Septembris'!$I$8</f>
        <v>34107477</v>
      </c>
      <c r="E84" s="247">
        <f t="shared" si="11"/>
        <v>68.9661512506211</v>
      </c>
      <c r="F84" s="249">
        <f>D84-'[6]Augusts'!D84</f>
        <v>2945214</v>
      </c>
      <c r="G84" s="218" t="s">
        <v>3</v>
      </c>
      <c r="H84" s="220">
        <f>ROUND(B84/1000,0)</f>
        <v>49455</v>
      </c>
      <c r="I84" s="220">
        <f>ROUND(C84/1000,0)</f>
        <v>38434</v>
      </c>
      <c r="J84" s="683">
        <f>ROUND(D84/1000,0)+1</f>
        <v>34108</v>
      </c>
      <c r="K84" s="251">
        <f t="shared" si="12"/>
        <v>68.96774845819432</v>
      </c>
      <c r="L84" s="249">
        <f>J84-'[6]Augusts'!J84</f>
        <v>2946</v>
      </c>
    </row>
    <row r="85" spans="1:12" ht="12.75" customHeight="1">
      <c r="A85" s="252" t="s">
        <v>34</v>
      </c>
      <c r="B85" s="220">
        <v>3842150</v>
      </c>
      <c r="C85" s="250"/>
      <c r="D85" s="250">
        <f>'[15]Septembris'!$I$15</f>
        <v>2387010</v>
      </c>
      <c r="E85" s="247"/>
      <c r="F85" s="249">
        <f>D85-'[6]Augusts'!D85</f>
        <v>89120</v>
      </c>
      <c r="G85" s="252" t="s">
        <v>34</v>
      </c>
      <c r="H85" s="220">
        <f>ROUND(B85/1000,0)</f>
        <v>3842</v>
      </c>
      <c r="I85" s="112"/>
      <c r="J85" s="683">
        <f>ROUND(D85/1000,0)</f>
        <v>2387</v>
      </c>
      <c r="K85" s="251">
        <f t="shared" si="12"/>
        <v>62.129099427381576</v>
      </c>
      <c r="L85" s="249">
        <f>J85-'[6]Augusts'!J85</f>
        <v>89</v>
      </c>
    </row>
    <row r="86" spans="1:12" ht="12.75" customHeight="1">
      <c r="A86" s="218" t="s">
        <v>1030</v>
      </c>
      <c r="B86" s="220">
        <v>21386092</v>
      </c>
      <c r="C86" s="250">
        <v>17273387</v>
      </c>
      <c r="D86" s="250">
        <f>'[15]Septembris'!$I$31</f>
        <v>11339092</v>
      </c>
      <c r="E86" s="247">
        <f>D86/B86*100</f>
        <v>53.02086982511812</v>
      </c>
      <c r="F86" s="249">
        <f>D86-'[6]Augusts'!D86</f>
        <v>1098087</v>
      </c>
      <c r="G86" s="218" t="s">
        <v>1030</v>
      </c>
      <c r="H86" s="220">
        <f>ROUND(B86/1000,0)</f>
        <v>21386</v>
      </c>
      <c r="I86" s="220">
        <f>ROUND(C86/1000,0)</f>
        <v>17273</v>
      </c>
      <c r="J86" s="683">
        <f>ROUND(D86/1000,0)</f>
        <v>11339</v>
      </c>
      <c r="K86" s="251">
        <f t="shared" si="12"/>
        <v>53.02066772655007</v>
      </c>
      <c r="L86" s="249">
        <f>J86-'[6]Augusts'!J86</f>
        <v>1098</v>
      </c>
    </row>
    <row r="87" spans="1:12" ht="12.75" customHeight="1">
      <c r="A87" s="218" t="s">
        <v>878</v>
      </c>
      <c r="B87" s="249">
        <f>B78-B83</f>
        <v>-10885041</v>
      </c>
      <c r="C87" s="253">
        <f>C78-C83</f>
        <v>-10251537</v>
      </c>
      <c r="D87" s="249">
        <f>D78-D83</f>
        <v>-6036429</v>
      </c>
      <c r="E87" s="247">
        <f>D87/B87*100</f>
        <v>55.456189829693805</v>
      </c>
      <c r="F87" s="249">
        <f>F78-F83</f>
        <v>581394</v>
      </c>
      <c r="G87" s="218" t="s">
        <v>878</v>
      </c>
      <c r="H87" s="249">
        <f>H78-H83</f>
        <v>-10885</v>
      </c>
      <c r="I87" s="220">
        <f>ROUND(C87/1000,0)</f>
        <v>-10252</v>
      </c>
      <c r="J87" s="683">
        <f>J78-J83</f>
        <v>-6037</v>
      </c>
      <c r="K87" s="251">
        <f t="shared" si="12"/>
        <v>55.461644464859894</v>
      </c>
      <c r="L87" s="249">
        <f>L78-L83</f>
        <v>581</v>
      </c>
    </row>
    <row r="88" spans="1:12" ht="12.75" customHeight="1">
      <c r="A88" s="69" t="s">
        <v>1031</v>
      </c>
      <c r="B88" s="220">
        <v>10000000</v>
      </c>
      <c r="C88" s="250">
        <f>2365000+745067+659000+1601933+271000+921000+903139+829000+1481304</f>
        <v>9776443</v>
      </c>
      <c r="D88" s="250">
        <f>'[15]Septembris'!$I$44</f>
        <v>7917600</v>
      </c>
      <c r="E88" s="247">
        <f>D88/B88*100</f>
        <v>79.176</v>
      </c>
      <c r="F88" s="249">
        <f>D88-'[6]Augusts'!D88</f>
        <v>380000</v>
      </c>
      <c r="G88" s="69" t="s">
        <v>607</v>
      </c>
      <c r="H88" s="220">
        <f>ROUND(B88/1000,0)</f>
        <v>10000</v>
      </c>
      <c r="I88" s="220">
        <f>ROUND(C88/1000,0)</f>
        <v>9776</v>
      </c>
      <c r="J88" s="683">
        <f>ROUND(D88/1000,0)</f>
        <v>7918</v>
      </c>
      <c r="K88" s="251">
        <f t="shared" si="12"/>
        <v>79.17999999999999</v>
      </c>
      <c r="L88" s="249">
        <f>J88-'[6]Augusts'!J88</f>
        <v>380</v>
      </c>
    </row>
    <row r="89" spans="1:12" ht="12.75" customHeight="1">
      <c r="A89" s="212" t="s">
        <v>35</v>
      </c>
      <c r="B89" s="249"/>
      <c r="C89" s="249"/>
      <c r="D89" s="249"/>
      <c r="E89" s="247"/>
      <c r="F89" s="249"/>
      <c r="G89" s="212" t="s">
        <v>35</v>
      </c>
      <c r="H89" s="249"/>
      <c r="I89" s="220"/>
      <c r="J89" s="683"/>
      <c r="K89" s="251"/>
      <c r="L89" s="249"/>
    </row>
    <row r="90" spans="1:12" ht="12.75" customHeight="1">
      <c r="A90" s="218" t="s">
        <v>0</v>
      </c>
      <c r="B90" s="249">
        <f>B91</f>
        <v>822000</v>
      </c>
      <c r="C90" s="253">
        <v>625000</v>
      </c>
      <c r="D90" s="249">
        <f>D91</f>
        <v>622735</v>
      </c>
      <c r="E90" s="247">
        <f>D90/B90*100</f>
        <v>75.75851581508516</v>
      </c>
      <c r="F90" s="249">
        <f>F91</f>
        <v>60605</v>
      </c>
      <c r="G90" s="218" t="s">
        <v>0</v>
      </c>
      <c r="H90" s="249">
        <f>H91</f>
        <v>822</v>
      </c>
      <c r="I90" s="220">
        <f>ROUND(C90/1000,0)</f>
        <v>625</v>
      </c>
      <c r="J90" s="683">
        <f>J91</f>
        <v>623</v>
      </c>
      <c r="K90" s="251">
        <f>J90/H90*100</f>
        <v>75.79075425790755</v>
      </c>
      <c r="L90" s="249">
        <f>L91</f>
        <v>61</v>
      </c>
    </row>
    <row r="91" spans="1:12" ht="12.75" customHeight="1">
      <c r="A91" s="218" t="s">
        <v>708</v>
      </c>
      <c r="B91" s="220">
        <v>822000</v>
      </c>
      <c r="C91" s="250"/>
      <c r="D91" s="250">
        <f>'[15]Septembris'!$F$6</f>
        <v>622735</v>
      </c>
      <c r="E91" s="247">
        <f>D91/B91*100</f>
        <v>75.75851581508516</v>
      </c>
      <c r="F91" s="249">
        <f>D91-'[6]Augusts'!D91</f>
        <v>60605</v>
      </c>
      <c r="G91" s="218" t="s">
        <v>708</v>
      </c>
      <c r="H91" s="220">
        <f>ROUND(B91/1000,0)</f>
        <v>822</v>
      </c>
      <c r="I91" s="220"/>
      <c r="J91" s="683">
        <f>ROUND(D91/1000,0)</f>
        <v>623</v>
      </c>
      <c r="K91" s="251">
        <f>J91/H91*100</f>
        <v>75.79075425790755</v>
      </c>
      <c r="L91" s="249">
        <f>J91-'[6]Augusts'!J91</f>
        <v>61</v>
      </c>
    </row>
    <row r="92" spans="1:12" ht="12.75" customHeight="1">
      <c r="A92" s="218" t="s">
        <v>2</v>
      </c>
      <c r="B92" s="249">
        <f>SUM(B93:B94)</f>
        <v>822000</v>
      </c>
      <c r="C92" s="249">
        <f>SUM(C93:C94)</f>
        <v>625000</v>
      </c>
      <c r="D92" s="249">
        <f>SUM(D93:D94)</f>
        <v>464493</v>
      </c>
      <c r="E92" s="247">
        <f>D92/B92*100</f>
        <v>56.50766423357664</v>
      </c>
      <c r="F92" s="249">
        <f>SUM(F93:F94)</f>
        <v>19456</v>
      </c>
      <c r="G92" s="218" t="s">
        <v>2</v>
      </c>
      <c r="H92" s="249">
        <f>SUM(H93:H94)</f>
        <v>822</v>
      </c>
      <c r="I92" s="220">
        <f>SUM(I93:I94)</f>
        <v>625</v>
      </c>
      <c r="J92" s="683">
        <f>SUM(J93:J94)</f>
        <v>464</v>
      </c>
      <c r="K92" s="251">
        <f>J92/H92*100</f>
        <v>56.447688564476884</v>
      </c>
      <c r="L92" s="249">
        <f>SUM(L93:L94)</f>
        <v>18</v>
      </c>
    </row>
    <row r="93" spans="1:12" ht="12.75" customHeight="1">
      <c r="A93" s="218" t="s">
        <v>3</v>
      </c>
      <c r="B93" s="220">
        <v>820000</v>
      </c>
      <c r="C93" s="250">
        <v>623000</v>
      </c>
      <c r="D93" s="250">
        <f>'[15]Septembris'!$F$8</f>
        <v>463034</v>
      </c>
      <c r="E93" s="247">
        <f>D93/B93*100</f>
        <v>56.46756097560976</v>
      </c>
      <c r="F93" s="249">
        <f>D93-'[6]Augusts'!D93</f>
        <v>19456</v>
      </c>
      <c r="G93" s="218" t="s">
        <v>3</v>
      </c>
      <c r="H93" s="220">
        <f aca="true" t="shared" si="13" ref="H93:J94">ROUND(B93/1000,0)</f>
        <v>820</v>
      </c>
      <c r="I93" s="220">
        <f t="shared" si="13"/>
        <v>623</v>
      </c>
      <c r="J93" s="683">
        <f t="shared" si="13"/>
        <v>463</v>
      </c>
      <c r="K93" s="251">
        <f>J93/H93*100</f>
        <v>56.46341463414634</v>
      </c>
      <c r="L93" s="249">
        <f>J93-'[6]Augusts'!J93</f>
        <v>19</v>
      </c>
    </row>
    <row r="94" spans="1:12" ht="12.75" customHeight="1">
      <c r="A94" s="218" t="s">
        <v>1030</v>
      </c>
      <c r="B94" s="220">
        <v>2000</v>
      </c>
      <c r="C94" s="250">
        <v>2000</v>
      </c>
      <c r="D94" s="250">
        <f>'[15]Septembris'!$F$31</f>
        <v>1459</v>
      </c>
      <c r="E94" s="247">
        <f>D94/B94*100</f>
        <v>72.95</v>
      </c>
      <c r="F94" s="249">
        <f>D94-'[6]Augusts'!D94</f>
        <v>0</v>
      </c>
      <c r="G94" s="218" t="s">
        <v>1030</v>
      </c>
      <c r="H94" s="220">
        <f t="shared" si="13"/>
        <v>2</v>
      </c>
      <c r="I94" s="220">
        <f t="shared" si="13"/>
        <v>2</v>
      </c>
      <c r="J94" s="683">
        <f t="shared" si="13"/>
        <v>1</v>
      </c>
      <c r="K94" s="251">
        <f>J94/H94*100</f>
        <v>50</v>
      </c>
      <c r="L94" s="249">
        <f>J94-'[6]Augusts'!J94</f>
        <v>-1</v>
      </c>
    </row>
    <row r="95" spans="1:12" ht="12.75" customHeight="1">
      <c r="A95" s="92" t="s">
        <v>36</v>
      </c>
      <c r="B95" s="249"/>
      <c r="C95" s="249"/>
      <c r="D95" s="249"/>
      <c r="E95" s="247"/>
      <c r="F95" s="249"/>
      <c r="G95" s="92" t="s">
        <v>36</v>
      </c>
      <c r="H95" s="249"/>
      <c r="I95" s="220"/>
      <c r="J95" s="683"/>
      <c r="K95" s="251"/>
      <c r="L95" s="249"/>
    </row>
    <row r="96" spans="1:12" ht="12.75" customHeight="1">
      <c r="A96" s="218" t="s">
        <v>0</v>
      </c>
      <c r="B96" s="220">
        <f>B97</f>
        <v>2100000</v>
      </c>
      <c r="C96" s="250">
        <v>700000</v>
      </c>
      <c r="D96" s="220">
        <f>D97</f>
        <v>1618900</v>
      </c>
      <c r="E96" s="247">
        <f>D96/B96*100</f>
        <v>77.09047619047618</v>
      </c>
      <c r="F96" s="249">
        <f>F97</f>
        <v>141693</v>
      </c>
      <c r="G96" s="218" t="s">
        <v>0</v>
      </c>
      <c r="H96" s="220">
        <f>H97</f>
        <v>2100</v>
      </c>
      <c r="I96" s="220">
        <f>ROUND(C96/1000,0)</f>
        <v>700</v>
      </c>
      <c r="J96" s="683">
        <f>J97</f>
        <v>1619</v>
      </c>
      <c r="K96" s="251">
        <f>J96/H96*100</f>
        <v>77.09523809523809</v>
      </c>
      <c r="L96" s="249">
        <f>L97</f>
        <v>142</v>
      </c>
    </row>
    <row r="97" spans="1:12" ht="12.75" customHeight="1">
      <c r="A97" s="218" t="s">
        <v>37</v>
      </c>
      <c r="B97" s="220">
        <v>2100000</v>
      </c>
      <c r="C97" s="250"/>
      <c r="D97" s="250">
        <f>'[15]Septembris'!$G$6</f>
        <v>1618900</v>
      </c>
      <c r="E97" s="247">
        <f>D97/B97*100</f>
        <v>77.09047619047618</v>
      </c>
      <c r="F97" s="249">
        <f>D97-'[6]Augusts'!D97</f>
        <v>141693</v>
      </c>
      <c r="G97" s="218" t="s">
        <v>37</v>
      </c>
      <c r="H97" s="220">
        <f>ROUND(B97/1000,0)</f>
        <v>2100</v>
      </c>
      <c r="I97" s="220"/>
      <c r="J97" s="683">
        <f>ROUND(D97/1000,0)</f>
        <v>1619</v>
      </c>
      <c r="K97" s="251">
        <f>J97/H97*100</f>
        <v>77.09523809523809</v>
      </c>
      <c r="L97" s="249">
        <f>J97-'[6]Augusts'!J97</f>
        <v>142</v>
      </c>
    </row>
    <row r="98" spans="1:12" ht="12.75" customHeight="1">
      <c r="A98" s="218" t="s">
        <v>2</v>
      </c>
      <c r="B98" s="249">
        <f>SUM(B99:B100)</f>
        <v>2198392</v>
      </c>
      <c r="C98" s="249">
        <f>SUM(C99:C100)</f>
        <v>700000</v>
      </c>
      <c r="D98" s="249">
        <f>SUM(D99:D100)</f>
        <v>555423</v>
      </c>
      <c r="E98" s="247">
        <f>D98/B98*100</f>
        <v>25.26496639361861</v>
      </c>
      <c r="F98" s="249">
        <f>SUM(F99:F100)</f>
        <v>37018</v>
      </c>
      <c r="G98" s="218" t="s">
        <v>2</v>
      </c>
      <c r="H98" s="249">
        <f>SUM(H99:H100)</f>
        <v>2198</v>
      </c>
      <c r="I98" s="250">
        <f>SUM(I99:I100)</f>
        <v>700</v>
      </c>
      <c r="J98" s="683">
        <f>SUM(J99:J100)</f>
        <v>555</v>
      </c>
      <c r="K98" s="251">
        <f>J98/H98*100</f>
        <v>25.250227479526842</v>
      </c>
      <c r="L98" s="249">
        <f>SUM(L99:L100)</f>
        <v>37</v>
      </c>
    </row>
    <row r="99" spans="1:12" ht="12.75" customHeight="1">
      <c r="A99" s="218" t="s">
        <v>3</v>
      </c>
      <c r="B99" s="220">
        <v>1500000</v>
      </c>
      <c r="C99" s="250">
        <v>447000</v>
      </c>
      <c r="D99" s="250">
        <f>'[15]Septembris'!$G$8</f>
        <v>425000</v>
      </c>
      <c r="E99" s="247">
        <f>D99/B99*100</f>
        <v>28.333333333333332</v>
      </c>
      <c r="F99" s="249">
        <f>D99-'[6]Augusts'!D99</f>
        <v>0</v>
      </c>
      <c r="G99" s="218" t="s">
        <v>3</v>
      </c>
      <c r="H99" s="220">
        <f aca="true" t="shared" si="14" ref="H99:J100">ROUND(B99/1000,0)</f>
        <v>1500</v>
      </c>
      <c r="I99" s="220">
        <f t="shared" si="14"/>
        <v>447</v>
      </c>
      <c r="J99" s="683">
        <f t="shared" si="14"/>
        <v>425</v>
      </c>
      <c r="K99" s="251">
        <f>J99/H99*100</f>
        <v>28.333333333333332</v>
      </c>
      <c r="L99" s="249">
        <f>J99-'[6]Augusts'!J99</f>
        <v>0</v>
      </c>
    </row>
    <row r="100" spans="1:13" ht="12.75" customHeight="1">
      <c r="A100" s="218" t="s">
        <v>1030</v>
      </c>
      <c r="B100" s="220">
        <v>698392</v>
      </c>
      <c r="C100" s="250">
        <v>253000</v>
      </c>
      <c r="D100" s="250">
        <f>'[15]Septembris'!$G$31</f>
        <v>130423</v>
      </c>
      <c r="E100" s="247">
        <f>D100/B100*100</f>
        <v>18.674755724578745</v>
      </c>
      <c r="F100" s="249">
        <f>D100-'[6]Augusts'!D100</f>
        <v>37018</v>
      </c>
      <c r="G100" s="218" t="s">
        <v>1030</v>
      </c>
      <c r="H100" s="220">
        <f t="shared" si="14"/>
        <v>698</v>
      </c>
      <c r="I100" s="220">
        <f t="shared" si="14"/>
        <v>253</v>
      </c>
      <c r="J100" s="683">
        <f t="shared" si="14"/>
        <v>130</v>
      </c>
      <c r="K100" s="251">
        <f>J100/H100*100</f>
        <v>18.624641833810887</v>
      </c>
      <c r="L100" s="249">
        <f>J100-'[6]Augusts'!J100</f>
        <v>37</v>
      </c>
      <c r="M100" s="135"/>
    </row>
    <row r="101" spans="1:13" ht="12.75" customHeight="1">
      <c r="A101" s="32" t="s">
        <v>903</v>
      </c>
      <c r="B101" s="249"/>
      <c r="C101" s="249"/>
      <c r="D101" s="218"/>
      <c r="E101" s="247"/>
      <c r="F101" s="249"/>
      <c r="G101" s="32" t="s">
        <v>903</v>
      </c>
      <c r="H101" s="249"/>
      <c r="I101" s="218"/>
      <c r="J101" s="684"/>
      <c r="K101" s="251"/>
      <c r="L101" s="249"/>
      <c r="M101" s="84"/>
    </row>
    <row r="102" spans="1:13" ht="12.75" customHeight="1">
      <c r="A102" s="254" t="s">
        <v>38</v>
      </c>
      <c r="B102" s="249"/>
      <c r="C102" s="249"/>
      <c r="D102" s="218"/>
      <c r="E102" s="247"/>
      <c r="F102" s="249"/>
      <c r="G102" s="32" t="s">
        <v>38</v>
      </c>
      <c r="H102" s="249"/>
      <c r="I102" s="218"/>
      <c r="J102" s="684"/>
      <c r="K102" s="251"/>
      <c r="L102" s="249"/>
      <c r="M102" s="84"/>
    </row>
    <row r="103" spans="1:12" ht="12.75" customHeight="1">
      <c r="A103" s="218" t="s">
        <v>0</v>
      </c>
      <c r="B103" s="249">
        <f>SUM(B104:B107)</f>
        <v>139410705</v>
      </c>
      <c r="C103" s="253">
        <f>89575762+10193693+1987946+458571+1158380+529471+641032+69420+13000+35400</f>
        <v>104662675</v>
      </c>
      <c r="D103" s="249">
        <f>SUM(D104:D107)</f>
        <v>102810140</v>
      </c>
      <c r="E103" s="247">
        <f aca="true" t="shared" si="15" ref="E103:E113">D103/B103*100</f>
        <v>73.74623060689636</v>
      </c>
      <c r="F103" s="249">
        <f>SUM(F104:F107)</f>
        <v>10961082</v>
      </c>
      <c r="G103" s="218" t="s">
        <v>0</v>
      </c>
      <c r="H103" s="249">
        <f>SUM(H104:H107)</f>
        <v>139411</v>
      </c>
      <c r="I103" s="220">
        <f>ROUND(C103/1000,0)</f>
        <v>104663</v>
      </c>
      <c r="J103" s="683">
        <f>SUM(J104:J107)</f>
        <v>102810</v>
      </c>
      <c r="K103" s="251">
        <f aca="true" t="shared" si="16" ref="K103:K113">J103/H103*100</f>
        <v>73.74597413403534</v>
      </c>
      <c r="L103" s="249">
        <f>SUM(L104:L107)</f>
        <v>10961</v>
      </c>
    </row>
    <row r="104" spans="1:12" ht="12.75" customHeight="1">
      <c r="A104" s="218" t="s">
        <v>39</v>
      </c>
      <c r="B104" s="249">
        <v>81519197</v>
      </c>
      <c r="C104" s="253"/>
      <c r="D104" s="253">
        <v>57867715</v>
      </c>
      <c r="E104" s="247">
        <f t="shared" si="15"/>
        <v>70.98661067527445</v>
      </c>
      <c r="F104" s="249">
        <f>D104-'[6]Augusts'!D104</f>
        <v>6106921</v>
      </c>
      <c r="G104" s="218" t="s">
        <v>39</v>
      </c>
      <c r="H104" s="220">
        <f>ROUND(B104/1000,0)</f>
        <v>81519</v>
      </c>
      <c r="I104" s="220"/>
      <c r="J104" s="683">
        <f>ROUND(D104/1000,0)</f>
        <v>57868</v>
      </c>
      <c r="K104" s="251">
        <f t="shared" si="16"/>
        <v>70.9871318342963</v>
      </c>
      <c r="L104" s="249">
        <f>J104-'[6]Augusts'!J104</f>
        <v>6107</v>
      </c>
    </row>
    <row r="105" spans="1:12" ht="12.75" customHeight="1">
      <c r="A105" s="218" t="s">
        <v>40</v>
      </c>
      <c r="B105" s="249">
        <v>54613594</v>
      </c>
      <c r="C105" s="253"/>
      <c r="D105" s="253">
        <v>43038463</v>
      </c>
      <c r="E105" s="247">
        <f t="shared" si="15"/>
        <v>78.80540328475728</v>
      </c>
      <c r="F105" s="249">
        <f>D105-'[6]Augusts'!D105</f>
        <v>4730881</v>
      </c>
      <c r="G105" s="218" t="s">
        <v>40</v>
      </c>
      <c r="H105" s="220">
        <f>ROUND(B105/1000,0)</f>
        <v>54614</v>
      </c>
      <c r="I105" s="220"/>
      <c r="J105" s="683">
        <f>ROUND(D105/1000,0)</f>
        <v>43038</v>
      </c>
      <c r="K105" s="251">
        <f t="shared" si="16"/>
        <v>78.80396967810451</v>
      </c>
      <c r="L105" s="249">
        <f>J105-'[6]Augusts'!J105</f>
        <v>4731</v>
      </c>
    </row>
    <row r="106" spans="1:12" ht="12.75" customHeight="1">
      <c r="A106" s="258" t="s">
        <v>951</v>
      </c>
      <c r="B106" s="249">
        <v>3212246</v>
      </c>
      <c r="C106" s="253"/>
      <c r="D106" s="253">
        <v>1903962</v>
      </c>
      <c r="E106" s="247">
        <f t="shared" si="15"/>
        <v>59.27198601850543</v>
      </c>
      <c r="F106" s="249">
        <f>D106-'[6]Augusts'!D106</f>
        <v>123280</v>
      </c>
      <c r="G106" s="125" t="s">
        <v>951</v>
      </c>
      <c r="H106" s="220">
        <f>ROUND(B106/1000,0)</f>
        <v>3212</v>
      </c>
      <c r="I106" s="220"/>
      <c r="J106" s="683">
        <f>ROUND(D106/1000,0)</f>
        <v>1904</v>
      </c>
      <c r="K106" s="251">
        <f t="shared" si="16"/>
        <v>59.27770859277709</v>
      </c>
      <c r="L106" s="249">
        <f>J106-'[6]Augusts'!J106</f>
        <v>123</v>
      </c>
    </row>
    <row r="107" spans="1:12" ht="12.75" customHeight="1">
      <c r="A107" s="218" t="s">
        <v>952</v>
      </c>
      <c r="B107" s="249">
        <v>65668</v>
      </c>
      <c r="C107" s="253"/>
      <c r="D107" s="253"/>
      <c r="E107" s="247">
        <f t="shared" si="15"/>
        <v>0</v>
      </c>
      <c r="F107" s="249">
        <f>D107-'[6]Augusts'!D107</f>
        <v>0</v>
      </c>
      <c r="G107" s="218" t="s">
        <v>952</v>
      </c>
      <c r="H107" s="220">
        <f>ROUND(B107/1000,0)</f>
        <v>66</v>
      </c>
      <c r="I107" s="220"/>
      <c r="J107" s="683">
        <f>ROUND(D107/1000,0)</f>
        <v>0</v>
      </c>
      <c r="K107" s="251">
        <f t="shared" si="16"/>
        <v>0</v>
      </c>
      <c r="L107" s="249">
        <f>J107-'[6]Augusts'!J107</f>
        <v>0</v>
      </c>
    </row>
    <row r="108" spans="1:12" ht="12.75" customHeight="1">
      <c r="A108" s="218" t="s">
        <v>2</v>
      </c>
      <c r="B108" s="249">
        <f>B109+B111</f>
        <v>144348387</v>
      </c>
      <c r="C108" s="249">
        <f>C109+C111</f>
        <v>111360941</v>
      </c>
      <c r="D108" s="249">
        <f>D109+D111</f>
        <v>104114054</v>
      </c>
      <c r="E108" s="247">
        <f t="shared" si="15"/>
        <v>72.12692581040065</v>
      </c>
      <c r="F108" s="249">
        <f>F109+F111</f>
        <v>10652637</v>
      </c>
      <c r="G108" s="218" t="s">
        <v>2</v>
      </c>
      <c r="H108" s="249">
        <f>H109+H111</f>
        <v>144349</v>
      </c>
      <c r="I108" s="250">
        <f>SUM(I109,I111)</f>
        <v>111361</v>
      </c>
      <c r="J108" s="683">
        <f>SUM(J109,J111)</f>
        <v>104115</v>
      </c>
      <c r="K108" s="251">
        <f t="shared" si="16"/>
        <v>72.12727486854776</v>
      </c>
      <c r="L108" s="249">
        <f>L109+L111</f>
        <v>10654</v>
      </c>
    </row>
    <row r="109" spans="1:12" ht="12.75" customHeight="1">
      <c r="A109" s="218" t="s">
        <v>3</v>
      </c>
      <c r="B109" s="249">
        <v>139939766</v>
      </c>
      <c r="C109" s="250">
        <v>107209040</v>
      </c>
      <c r="D109" s="253">
        <f>'[15]Septembris'!$D$8</f>
        <v>102428511</v>
      </c>
      <c r="E109" s="247">
        <f t="shared" si="15"/>
        <v>73.19471364558378</v>
      </c>
      <c r="F109" s="249">
        <f>D109-'[6]Augusts'!D109</f>
        <v>10613504</v>
      </c>
      <c r="G109" s="218" t="s">
        <v>3</v>
      </c>
      <c r="H109" s="220">
        <f>ROUND(B109/1000,0)</f>
        <v>139940</v>
      </c>
      <c r="I109" s="220">
        <f>ROUND(C109/1000,0)</f>
        <v>107209</v>
      </c>
      <c r="J109" s="683">
        <f>ROUND(D109/1000,0)</f>
        <v>102429</v>
      </c>
      <c r="K109" s="251">
        <f t="shared" si="16"/>
        <v>73.19494068886667</v>
      </c>
      <c r="L109" s="249">
        <f>J109-'[6]Augusts'!J109</f>
        <v>10614</v>
      </c>
    </row>
    <row r="110" spans="1:12" ht="12.75" customHeight="1">
      <c r="A110" s="252" t="s">
        <v>34</v>
      </c>
      <c r="B110" s="249">
        <v>1288396</v>
      </c>
      <c r="C110" s="253"/>
      <c r="D110" s="682">
        <v>625081</v>
      </c>
      <c r="E110" s="247">
        <f t="shared" si="15"/>
        <v>48.51621706369781</v>
      </c>
      <c r="F110" s="249">
        <f>D110-'[6]Augusts'!D110</f>
        <v>0</v>
      </c>
      <c r="G110" s="252" t="s">
        <v>34</v>
      </c>
      <c r="H110" s="220">
        <f>ROUND(B110/1000,0)</f>
        <v>1288</v>
      </c>
      <c r="I110" s="220"/>
      <c r="J110" s="683">
        <f>ROUND(D110/1000,0)</f>
        <v>625</v>
      </c>
      <c r="K110" s="251">
        <f t="shared" si="16"/>
        <v>48.524844720496894</v>
      </c>
      <c r="L110" s="249">
        <f>J110-'[6]Augusts'!J110</f>
        <v>0</v>
      </c>
    </row>
    <row r="111" spans="1:12" ht="12.75" customHeight="1">
      <c r="A111" s="218" t="s">
        <v>1030</v>
      </c>
      <c r="B111" s="249">
        <v>4408621</v>
      </c>
      <c r="C111" s="250">
        <v>4151901</v>
      </c>
      <c r="D111" s="253">
        <f>'[15]Septembris'!$D$31</f>
        <v>1685543</v>
      </c>
      <c r="E111" s="247">
        <f t="shared" si="15"/>
        <v>38.23288506768897</v>
      </c>
      <c r="F111" s="249">
        <f>D111-'[6]Augusts'!D111</f>
        <v>39133</v>
      </c>
      <c r="G111" s="218" t="s">
        <v>1030</v>
      </c>
      <c r="H111" s="220">
        <f>ROUND(B111/1000,0)</f>
        <v>4409</v>
      </c>
      <c r="I111" s="220">
        <f>ROUND(C111/1000,0)</f>
        <v>4152</v>
      </c>
      <c r="J111" s="683">
        <f>ROUND(D111/1000,0)</f>
        <v>1686</v>
      </c>
      <c r="K111" s="251">
        <f t="shared" si="16"/>
        <v>38.23996371059197</v>
      </c>
      <c r="L111" s="249">
        <f>J111-'[6]Augusts'!J111</f>
        <v>40</v>
      </c>
    </row>
    <row r="112" spans="1:12" ht="12.75" customHeight="1">
      <c r="A112" s="218" t="s">
        <v>878</v>
      </c>
      <c r="B112" s="249">
        <f>B103-B108</f>
        <v>-4937682</v>
      </c>
      <c r="C112" s="249">
        <f>C103-C108</f>
        <v>-6698266</v>
      </c>
      <c r="D112" s="249">
        <f>D103-D108</f>
        <v>-1303914</v>
      </c>
      <c r="E112" s="247">
        <f t="shared" si="15"/>
        <v>26.40741141288564</v>
      </c>
      <c r="F112" s="249">
        <f>F103-F108</f>
        <v>308445</v>
      </c>
      <c r="G112" s="218" t="s">
        <v>878</v>
      </c>
      <c r="H112" s="249">
        <f>H103-H108</f>
        <v>-4938</v>
      </c>
      <c r="I112" s="220">
        <f>ROUND(C112/1000,0)</f>
        <v>-6698</v>
      </c>
      <c r="J112" s="683">
        <f>J103-J108</f>
        <v>-1305</v>
      </c>
      <c r="K112" s="251">
        <f t="shared" si="16"/>
        <v>26.4277035236938</v>
      </c>
      <c r="L112" s="249">
        <f>L103-L108</f>
        <v>307</v>
      </c>
    </row>
    <row r="113" spans="1:12" ht="12.75" customHeight="1">
      <c r="A113" s="258" t="s">
        <v>27</v>
      </c>
      <c r="B113" s="249">
        <v>3177098</v>
      </c>
      <c r="C113" s="253">
        <f>2200000+80000+383300+157298+90000+96500+95000+60000+15000</f>
        <v>3177098</v>
      </c>
      <c r="D113" s="253">
        <f>'[15]Septembris'!$D$44</f>
        <v>913020</v>
      </c>
      <c r="E113" s="247">
        <f t="shared" si="15"/>
        <v>28.737546024705562</v>
      </c>
      <c r="F113" s="249">
        <f>D113-'[6]Augusts'!D113</f>
        <v>3465</v>
      </c>
      <c r="G113" s="218" t="s">
        <v>27</v>
      </c>
      <c r="H113" s="220">
        <f>ROUND(B113/1000,0)</f>
        <v>3177</v>
      </c>
      <c r="I113" s="220">
        <f>ROUND(C113/1000,0)</f>
        <v>3177</v>
      </c>
      <c r="J113" s="683">
        <f>ROUND(D113/1000,0)</f>
        <v>913</v>
      </c>
      <c r="K113" s="251">
        <f t="shared" si="16"/>
        <v>28.737802958766135</v>
      </c>
      <c r="L113" s="249">
        <f>J113-'[6]Augusts'!J113</f>
        <v>3</v>
      </c>
    </row>
    <row r="114" spans="1:12" ht="12.75" customHeight="1">
      <c r="A114" s="212" t="s">
        <v>41</v>
      </c>
      <c r="B114" s="249"/>
      <c r="C114" s="249"/>
      <c r="D114" s="249"/>
      <c r="E114" s="247"/>
      <c r="F114" s="249"/>
      <c r="G114" s="212" t="s">
        <v>41</v>
      </c>
      <c r="H114" s="249"/>
      <c r="I114" s="220"/>
      <c r="J114" s="683"/>
      <c r="K114" s="251"/>
      <c r="L114" s="249"/>
    </row>
    <row r="115" spans="1:12" ht="12.75" customHeight="1">
      <c r="A115" s="218" t="s">
        <v>0</v>
      </c>
      <c r="B115" s="249">
        <f>SUM(B116:B118)</f>
        <v>503151370</v>
      </c>
      <c r="C115" s="253">
        <f>37020270+37889203+39825423+40449323+42619883+42381558+43325703+42438340+42421346</f>
        <v>368371049</v>
      </c>
      <c r="D115" s="249">
        <f>SUM(D116:D118)</f>
        <v>362457919</v>
      </c>
      <c r="E115" s="247">
        <f aca="true" t="shared" si="17" ref="E115:E120">D115/B115*100</f>
        <v>72.03754985303925</v>
      </c>
      <c r="F115" s="249">
        <f>SUM(F116:F118)</f>
        <v>38658734</v>
      </c>
      <c r="G115" s="218" t="s">
        <v>0</v>
      </c>
      <c r="H115" s="249">
        <f>SUM(H116:H118)</f>
        <v>503151</v>
      </c>
      <c r="I115" s="220">
        <f>ROUND(C115/1000,0)</f>
        <v>368371</v>
      </c>
      <c r="J115" s="683">
        <f>SUM(J116:J118)</f>
        <v>362458</v>
      </c>
      <c r="K115" s="251">
        <f aca="true" t="shared" si="18" ref="K115:K120">J115/H115*100</f>
        <v>72.0376189255313</v>
      </c>
      <c r="L115" s="249">
        <f>SUM(L116:L118)</f>
        <v>38659</v>
      </c>
    </row>
    <row r="116" spans="1:12" ht="12.75" customHeight="1">
      <c r="A116" s="218" t="s">
        <v>42</v>
      </c>
      <c r="B116" s="220">
        <v>495585390</v>
      </c>
      <c r="C116" s="250"/>
      <c r="D116" s="250">
        <v>356218895</v>
      </c>
      <c r="E116" s="247">
        <f t="shared" si="17"/>
        <v>71.8784092888614</v>
      </c>
      <c r="F116" s="249">
        <f>D116-'[6]Augusts'!D116</f>
        <v>38046585</v>
      </c>
      <c r="G116" s="218" t="s">
        <v>42</v>
      </c>
      <c r="H116" s="220">
        <f>ROUND(B116/1000,0)</f>
        <v>495585</v>
      </c>
      <c r="I116" s="220"/>
      <c r="J116" s="683">
        <f>ROUND(D116/1000,0)</f>
        <v>356219</v>
      </c>
      <c r="K116" s="251">
        <f t="shared" si="18"/>
        <v>71.87848704056822</v>
      </c>
      <c r="L116" s="249">
        <f>J116-'[6]Augusts'!J116</f>
        <v>38047</v>
      </c>
    </row>
    <row r="117" spans="1:12" ht="12.75" customHeight="1">
      <c r="A117" s="218" t="s">
        <v>43</v>
      </c>
      <c r="B117" s="220">
        <f>300000+1890000+26000+4402694</f>
        <v>6618694</v>
      </c>
      <c r="C117" s="250"/>
      <c r="D117" s="250">
        <v>4903449</v>
      </c>
      <c r="E117" s="247">
        <f t="shared" si="17"/>
        <v>74.08484211537805</v>
      </c>
      <c r="F117" s="249">
        <f>D117-'[6]Augusts'!D117</f>
        <v>581387</v>
      </c>
      <c r="G117" s="218" t="s">
        <v>43</v>
      </c>
      <c r="H117" s="220">
        <f>ROUND(B117/1000,0)</f>
        <v>6619</v>
      </c>
      <c r="I117" s="220"/>
      <c r="J117" s="683">
        <f>ROUND(D117/1000,0)</f>
        <v>4903</v>
      </c>
      <c r="K117" s="251">
        <f t="shared" si="18"/>
        <v>74.07463363045778</v>
      </c>
      <c r="L117" s="249">
        <f>J117-'[6]Augusts'!J117</f>
        <v>581</v>
      </c>
    </row>
    <row r="118" spans="1:12" ht="12.75" customHeight="1">
      <c r="A118" s="218" t="s">
        <v>44</v>
      </c>
      <c r="B118" s="220">
        <f>7565980-B117</f>
        <v>947286</v>
      </c>
      <c r="C118" s="250"/>
      <c r="D118" s="250">
        <f>6239025-D117-1</f>
        <v>1335575</v>
      </c>
      <c r="E118" s="247">
        <f t="shared" si="17"/>
        <v>140.98962720867826</v>
      </c>
      <c r="F118" s="249">
        <f>D118-'[6]Augusts'!D118</f>
        <v>30762</v>
      </c>
      <c r="G118" s="218" t="s">
        <v>44</v>
      </c>
      <c r="H118" s="220">
        <f>ROUND(B118/1000,0)</f>
        <v>947</v>
      </c>
      <c r="I118" s="220"/>
      <c r="J118" s="683">
        <f>ROUND(D118/1000,0)</f>
        <v>1336</v>
      </c>
      <c r="K118" s="251">
        <f t="shared" si="18"/>
        <v>141.07708553326293</v>
      </c>
      <c r="L118" s="249">
        <f>J118-'[6]Augusts'!J118</f>
        <v>31</v>
      </c>
    </row>
    <row r="119" spans="1:12" ht="12.75" customHeight="1">
      <c r="A119" s="218" t="s">
        <v>45</v>
      </c>
      <c r="B119" s="249">
        <f>B120+B122</f>
        <v>531459579</v>
      </c>
      <c r="C119" s="249">
        <f>C120+C122</f>
        <v>394085764</v>
      </c>
      <c r="D119" s="249">
        <f>D120+D122</f>
        <v>371766527</v>
      </c>
      <c r="E119" s="247">
        <f t="shared" si="17"/>
        <v>69.95198537949393</v>
      </c>
      <c r="F119" s="249">
        <f>D119-'[6]Augusts'!D119</f>
        <v>36912568</v>
      </c>
      <c r="G119" s="218" t="s">
        <v>608</v>
      </c>
      <c r="H119" s="249">
        <f>H120+H122</f>
        <v>531460</v>
      </c>
      <c r="I119" s="250">
        <f>I120+I122</f>
        <v>394086</v>
      </c>
      <c r="J119" s="683">
        <f>J120+J122</f>
        <v>371767</v>
      </c>
      <c r="K119" s="251">
        <f t="shared" si="18"/>
        <v>69.95201896662026</v>
      </c>
      <c r="L119" s="249">
        <f>J119-'[6]Augusts'!J119</f>
        <v>36913</v>
      </c>
    </row>
    <row r="120" spans="1:12" ht="12.75" customHeight="1">
      <c r="A120" s="218" t="s">
        <v>3</v>
      </c>
      <c r="B120" s="220">
        <v>528034579</v>
      </c>
      <c r="C120" s="250">
        <f>45260560+43818270+42609997+44770545+44388715+42191312+45429430+43312501+40224815</f>
        <v>392006145</v>
      </c>
      <c r="D120" s="250">
        <f>'[15]Septembris'!$C$8</f>
        <v>370600160</v>
      </c>
      <c r="E120" s="247">
        <f t="shared" si="17"/>
        <v>70.18482780083234</v>
      </c>
      <c r="F120" s="249">
        <f>D120-'[6]Augusts'!D120</f>
        <v>36747181</v>
      </c>
      <c r="G120" s="218" t="s">
        <v>3</v>
      </c>
      <c r="H120" s="220">
        <f>ROUND(B120/1000,0)</f>
        <v>528035</v>
      </c>
      <c r="I120" s="220">
        <f>ROUND(C120/1000,0)</f>
        <v>392006</v>
      </c>
      <c r="J120" s="683">
        <f>ROUND(D120/1000,0)</f>
        <v>370600</v>
      </c>
      <c r="K120" s="251">
        <f t="shared" si="18"/>
        <v>70.18474154175387</v>
      </c>
      <c r="L120" s="249">
        <f>J120-'[6]Augusts'!J120</f>
        <v>36747</v>
      </c>
    </row>
    <row r="121" spans="1:12" ht="12.75" customHeight="1">
      <c r="A121" s="252" t="s">
        <v>34</v>
      </c>
      <c r="B121" s="220">
        <v>10782</v>
      </c>
      <c r="C121" s="250"/>
      <c r="D121" s="250">
        <f>'[15]Septembris'!$C$15</f>
        <v>0</v>
      </c>
      <c r="E121" s="247"/>
      <c r="F121" s="249">
        <f>D121-'[6]Augusts'!D121</f>
        <v>0</v>
      </c>
      <c r="G121" s="252" t="s">
        <v>34</v>
      </c>
      <c r="H121" s="220">
        <f>ROUND(B121/1000,0)</f>
        <v>11</v>
      </c>
      <c r="I121" s="220"/>
      <c r="J121" s="683"/>
      <c r="K121" s="251"/>
      <c r="L121" s="249">
        <f>J121-'[6]Augusts'!J121</f>
        <v>0</v>
      </c>
    </row>
    <row r="122" spans="1:12" ht="12.75" customHeight="1">
      <c r="A122" s="218" t="s">
        <v>1030</v>
      </c>
      <c r="B122" s="220">
        <v>3425000</v>
      </c>
      <c r="C122" s="250">
        <f>234780+215420+194320+168470+222820+478190+278819+286800</f>
        <v>2079619</v>
      </c>
      <c r="D122" s="250">
        <f>'[15]Septembris'!$C$31</f>
        <v>1166367</v>
      </c>
      <c r="E122" s="247">
        <f>D122/B122*100</f>
        <v>34.05451094890511</v>
      </c>
      <c r="F122" s="249">
        <f>D122-'[6]Augusts'!D122</f>
        <v>165387</v>
      </c>
      <c r="G122" s="218" t="s">
        <v>1030</v>
      </c>
      <c r="H122" s="220">
        <f>ROUND(B122/1000,0)</f>
        <v>3425</v>
      </c>
      <c r="I122" s="220">
        <f>ROUND(C122/1000,0)</f>
        <v>2080</v>
      </c>
      <c r="J122" s="683">
        <f>ROUND(D122/1000,0)+1</f>
        <v>1167</v>
      </c>
      <c r="K122" s="251">
        <f>J122/H122*100</f>
        <v>34.07299270072993</v>
      </c>
      <c r="L122" s="249">
        <f>J122-'[6]Augusts'!J122</f>
        <v>166</v>
      </c>
    </row>
    <row r="123" spans="1:12" ht="12.75" customHeight="1">
      <c r="A123" s="218" t="s">
        <v>878</v>
      </c>
      <c r="B123" s="220">
        <f>B115-B119</f>
        <v>-28308209</v>
      </c>
      <c r="C123" s="220">
        <f>C115-C119</f>
        <v>-25714715</v>
      </c>
      <c r="D123" s="220">
        <f>D115-D119</f>
        <v>-9308608</v>
      </c>
      <c r="E123" s="247">
        <f>D123/B123*100</f>
        <v>32.88306935984541</v>
      </c>
      <c r="F123" s="249">
        <f>D123-'[6]Augusts'!D123</f>
        <v>1746166</v>
      </c>
      <c r="G123" s="218" t="s">
        <v>878</v>
      </c>
      <c r="H123" s="220">
        <f>H115-H119</f>
        <v>-28309</v>
      </c>
      <c r="I123" s="220">
        <f>ROUND(C123/1000,0)</f>
        <v>-25715</v>
      </c>
      <c r="J123" s="683">
        <f>J115-J119</f>
        <v>-9309</v>
      </c>
      <c r="K123" s="251"/>
      <c r="L123" s="249">
        <f>J123-'[6]Augusts'!J123</f>
        <v>1746</v>
      </c>
    </row>
    <row r="124" spans="1:12" ht="12.75" customHeight="1">
      <c r="A124" s="218" t="s">
        <v>27</v>
      </c>
      <c r="B124" s="220">
        <v>27710492</v>
      </c>
      <c r="C124" s="250">
        <f>C133+C142+C157+C167</f>
        <v>25459389</v>
      </c>
      <c r="D124" s="250">
        <f>'[15]Septembris'!$C$40+'[15]Septembris'!$C$44</f>
        <v>12270585</v>
      </c>
      <c r="E124" s="247">
        <f>D124/B124*100</f>
        <v>44.28136822687955</v>
      </c>
      <c r="F124" s="249">
        <f>D124-'[6]Augusts'!D124</f>
        <v>-1964373</v>
      </c>
      <c r="G124" s="218" t="s">
        <v>27</v>
      </c>
      <c r="H124" s="220">
        <f>ROUND(B124/1000,0)</f>
        <v>27710</v>
      </c>
      <c r="I124" s="220">
        <f>ROUND(C124/1000,0)</f>
        <v>25459</v>
      </c>
      <c r="J124" s="683">
        <f>ROUND(D124/1000,0)</f>
        <v>12271</v>
      </c>
      <c r="K124" s="251">
        <f>J124/H124*100</f>
        <v>44.28365211115121</v>
      </c>
      <c r="L124" s="249">
        <f>J124-'[6]Augusts'!J124</f>
        <v>-1964</v>
      </c>
    </row>
    <row r="125" spans="1:12" ht="12.75" customHeight="1">
      <c r="A125" s="212" t="s">
        <v>46</v>
      </c>
      <c r="B125" s="249"/>
      <c r="C125" s="249"/>
      <c r="D125" s="249"/>
      <c r="E125" s="247"/>
      <c r="F125" s="249"/>
      <c r="G125" s="212" t="s">
        <v>46</v>
      </c>
      <c r="H125" s="249"/>
      <c r="I125" s="220"/>
      <c r="J125" s="683"/>
      <c r="K125" s="251"/>
      <c r="L125" s="249"/>
    </row>
    <row r="126" spans="1:12" ht="12.75" customHeight="1">
      <c r="A126" s="218" t="s">
        <v>0</v>
      </c>
      <c r="B126" s="249">
        <f>SUM(B127:B129)</f>
        <v>404005990</v>
      </c>
      <c r="C126" s="253">
        <f>29912540+30602264+32086097+32550828+34175954+33983068+34733804+34006406+34012477</f>
        <v>296063438</v>
      </c>
      <c r="D126" s="249">
        <f>SUM(D127:D129)</f>
        <v>292447944</v>
      </c>
      <c r="E126" s="247">
        <f aca="true" t="shared" si="19" ref="E126:E133">D126/B126*100</f>
        <v>72.38703168732721</v>
      </c>
      <c r="F126" s="249">
        <f>SUM(F127:F129)</f>
        <v>31205340</v>
      </c>
      <c r="G126" s="218" t="s">
        <v>0</v>
      </c>
      <c r="H126" s="249">
        <f>SUM(H127:H129)</f>
        <v>404006</v>
      </c>
      <c r="I126" s="220">
        <f>ROUND(C126/1000,0)</f>
        <v>296063</v>
      </c>
      <c r="J126" s="683">
        <f>SUM(J127:J129)</f>
        <v>292448</v>
      </c>
      <c r="K126" s="251">
        <f aca="true" t="shared" si="20" ref="K126:K131">J126/H126*100</f>
        <v>72.3870437567759</v>
      </c>
      <c r="L126" s="249">
        <f>SUM(L127:L129)</f>
        <v>31206</v>
      </c>
    </row>
    <row r="127" spans="1:12" ht="12.75" customHeight="1">
      <c r="A127" s="252" t="s">
        <v>42</v>
      </c>
      <c r="B127" s="259">
        <v>381116067</v>
      </c>
      <c r="C127" s="260"/>
      <c r="D127" s="260">
        <v>274842830</v>
      </c>
      <c r="E127" s="247">
        <f t="shared" si="19"/>
        <v>72.1152566889813</v>
      </c>
      <c r="F127" s="249">
        <f>D127-'[6]Augusts'!D127</f>
        <v>29336347</v>
      </c>
      <c r="G127" s="252" t="s">
        <v>42</v>
      </c>
      <c r="H127" s="220">
        <f>ROUND(B127/1000,0)</f>
        <v>381116</v>
      </c>
      <c r="I127" s="220"/>
      <c r="J127" s="683">
        <f>ROUND(D127/1000,0)</f>
        <v>274843</v>
      </c>
      <c r="K127" s="251">
        <f t="shared" si="20"/>
        <v>72.11531397264875</v>
      </c>
      <c r="L127" s="249">
        <f>J127-'[6]Augusts'!J127</f>
        <v>29337</v>
      </c>
    </row>
    <row r="128" spans="1:12" ht="12.75" customHeight="1">
      <c r="A128" s="252" t="s">
        <v>43</v>
      </c>
      <c r="B128" s="259">
        <v>3958763</v>
      </c>
      <c r="C128" s="260"/>
      <c r="D128" s="260">
        <v>2916009</v>
      </c>
      <c r="E128" s="247">
        <f t="shared" si="19"/>
        <v>73.65960023370937</v>
      </c>
      <c r="F128" s="249">
        <f>D128-'[6]Augusts'!D128</f>
        <v>349691</v>
      </c>
      <c r="G128" s="252" t="s">
        <v>43</v>
      </c>
      <c r="H128" s="220">
        <f>ROUND(B128/1000,0)</f>
        <v>3959</v>
      </c>
      <c r="I128" s="220"/>
      <c r="J128" s="683">
        <f>ROUND(D128/1000,0)</f>
        <v>2916</v>
      </c>
      <c r="K128" s="251">
        <f t="shared" si="20"/>
        <v>73.65496337458954</v>
      </c>
      <c r="L128" s="249">
        <f>J128-'[6]Augusts'!J128</f>
        <v>350</v>
      </c>
    </row>
    <row r="129" spans="1:12" ht="12.75" customHeight="1">
      <c r="A129" s="252" t="s">
        <v>44</v>
      </c>
      <c r="B129" s="259">
        <f>22889923-B128</f>
        <v>18931160</v>
      </c>
      <c r="C129" s="260"/>
      <c r="D129" s="260">
        <f>17605114-D128</f>
        <v>14689105</v>
      </c>
      <c r="E129" s="247">
        <f t="shared" si="19"/>
        <v>77.59220776751134</v>
      </c>
      <c r="F129" s="249">
        <f>D129-'[6]Augusts'!D129</f>
        <v>1519302</v>
      </c>
      <c r="G129" s="252" t="s">
        <v>44</v>
      </c>
      <c r="H129" s="220">
        <f>ROUND(B129/1000,0)</f>
        <v>18931</v>
      </c>
      <c r="I129" s="220"/>
      <c r="J129" s="683">
        <f>ROUND(D129/1000,0)</f>
        <v>14689</v>
      </c>
      <c r="K129" s="251">
        <f t="shared" si="20"/>
        <v>77.59230891130949</v>
      </c>
      <c r="L129" s="249">
        <f>J129-'[6]Augusts'!J129</f>
        <v>1519</v>
      </c>
    </row>
    <row r="130" spans="1:12" ht="12.75" customHeight="1">
      <c r="A130" s="218" t="s">
        <v>2</v>
      </c>
      <c r="B130" s="249">
        <f>B131</f>
        <v>420646538</v>
      </c>
      <c r="C130" s="249">
        <f>C131</f>
        <v>312129600</v>
      </c>
      <c r="D130" s="249">
        <f>D131</f>
        <v>297739960</v>
      </c>
      <c r="E130" s="247">
        <f t="shared" si="19"/>
        <v>70.78150729960365</v>
      </c>
      <c r="F130" s="250">
        <f>F131</f>
        <v>28921465</v>
      </c>
      <c r="G130" s="218" t="s">
        <v>2</v>
      </c>
      <c r="H130" s="249">
        <f>H131</f>
        <v>420647</v>
      </c>
      <c r="I130" s="250">
        <f>I131</f>
        <v>312130</v>
      </c>
      <c r="J130" s="683">
        <f>J131</f>
        <v>297740</v>
      </c>
      <c r="K130" s="251">
        <f t="shared" si="20"/>
        <v>70.78143906886297</v>
      </c>
      <c r="L130" s="250">
        <f>L131</f>
        <v>28922</v>
      </c>
    </row>
    <row r="131" spans="1:12" ht="12.75" customHeight="1">
      <c r="A131" s="252" t="s">
        <v>47</v>
      </c>
      <c r="B131" s="259">
        <v>420646538</v>
      </c>
      <c r="C131" s="260">
        <f>37274115+35396966+33400791+35356641+35354519+33315640+36283505+34346538+31400885</f>
        <v>312129600</v>
      </c>
      <c r="D131" s="260">
        <v>297739960</v>
      </c>
      <c r="E131" s="247">
        <f t="shared" si="19"/>
        <v>70.78150729960365</v>
      </c>
      <c r="F131" s="249">
        <f>D131-'[6]Augusts'!D131</f>
        <v>28921465</v>
      </c>
      <c r="G131" s="252" t="s">
        <v>47</v>
      </c>
      <c r="H131" s="220">
        <f>ROUND(B131/1000,0)</f>
        <v>420647</v>
      </c>
      <c r="I131" s="220">
        <f>ROUND(C131/1000,0)</f>
        <v>312130</v>
      </c>
      <c r="J131" s="683">
        <f>ROUND(D131/1000,0)</f>
        <v>297740</v>
      </c>
      <c r="K131" s="251">
        <f t="shared" si="20"/>
        <v>70.78143906886297</v>
      </c>
      <c r="L131" s="249">
        <f>J131-'[6]Augusts'!J131</f>
        <v>28922</v>
      </c>
    </row>
    <row r="132" spans="1:12" ht="12.75" customHeight="1">
      <c r="A132" s="218" t="s">
        <v>878</v>
      </c>
      <c r="B132" s="220">
        <f>B126-B130</f>
        <v>-16640548</v>
      </c>
      <c r="C132" s="220">
        <f>C126-C130</f>
        <v>-16066162</v>
      </c>
      <c r="D132" s="220">
        <f>D126-D130</f>
        <v>-5292016</v>
      </c>
      <c r="E132" s="247">
        <f t="shared" si="19"/>
        <v>31.801933445941806</v>
      </c>
      <c r="F132" s="249">
        <f>F126-F130</f>
        <v>2283875</v>
      </c>
      <c r="G132" s="218" t="s">
        <v>878</v>
      </c>
      <c r="H132" s="220">
        <f>H126-H130</f>
        <v>-16641</v>
      </c>
      <c r="I132" s="220">
        <f>ROUND(C132/1000,0)</f>
        <v>-16066</v>
      </c>
      <c r="J132" s="683">
        <f>J126-J130</f>
        <v>-5292</v>
      </c>
      <c r="K132" s="251"/>
      <c r="L132" s="249">
        <f>L126-L130</f>
        <v>2284</v>
      </c>
    </row>
    <row r="133" spans="1:12" ht="12.75" customHeight="1">
      <c r="A133" s="218" t="s">
        <v>27</v>
      </c>
      <c r="B133" s="220">
        <v>16640548</v>
      </c>
      <c r="C133" s="250">
        <f>7361575+4794702+1314694+2805813+1178565-667428+1549701+340132-2611592</f>
        <v>16066162</v>
      </c>
      <c r="D133" s="250">
        <v>5296350</v>
      </c>
      <c r="E133" s="247">
        <f t="shared" si="19"/>
        <v>31.827978261292838</v>
      </c>
      <c r="F133" s="249">
        <f>D133-'[6]Augusts'!D133</f>
        <v>-2282774</v>
      </c>
      <c r="G133" s="218" t="s">
        <v>27</v>
      </c>
      <c r="H133" s="220">
        <f>ROUND(B133/1000,0)</f>
        <v>16641</v>
      </c>
      <c r="I133" s="220">
        <f>ROUND(C133/1000,0)</f>
        <v>16066</v>
      </c>
      <c r="J133" s="683">
        <f>ROUND(D133/1000,0)+1</f>
        <v>5297</v>
      </c>
      <c r="K133" s="251">
        <f>J133/H133*100</f>
        <v>31.83101977044649</v>
      </c>
      <c r="L133" s="249">
        <f>J133-'[6]Augusts'!J133</f>
        <v>-2282</v>
      </c>
    </row>
    <row r="134" spans="1:12" ht="12.75" customHeight="1">
      <c r="A134" s="212" t="s">
        <v>48</v>
      </c>
      <c r="B134" s="249"/>
      <c r="C134" s="249"/>
      <c r="D134" s="249"/>
      <c r="E134" s="247"/>
      <c r="F134" s="249"/>
      <c r="G134" s="212" t="s">
        <v>48</v>
      </c>
      <c r="H134" s="249"/>
      <c r="I134" s="220"/>
      <c r="J134" s="683"/>
      <c r="K134" s="251"/>
      <c r="L134" s="249"/>
    </row>
    <row r="135" spans="1:12" ht="12.75" customHeight="1">
      <c r="A135" s="218" t="s">
        <v>0</v>
      </c>
      <c r="B135" s="249">
        <f>SUM(B136:B138)</f>
        <v>33701584</v>
      </c>
      <c r="C135" s="253">
        <f>3339472+3396859+2514169+2553669+2682912+2666825+2726758+2667908+2668791</f>
        <v>25217363</v>
      </c>
      <c r="D135" s="249">
        <f>SUM(D136:D138)</f>
        <v>24510822</v>
      </c>
      <c r="E135" s="247">
        <f aca="true" t="shared" si="21" ref="E135:E141">D135/B135*100</f>
        <v>72.72899101715812</v>
      </c>
      <c r="F135" s="249">
        <f>SUM(F136:F138)</f>
        <v>2402325</v>
      </c>
      <c r="G135" s="218" t="s">
        <v>0</v>
      </c>
      <c r="H135" s="249">
        <f>SUM(H136:H138)</f>
        <v>33701</v>
      </c>
      <c r="I135" s="220">
        <f>ROUND(C135/1000,0)</f>
        <v>25217</v>
      </c>
      <c r="J135" s="683">
        <f>SUM(J136:J138)</f>
        <v>24511</v>
      </c>
      <c r="K135" s="251">
        <f aca="true" t="shared" si="22" ref="K135:K140">J135/H135*100</f>
        <v>72.73077950209192</v>
      </c>
      <c r="L135" s="249">
        <f>SUM(L136:L138)</f>
        <v>2402</v>
      </c>
    </row>
    <row r="136" spans="1:12" ht="12.75" customHeight="1">
      <c r="A136" s="252" t="s">
        <v>42</v>
      </c>
      <c r="B136" s="259">
        <v>30619372</v>
      </c>
      <c r="C136" s="260"/>
      <c r="D136" s="260">
        <v>21769166</v>
      </c>
      <c r="E136" s="247">
        <f t="shared" si="21"/>
        <v>71.09605644426672</v>
      </c>
      <c r="F136" s="249">
        <f>D136-'[6]Augusts'!D136</f>
        <v>2330103</v>
      </c>
      <c r="G136" s="252" t="s">
        <v>42</v>
      </c>
      <c r="H136" s="220">
        <f>ROUND(B136/1000,0)</f>
        <v>30619</v>
      </c>
      <c r="I136" s="220"/>
      <c r="J136" s="683">
        <f>ROUND(D136/1000,0)</f>
        <v>21769</v>
      </c>
      <c r="K136" s="251">
        <f t="shared" si="22"/>
        <v>71.09637806590679</v>
      </c>
      <c r="L136" s="249">
        <f>J136-'[6]Augusts'!J136</f>
        <v>2330</v>
      </c>
    </row>
    <row r="137" spans="1:12" ht="12.75" customHeight="1">
      <c r="A137" s="252" t="s">
        <v>43</v>
      </c>
      <c r="B137" s="259">
        <v>443931</v>
      </c>
      <c r="C137" s="260"/>
      <c r="D137" s="260">
        <v>319630</v>
      </c>
      <c r="E137" s="247">
        <f t="shared" si="21"/>
        <v>71.9999279167258</v>
      </c>
      <c r="F137" s="249">
        <f>D137-'[6]Augusts'!D137</f>
        <v>39326</v>
      </c>
      <c r="G137" s="252" t="s">
        <v>43</v>
      </c>
      <c r="H137" s="220">
        <f>ROUND(B137/1000,0)</f>
        <v>444</v>
      </c>
      <c r="I137" s="220"/>
      <c r="J137" s="683">
        <f>ROUND(D137/1000,0)</f>
        <v>320</v>
      </c>
      <c r="K137" s="251">
        <f t="shared" si="22"/>
        <v>72.07207207207207</v>
      </c>
      <c r="L137" s="249">
        <f>J137-'[6]Augusts'!J137</f>
        <v>40</v>
      </c>
    </row>
    <row r="138" spans="1:12" ht="12.75" customHeight="1">
      <c r="A138" s="252" t="s">
        <v>44</v>
      </c>
      <c r="B138" s="259">
        <f>3082212-B137</f>
        <v>2638281</v>
      </c>
      <c r="C138" s="260"/>
      <c r="D138" s="260">
        <f>2741656-D137</f>
        <v>2422026</v>
      </c>
      <c r="E138" s="247">
        <f t="shared" si="21"/>
        <v>91.8031854832749</v>
      </c>
      <c r="F138" s="249">
        <f>D138-'[6]Augusts'!D138</f>
        <v>32896</v>
      </c>
      <c r="G138" s="252" t="s">
        <v>44</v>
      </c>
      <c r="H138" s="220">
        <f>ROUND(B138/1000,0)</f>
        <v>2638</v>
      </c>
      <c r="I138" s="220"/>
      <c r="J138" s="683">
        <f>ROUND(D138/1000,0)</f>
        <v>2422</v>
      </c>
      <c r="K138" s="251">
        <f t="shared" si="22"/>
        <v>91.81197877179682</v>
      </c>
      <c r="L138" s="249">
        <f>J138-'[6]Augusts'!J138</f>
        <v>32</v>
      </c>
    </row>
    <row r="139" spans="1:12" ht="12.75" customHeight="1">
      <c r="A139" s="218" t="s">
        <v>2</v>
      </c>
      <c r="B139" s="249">
        <f>B140</f>
        <v>34362196</v>
      </c>
      <c r="C139" s="249">
        <f>C140</f>
        <v>25714779</v>
      </c>
      <c r="D139" s="249">
        <f>D140</f>
        <v>21837008</v>
      </c>
      <c r="E139" s="247">
        <f t="shared" si="21"/>
        <v>63.54951237691561</v>
      </c>
      <c r="F139" s="249">
        <f>D139-'[6]Augusts'!D139</f>
        <v>2489679</v>
      </c>
      <c r="G139" s="218" t="s">
        <v>2</v>
      </c>
      <c r="H139" s="249">
        <f>H140</f>
        <v>34362</v>
      </c>
      <c r="I139" s="220">
        <f>ROUND(C139/1000,0)</f>
        <v>25715</v>
      </c>
      <c r="J139" s="683">
        <f>J140</f>
        <v>21837</v>
      </c>
      <c r="K139" s="251">
        <f t="shared" si="22"/>
        <v>63.549851580233984</v>
      </c>
      <c r="L139" s="249">
        <f>J139-'[6]Augusts'!J139</f>
        <v>2490</v>
      </c>
    </row>
    <row r="140" spans="1:12" ht="12.75" customHeight="1">
      <c r="A140" s="252" t="s">
        <v>47</v>
      </c>
      <c r="B140" s="259">
        <v>34362196</v>
      </c>
      <c r="C140" s="260">
        <f>2584412+2945732+2933079+2871294+2887008+2872571+2873174+2881068+2866441</f>
        <v>25714779</v>
      </c>
      <c r="D140" s="260">
        <v>21837008</v>
      </c>
      <c r="E140" s="247">
        <f t="shared" si="21"/>
        <v>63.54951237691561</v>
      </c>
      <c r="F140" s="249">
        <f>D140-'[6]Augusts'!D140</f>
        <v>2489679</v>
      </c>
      <c r="G140" s="252" t="s">
        <v>47</v>
      </c>
      <c r="H140" s="220">
        <f>ROUND(B140/1000,0)</f>
        <v>34362</v>
      </c>
      <c r="I140" s="220">
        <f>ROUND(C140/1000,0)</f>
        <v>25715</v>
      </c>
      <c r="J140" s="683">
        <f>ROUND(D140/1000,0)</f>
        <v>21837</v>
      </c>
      <c r="K140" s="251">
        <f t="shared" si="22"/>
        <v>63.549851580233984</v>
      </c>
      <c r="L140" s="249">
        <f>J140-'[6]Augusts'!J140</f>
        <v>2490</v>
      </c>
    </row>
    <row r="141" spans="1:12" ht="12.75" customHeight="1">
      <c r="A141" s="218" t="s">
        <v>878</v>
      </c>
      <c r="B141" s="249">
        <f>B135-B139</f>
        <v>-660612</v>
      </c>
      <c r="C141" s="249">
        <f>C135-C139</f>
        <v>-497416</v>
      </c>
      <c r="D141" s="249">
        <f>D135-D139</f>
        <v>2673814</v>
      </c>
      <c r="E141" s="247">
        <f t="shared" si="21"/>
        <v>-404.7480215315495</v>
      </c>
      <c r="F141" s="249">
        <f>D141-'[6]Augusts'!D141</f>
        <v>-87354</v>
      </c>
      <c r="G141" s="218" t="s">
        <v>878</v>
      </c>
      <c r="H141" s="249">
        <f>H135-H139</f>
        <v>-661</v>
      </c>
      <c r="I141" s="220">
        <f>ROUND(C141/1000,0)</f>
        <v>-497</v>
      </c>
      <c r="J141" s="683">
        <f>J135-J139</f>
        <v>2674</v>
      </c>
      <c r="K141" s="251"/>
      <c r="L141" s="249">
        <f>J141-'[6]Augusts'!J141</f>
        <v>-88</v>
      </c>
    </row>
    <row r="142" spans="1:12" s="688" customFormat="1" ht="12.75" customHeight="1" hidden="1">
      <c r="A142" s="125" t="s">
        <v>27</v>
      </c>
      <c r="B142" s="681"/>
      <c r="C142" s="682">
        <v>86606</v>
      </c>
      <c r="D142" s="682"/>
      <c r="E142" s="685"/>
      <c r="F142" s="681">
        <v>146416</v>
      </c>
      <c r="G142" s="125" t="s">
        <v>27</v>
      </c>
      <c r="H142" s="686">
        <f>ROUND(B142/1000,0)</f>
        <v>0</v>
      </c>
      <c r="I142" s="686">
        <f>ROUND(C142/1000,0)</f>
        <v>87</v>
      </c>
      <c r="J142" s="683">
        <f>ROUND(D142/1000,0)</f>
        <v>0</v>
      </c>
      <c r="K142" s="687"/>
      <c r="L142" s="681">
        <v>146</v>
      </c>
    </row>
    <row r="143" spans="1:12" ht="12.75" customHeight="1">
      <c r="A143" s="212" t="s">
        <v>49</v>
      </c>
      <c r="B143" s="249"/>
      <c r="C143" s="249"/>
      <c r="D143" s="249"/>
      <c r="E143" s="247"/>
      <c r="F143" s="249"/>
      <c r="G143" s="212" t="s">
        <v>49</v>
      </c>
      <c r="H143" s="249"/>
      <c r="I143" s="220"/>
      <c r="J143" s="683"/>
      <c r="K143" s="251"/>
      <c r="L143" s="249"/>
    </row>
    <row r="144" spans="1:12" ht="12.75" customHeight="1">
      <c r="A144" s="218" t="s">
        <v>0</v>
      </c>
      <c r="B144" s="249">
        <f>SUM(B145:B146)</f>
        <v>1323732</v>
      </c>
      <c r="C144" s="253">
        <f>97688+99893+105015+106335+112018+111373+113973+111523+111516</f>
        <v>969334</v>
      </c>
      <c r="D144" s="249">
        <f>SUM(D145:D146)</f>
        <v>934223</v>
      </c>
      <c r="E144" s="247">
        <f aca="true" t="shared" si="23" ref="E144:E149">D144/B144*100</f>
        <v>70.57493510771063</v>
      </c>
      <c r="F144" s="249">
        <f>D144-'[6]Augusts'!D144</f>
        <v>99154</v>
      </c>
      <c r="G144" s="218" t="s">
        <v>0</v>
      </c>
      <c r="H144" s="249">
        <f>SUM(H145:H146)</f>
        <v>1324</v>
      </c>
      <c r="I144" s="220">
        <f>ROUND(C144/1000,0)</f>
        <v>969</v>
      </c>
      <c r="J144" s="683">
        <f>SUM(J145:J146)</f>
        <v>934</v>
      </c>
      <c r="K144" s="251">
        <f>J144/H144*100</f>
        <v>70.54380664652568</v>
      </c>
      <c r="L144" s="249">
        <f>J144-'[6]Augusts'!J144</f>
        <v>100</v>
      </c>
    </row>
    <row r="145" spans="1:12" ht="12.75" customHeight="1">
      <c r="A145" s="252" t="s">
        <v>42</v>
      </c>
      <c r="B145" s="259">
        <v>1302952</v>
      </c>
      <c r="C145" s="260"/>
      <c r="D145" s="260">
        <v>926348</v>
      </c>
      <c r="E145" s="247">
        <f t="shared" si="23"/>
        <v>71.09609563514235</v>
      </c>
      <c r="F145" s="249">
        <f>D145-'[6]Augusts'!D145</f>
        <v>99154</v>
      </c>
      <c r="G145" s="252" t="s">
        <v>42</v>
      </c>
      <c r="H145" s="220">
        <f>ROUND(B145/1000,0)</f>
        <v>1303</v>
      </c>
      <c r="I145" s="220"/>
      <c r="J145" s="683">
        <f>ROUND(D145/1000,0)</f>
        <v>926</v>
      </c>
      <c r="K145" s="251">
        <f>J145/H145*100</f>
        <v>71.06676899462778</v>
      </c>
      <c r="L145" s="249">
        <f>J145-'[6]Augusts'!J145</f>
        <v>100</v>
      </c>
    </row>
    <row r="146" spans="1:12" ht="12.75" customHeight="1">
      <c r="A146" s="252" t="s">
        <v>44</v>
      </c>
      <c r="B146" s="259">
        <v>20780</v>
      </c>
      <c r="C146" s="260"/>
      <c r="D146" s="260">
        <v>7875</v>
      </c>
      <c r="E146" s="247">
        <f t="shared" si="23"/>
        <v>37.89701636188643</v>
      </c>
      <c r="F146" s="249">
        <f>D146-'[6]Augusts'!D146</f>
        <v>0</v>
      </c>
      <c r="G146" s="252" t="s">
        <v>44</v>
      </c>
      <c r="H146" s="220">
        <f>ROUND(B146/1000,0)</f>
        <v>21</v>
      </c>
      <c r="I146" s="220"/>
      <c r="J146" s="683">
        <f>ROUND(D146/1000,0)</f>
        <v>8</v>
      </c>
      <c r="K146" s="251">
        <f>J146/H146*100</f>
        <v>38.095238095238095</v>
      </c>
      <c r="L146" s="249">
        <f>J146-'[6]Augusts'!J146</f>
        <v>0</v>
      </c>
    </row>
    <row r="147" spans="1:12" ht="12.75" customHeight="1">
      <c r="A147" s="218" t="s">
        <v>2</v>
      </c>
      <c r="B147" s="249">
        <f>B148</f>
        <v>1260837</v>
      </c>
      <c r="C147" s="249">
        <f>C148</f>
        <v>813850</v>
      </c>
      <c r="D147" s="249">
        <f>D148</f>
        <v>745865</v>
      </c>
      <c r="E147" s="247">
        <f t="shared" si="23"/>
        <v>59.15633821025239</v>
      </c>
      <c r="F147" s="249">
        <f>D147-'[6]Augusts'!D147</f>
        <v>90915</v>
      </c>
      <c r="G147" s="218" t="s">
        <v>2</v>
      </c>
      <c r="H147" s="249">
        <f>H148</f>
        <v>1261</v>
      </c>
      <c r="I147" s="250">
        <f>I148</f>
        <v>814</v>
      </c>
      <c r="J147" s="683">
        <f>J148</f>
        <v>746</v>
      </c>
      <c r="K147" s="251">
        <f>J147/H147*100</f>
        <v>59.159397303727204</v>
      </c>
      <c r="L147" s="249">
        <f>J147-'[6]Augusts'!J147</f>
        <v>91</v>
      </c>
    </row>
    <row r="148" spans="1:12" ht="12.75" customHeight="1">
      <c r="A148" s="252" t="s">
        <v>47</v>
      </c>
      <c r="B148" s="259">
        <v>1260837</v>
      </c>
      <c r="C148" s="260">
        <f>93302+96381+85502+85729+91309+92697+91136+88960+88834</f>
        <v>813850</v>
      </c>
      <c r="D148" s="260">
        <v>745865</v>
      </c>
      <c r="E148" s="247">
        <f t="shared" si="23"/>
        <v>59.15633821025239</v>
      </c>
      <c r="F148" s="249">
        <f>D148-'[6]Augusts'!D148</f>
        <v>90915</v>
      </c>
      <c r="G148" s="252" t="s">
        <v>47</v>
      </c>
      <c r="H148" s="220">
        <f>ROUND(B148/1000,0)</f>
        <v>1261</v>
      </c>
      <c r="I148" s="220">
        <f>ROUND(C148/1000,0)</f>
        <v>814</v>
      </c>
      <c r="J148" s="683">
        <f>ROUND(D148/1000,0)</f>
        <v>746</v>
      </c>
      <c r="K148" s="251">
        <f>J148/H148*100</f>
        <v>59.159397303727204</v>
      </c>
      <c r="L148" s="249">
        <f>J148-'[6]Augusts'!J148</f>
        <v>91</v>
      </c>
    </row>
    <row r="149" spans="1:12" ht="12.75" customHeight="1">
      <c r="A149" s="218" t="s">
        <v>878</v>
      </c>
      <c r="B149" s="249">
        <f>B144-B147</f>
        <v>62895</v>
      </c>
      <c r="C149" s="249">
        <f>C144-C147</f>
        <v>155484</v>
      </c>
      <c r="D149" s="249">
        <f>D144-D147</f>
        <v>188358</v>
      </c>
      <c r="E149" s="247">
        <f t="shared" si="23"/>
        <v>299.48008585738137</v>
      </c>
      <c r="F149" s="249">
        <f>D149-'[6]Augusts'!D149</f>
        <v>8239</v>
      </c>
      <c r="G149" s="218" t="s">
        <v>878</v>
      </c>
      <c r="H149" s="249">
        <f>H144-H147</f>
        <v>63</v>
      </c>
      <c r="I149" s="220">
        <f>ROUND(C149/1000,0)</f>
        <v>155</v>
      </c>
      <c r="J149" s="683">
        <f>J144-J147</f>
        <v>188</v>
      </c>
      <c r="K149" s="251"/>
      <c r="L149" s="249">
        <f>J149-'[6]Augusts'!J149</f>
        <v>9</v>
      </c>
    </row>
    <row r="150" spans="1:12" ht="25.5">
      <c r="A150" s="92" t="s">
        <v>50</v>
      </c>
      <c r="B150" s="249"/>
      <c r="C150" s="249"/>
      <c r="D150" s="249"/>
      <c r="E150" s="247"/>
      <c r="F150" s="249"/>
      <c r="G150" s="92" t="s">
        <v>50</v>
      </c>
      <c r="H150" s="249"/>
      <c r="I150" s="220"/>
      <c r="J150" s="683"/>
      <c r="K150" s="251"/>
      <c r="L150" s="249"/>
    </row>
    <row r="151" spans="1:12" ht="12.75" customHeight="1">
      <c r="A151" s="218" t="s">
        <v>0</v>
      </c>
      <c r="B151" s="249">
        <f>SUM(B152:B153)</f>
        <v>82726409</v>
      </c>
      <c r="C151" s="253">
        <f>6094293+6233924+6558403+6641974+7002035+6961149+7125853+6970612+6970206</f>
        <v>60558449</v>
      </c>
      <c r="D151" s="249">
        <f>SUM(D152:D153)</f>
        <v>59002466</v>
      </c>
      <c r="E151" s="247">
        <f aca="true" t="shared" si="24" ref="E151:E157">D151/B151*100</f>
        <v>71.32240685075548</v>
      </c>
      <c r="F151" s="249">
        <f>D151-'[6]Augusts'!D151</f>
        <v>6293560</v>
      </c>
      <c r="G151" s="218" t="s">
        <v>0</v>
      </c>
      <c r="H151" s="249">
        <f>SUM(H152:H153)</f>
        <v>82726</v>
      </c>
      <c r="I151" s="220">
        <f>ROUND(C151/1000,0)</f>
        <v>60558</v>
      </c>
      <c r="J151" s="683">
        <f>SUM(J152:J153)</f>
        <v>59003</v>
      </c>
      <c r="K151" s="251">
        <f aca="true" t="shared" si="25" ref="K151:K157">J151/H151*100</f>
        <v>71.32340497546116</v>
      </c>
      <c r="L151" s="249">
        <f>J151-'[6]Augusts'!J151</f>
        <v>6294</v>
      </c>
    </row>
    <row r="152" spans="1:12" ht="12.75" customHeight="1">
      <c r="A152" s="252" t="s">
        <v>42</v>
      </c>
      <c r="B152" s="259">
        <v>82546999</v>
      </c>
      <c r="C152" s="260"/>
      <c r="D152" s="260">
        <v>58680551</v>
      </c>
      <c r="E152" s="247">
        <f t="shared" si="24"/>
        <v>71.08744316677097</v>
      </c>
      <c r="F152" s="249">
        <f>D152-'[6]Augusts'!D152</f>
        <v>6280981</v>
      </c>
      <c r="G152" s="252" t="s">
        <v>42</v>
      </c>
      <c r="H152" s="220">
        <f>ROUND(B152/1000,0)</f>
        <v>82547</v>
      </c>
      <c r="I152" s="220"/>
      <c r="J152" s="683">
        <f>ROUND(D152/1000,0)</f>
        <v>58681</v>
      </c>
      <c r="K152" s="251">
        <f t="shared" si="25"/>
        <v>71.08798623814312</v>
      </c>
      <c r="L152" s="249">
        <f>J152-'[6]Augusts'!J152</f>
        <v>6281</v>
      </c>
    </row>
    <row r="153" spans="1:12" ht="12.75" customHeight="1">
      <c r="A153" s="252" t="s">
        <v>44</v>
      </c>
      <c r="B153" s="259">
        <v>179410</v>
      </c>
      <c r="C153" s="260"/>
      <c r="D153" s="260">
        <v>321915</v>
      </c>
      <c r="E153" s="247">
        <f t="shared" si="24"/>
        <v>179.42979767014103</v>
      </c>
      <c r="F153" s="249">
        <f>D153-'[6]Augusts'!D153</f>
        <v>12579</v>
      </c>
      <c r="G153" s="252" t="s">
        <v>44</v>
      </c>
      <c r="H153" s="220">
        <f>ROUND(B153/1000,0)</f>
        <v>179</v>
      </c>
      <c r="I153" s="220"/>
      <c r="J153" s="683">
        <f>ROUND(D153/1000,0)</f>
        <v>322</v>
      </c>
      <c r="K153" s="251">
        <f t="shared" si="25"/>
        <v>179.88826815642457</v>
      </c>
      <c r="L153" s="249">
        <f>J153-'[6]Augusts'!J153</f>
        <v>13</v>
      </c>
    </row>
    <row r="154" spans="1:12" ht="12.75" customHeight="1">
      <c r="A154" s="218" t="s">
        <v>2</v>
      </c>
      <c r="B154" s="249">
        <f>B155</f>
        <v>91531353</v>
      </c>
      <c r="C154" s="249">
        <f>C155</f>
        <v>68662230</v>
      </c>
      <c r="D154" s="249">
        <f>D155</f>
        <v>65396801</v>
      </c>
      <c r="E154" s="247">
        <f t="shared" si="24"/>
        <v>71.4474317887555</v>
      </c>
      <c r="F154" s="249">
        <f>D154-'[6]Augusts'!D154</f>
        <v>6582597</v>
      </c>
      <c r="G154" s="218" t="s">
        <v>2</v>
      </c>
      <c r="H154" s="249">
        <f>H155</f>
        <v>91531</v>
      </c>
      <c r="I154" s="220">
        <f>ROUND(C154/1000,0)</f>
        <v>68662</v>
      </c>
      <c r="J154" s="683">
        <f>J155</f>
        <v>65397</v>
      </c>
      <c r="K154" s="251">
        <f t="shared" si="25"/>
        <v>71.44792474680709</v>
      </c>
      <c r="L154" s="249">
        <f>J154-'[6]Augusts'!J154</f>
        <v>6583</v>
      </c>
    </row>
    <row r="155" spans="1:12" ht="12.75" customHeight="1">
      <c r="A155" s="252" t="s">
        <v>47</v>
      </c>
      <c r="B155" s="259">
        <v>91531353</v>
      </c>
      <c r="C155" s="260">
        <f>7788524+7918298+7754776+7945134+7521575+7499131+7556300+7405473+7273019</f>
        <v>68662230</v>
      </c>
      <c r="D155" s="260">
        <v>65396801</v>
      </c>
      <c r="E155" s="247">
        <f t="shared" si="24"/>
        <v>71.4474317887555</v>
      </c>
      <c r="F155" s="249">
        <f>D155-'[6]Augusts'!D155</f>
        <v>6582597</v>
      </c>
      <c r="G155" s="252" t="s">
        <v>47</v>
      </c>
      <c r="H155" s="220">
        <f>ROUND(B155/1000,0)</f>
        <v>91531</v>
      </c>
      <c r="I155" s="220">
        <f>ROUND(C155/1000,0)</f>
        <v>68662</v>
      </c>
      <c r="J155" s="683">
        <f>ROUND(D155/1000,0)</f>
        <v>65397</v>
      </c>
      <c r="K155" s="251">
        <f t="shared" si="25"/>
        <v>71.44792474680709</v>
      </c>
      <c r="L155" s="249">
        <f>J155-'[6]Augusts'!J155</f>
        <v>6583</v>
      </c>
    </row>
    <row r="156" spans="1:12" ht="12.75" customHeight="1">
      <c r="A156" s="218" t="s">
        <v>878</v>
      </c>
      <c r="B156" s="249">
        <f>B151-B154</f>
        <v>-8804944</v>
      </c>
      <c r="C156" s="249">
        <f>C151-C154</f>
        <v>-8103781</v>
      </c>
      <c r="D156" s="249">
        <f>D151-D154</f>
        <v>-6394335</v>
      </c>
      <c r="E156" s="247">
        <f t="shared" si="24"/>
        <v>72.62209731260074</v>
      </c>
      <c r="F156" s="249">
        <f>D156-'[6]Augusts'!D156</f>
        <v>-289037</v>
      </c>
      <c r="G156" s="218" t="s">
        <v>878</v>
      </c>
      <c r="H156" s="249">
        <f>H151-H154</f>
        <v>-8805</v>
      </c>
      <c r="I156" s="220">
        <f>ROUND(C156/1000,0)</f>
        <v>-8104</v>
      </c>
      <c r="J156" s="683">
        <f>J151-J154</f>
        <v>-6394</v>
      </c>
      <c r="K156" s="251">
        <f t="shared" si="25"/>
        <v>72.61783077796706</v>
      </c>
      <c r="L156" s="249">
        <f>J156-'[6]Augusts'!J156</f>
        <v>-289</v>
      </c>
    </row>
    <row r="157" spans="1:12" ht="12.75" customHeight="1">
      <c r="A157" s="218" t="s">
        <v>27</v>
      </c>
      <c r="B157" s="220">
        <v>8804944</v>
      </c>
      <c r="C157" s="250">
        <f>1694231+1684374+1196373+1303160+519540+537982+430447+434861+302813</f>
        <v>8103781</v>
      </c>
      <c r="D157" s="250">
        <v>6394405</v>
      </c>
      <c r="E157" s="247">
        <f t="shared" si="24"/>
        <v>72.6228923204963</v>
      </c>
      <c r="F157" s="249">
        <f>D157-'[6]Augusts'!D157</f>
        <v>288934</v>
      </c>
      <c r="G157" s="218" t="s">
        <v>27</v>
      </c>
      <c r="H157" s="220">
        <f>ROUND(B157/1000,0)</f>
        <v>8805</v>
      </c>
      <c r="I157" s="220">
        <f>ROUND(C157/1000,0)</f>
        <v>8104</v>
      </c>
      <c r="J157" s="683">
        <f>ROUND(D157/1000,0)</f>
        <v>6394</v>
      </c>
      <c r="K157" s="251">
        <f t="shared" si="25"/>
        <v>72.61783077796706</v>
      </c>
      <c r="L157" s="249">
        <f>J157-'[6]Augusts'!J157</f>
        <v>289</v>
      </c>
    </row>
    <row r="158" spans="1:12" ht="25.5">
      <c r="A158" s="128" t="s">
        <v>51</v>
      </c>
      <c r="B158" s="249"/>
      <c r="C158" s="249"/>
      <c r="D158" s="249"/>
      <c r="E158" s="247"/>
      <c r="F158" s="249"/>
      <c r="G158" s="92" t="s">
        <v>51</v>
      </c>
      <c r="H158" s="249"/>
      <c r="I158" s="220"/>
      <c r="J158" s="683"/>
      <c r="K158" s="251"/>
      <c r="L158" s="249"/>
    </row>
    <row r="159" spans="1:12" ht="12.75" customHeight="1">
      <c r="A159" s="218" t="s">
        <v>0</v>
      </c>
      <c r="B159" s="249">
        <f>SUM(B160:B161)</f>
        <v>10029047</v>
      </c>
      <c r="C159" s="253">
        <f>591852+775370+827390+788270+939160+955370+857500+848929+819720</f>
        <v>7403561</v>
      </c>
      <c r="D159" s="249">
        <f>SUM(D160:D161)</f>
        <v>7123560</v>
      </c>
      <c r="E159" s="247">
        <f aca="true" t="shared" si="26" ref="E159:E167">D159/B159*100</f>
        <v>71.02928124676254</v>
      </c>
      <c r="F159" s="249">
        <f>D159-'[6]Augusts'!D159</f>
        <v>769719</v>
      </c>
      <c r="G159" s="218" t="s">
        <v>0</v>
      </c>
      <c r="H159" s="249">
        <f>SUM(H160:H161)</f>
        <v>10029</v>
      </c>
      <c r="I159" s="220">
        <f>ROUND(C159/1000,0)</f>
        <v>7404</v>
      </c>
      <c r="J159" s="683">
        <f>SUM(J160:J161)</f>
        <v>7124</v>
      </c>
      <c r="K159" s="251">
        <f>J159/H159*100</f>
        <v>71.03400139595173</v>
      </c>
      <c r="L159" s="249">
        <f>J159-'[6]Augusts'!J159</f>
        <v>771</v>
      </c>
    </row>
    <row r="160" spans="1:12" ht="12.75" customHeight="1">
      <c r="A160" s="252" t="s">
        <v>43</v>
      </c>
      <c r="B160" s="259">
        <f>300000+1890000+26000</f>
        <v>2216000</v>
      </c>
      <c r="C160" s="260"/>
      <c r="D160" s="260">
        <v>1667810</v>
      </c>
      <c r="E160" s="247">
        <f t="shared" si="26"/>
        <v>75.26218411552347</v>
      </c>
      <c r="F160" s="249">
        <f>D160-'[6]Augusts'!D160-1</f>
        <v>192369</v>
      </c>
      <c r="G160" s="252" t="s">
        <v>43</v>
      </c>
      <c r="H160" s="220">
        <f>ROUND(B160/1000,0)</f>
        <v>2216</v>
      </c>
      <c r="I160" s="220"/>
      <c r="J160" s="683">
        <f>ROUND(D160/1000,0)</f>
        <v>1668</v>
      </c>
      <c r="K160" s="251">
        <f>J160/H160*100</f>
        <v>75.27075812274369</v>
      </c>
      <c r="L160" s="249">
        <f>J160-'[6]Augusts'!J160</f>
        <v>193</v>
      </c>
    </row>
    <row r="161" spans="1:12" ht="12.75" customHeight="1">
      <c r="A161" s="252" t="s">
        <v>44</v>
      </c>
      <c r="B161" s="259">
        <f>10029047-B160</f>
        <v>7813047</v>
      </c>
      <c r="C161" s="260"/>
      <c r="D161" s="260">
        <f>7123561-D160-1</f>
        <v>5455750</v>
      </c>
      <c r="E161" s="247">
        <f t="shared" si="26"/>
        <v>69.82871087297951</v>
      </c>
      <c r="F161" s="249">
        <f>D161-'[6]Augusts'!D161</f>
        <v>577349</v>
      </c>
      <c r="G161" s="252" t="s">
        <v>44</v>
      </c>
      <c r="H161" s="220">
        <f>ROUND(B161/1000,0)</f>
        <v>7813</v>
      </c>
      <c r="I161" s="220"/>
      <c r="J161" s="683">
        <f>ROUND(D161/1000,0)</f>
        <v>5456</v>
      </c>
      <c r="K161" s="251">
        <f>J161/H161*100</f>
        <v>69.83233073083322</v>
      </c>
      <c r="L161" s="249">
        <f>J161-'[6]Augusts'!J161</f>
        <v>578</v>
      </c>
    </row>
    <row r="162" spans="1:12" ht="12.75" customHeight="1">
      <c r="A162" s="218" t="s">
        <v>2</v>
      </c>
      <c r="B162" s="249">
        <f>B163+B165</f>
        <v>12294047</v>
      </c>
      <c r="C162" s="249">
        <f>C163+C165</f>
        <v>8606401</v>
      </c>
      <c r="D162" s="249">
        <f>D163+D165</f>
        <v>7607988</v>
      </c>
      <c r="E162" s="247">
        <f t="shared" si="26"/>
        <v>61.88351158898286</v>
      </c>
      <c r="F162" s="249">
        <f>D162-'[6]Augusts'!D162</f>
        <v>939276</v>
      </c>
      <c r="G162" s="218" t="s">
        <v>2</v>
      </c>
      <c r="H162" s="249">
        <f>H163+H165</f>
        <v>12294</v>
      </c>
      <c r="I162" s="250">
        <f>I163+I165</f>
        <v>8607</v>
      </c>
      <c r="J162" s="683">
        <f>J163+J165</f>
        <v>7608</v>
      </c>
      <c r="K162" s="251">
        <f>J162/H162*100</f>
        <v>61.8838457784285</v>
      </c>
      <c r="L162" s="249">
        <f>J162-'[6]Augusts'!J162</f>
        <v>939</v>
      </c>
    </row>
    <row r="163" spans="1:12" ht="12.75" customHeight="1">
      <c r="A163" s="77" t="s">
        <v>47</v>
      </c>
      <c r="B163" s="259">
        <v>8869047</v>
      </c>
      <c r="C163" s="260">
        <f>535782+680000+701500+703500+826500+707500+857500+757500+757000</f>
        <v>6526782</v>
      </c>
      <c r="D163" s="260">
        <v>6441621</v>
      </c>
      <c r="E163" s="247">
        <f t="shared" si="26"/>
        <v>72.63036265339444</v>
      </c>
      <c r="F163" s="249">
        <f>D163-'[6]Augusts'!D163</f>
        <v>773888</v>
      </c>
      <c r="G163" s="77" t="s">
        <v>47</v>
      </c>
      <c r="H163" s="220">
        <f>ROUND(B163/1000,0)</f>
        <v>8869</v>
      </c>
      <c r="I163" s="220">
        <f>ROUND(C163/1000,0)</f>
        <v>6527</v>
      </c>
      <c r="J163" s="683">
        <f>ROUND(D163/1000,0)</f>
        <v>6442</v>
      </c>
      <c r="K163" s="251">
        <f>J163/H163*100</f>
        <v>72.6350208591724</v>
      </c>
      <c r="L163" s="249">
        <f>J163-'[6]Augusts'!J163</f>
        <v>774</v>
      </c>
    </row>
    <row r="164" spans="1:12" ht="12.75" customHeight="1">
      <c r="A164" s="252" t="s">
        <v>34</v>
      </c>
      <c r="B164" s="259">
        <v>10782</v>
      </c>
      <c r="C164" s="260"/>
      <c r="D164" s="260"/>
      <c r="E164" s="247">
        <f t="shared" si="26"/>
        <v>0</v>
      </c>
      <c r="F164" s="249"/>
      <c r="G164" s="252" t="s">
        <v>34</v>
      </c>
      <c r="H164" s="220">
        <f>ROUND(B164/1000,0)</f>
        <v>11</v>
      </c>
      <c r="I164" s="220"/>
      <c r="J164" s="683"/>
      <c r="K164" s="251"/>
      <c r="L164" s="249"/>
    </row>
    <row r="165" spans="1:12" ht="12.75" customHeight="1">
      <c r="A165" s="77" t="s">
        <v>52</v>
      </c>
      <c r="B165" s="259">
        <v>3425000</v>
      </c>
      <c r="C165" s="260">
        <f>234780+215420+194320+168470+222820+478190+278819+286800</f>
        <v>2079619</v>
      </c>
      <c r="D165" s="260">
        <v>1166367</v>
      </c>
      <c r="E165" s="247">
        <f t="shared" si="26"/>
        <v>34.05451094890511</v>
      </c>
      <c r="F165" s="249">
        <f>D165-'[6]Augusts'!D165</f>
        <v>165388</v>
      </c>
      <c r="G165" s="77" t="s">
        <v>52</v>
      </c>
      <c r="H165" s="220">
        <f>ROUND(B165/1000,0)</f>
        <v>3425</v>
      </c>
      <c r="I165" s="220">
        <f>ROUND(C165/1000,0)</f>
        <v>2080</v>
      </c>
      <c r="J165" s="683">
        <f>ROUND(D165/1000,0)</f>
        <v>1166</v>
      </c>
      <c r="K165" s="251">
        <f>J165/H165*100</f>
        <v>34.043795620437955</v>
      </c>
      <c r="L165" s="249">
        <f>J165-'[6]Augusts'!J165</f>
        <v>165</v>
      </c>
    </row>
    <row r="166" spans="1:12" ht="12.75" customHeight="1">
      <c r="A166" s="218" t="s">
        <v>878</v>
      </c>
      <c r="B166" s="249">
        <f>B159-B162</f>
        <v>-2265000</v>
      </c>
      <c r="C166" s="249">
        <f>C159-C162</f>
        <v>-1202840</v>
      </c>
      <c r="D166" s="249">
        <f>D159-D162</f>
        <v>-484428</v>
      </c>
      <c r="E166" s="247">
        <f t="shared" si="26"/>
        <v>21.387549668874172</v>
      </c>
      <c r="F166" s="249">
        <f>D166-'[6]Augusts'!D166</f>
        <v>-169557</v>
      </c>
      <c r="G166" s="218" t="s">
        <v>878</v>
      </c>
      <c r="H166" s="249">
        <f>H159-H162</f>
        <v>-2265</v>
      </c>
      <c r="I166" s="220">
        <f>ROUND(C166/1000,0)</f>
        <v>-1203</v>
      </c>
      <c r="J166" s="683">
        <f>J159-J162</f>
        <v>-484</v>
      </c>
      <c r="K166" s="251"/>
      <c r="L166" s="249">
        <f>J166-'[6]Augusts'!J166</f>
        <v>-168</v>
      </c>
    </row>
    <row r="167" spans="1:12" ht="12.75" customHeight="1">
      <c r="A167" s="218" t="s">
        <v>27</v>
      </c>
      <c r="B167" s="220">
        <v>2265000</v>
      </c>
      <c r="C167" s="250">
        <f>178710+120050+68430+83700+110160+230320+187390+224080</f>
        <v>1202840</v>
      </c>
      <c r="D167" s="250">
        <v>579830</v>
      </c>
      <c r="E167" s="247">
        <f t="shared" si="26"/>
        <v>25.599558498896247</v>
      </c>
      <c r="F167" s="249">
        <f>D167-'[6]Augusts'!D167</f>
        <v>29467</v>
      </c>
      <c r="G167" s="218" t="s">
        <v>27</v>
      </c>
      <c r="H167" s="220">
        <f>ROUND(B167/1000,0)</f>
        <v>2265</v>
      </c>
      <c r="I167" s="220">
        <f>ROUND(C167/1000,0)</f>
        <v>1203</v>
      </c>
      <c r="J167" s="683">
        <f>ROUND(D167/1000,0)</f>
        <v>580</v>
      </c>
      <c r="K167" s="251">
        <f>J167/H167*100</f>
        <v>25.607064017660043</v>
      </c>
      <c r="L167" s="249">
        <f>J167-'[6]Augusts'!J167</f>
        <v>30</v>
      </c>
    </row>
    <row r="168" spans="1:12" ht="24" customHeight="1">
      <c r="A168" s="76" t="s">
        <v>907</v>
      </c>
      <c r="B168" s="249"/>
      <c r="C168" s="249"/>
      <c r="D168" s="249"/>
      <c r="E168" s="247"/>
      <c r="F168" s="249"/>
      <c r="G168" s="76" t="s">
        <v>907</v>
      </c>
      <c r="H168" s="249"/>
      <c r="I168" s="220"/>
      <c r="J168" s="683"/>
      <c r="K168" s="251"/>
      <c r="L168" s="249"/>
    </row>
    <row r="169" spans="1:12" ht="12.75" customHeight="1">
      <c r="A169" s="212" t="s">
        <v>53</v>
      </c>
      <c r="B169" s="249"/>
      <c r="C169" s="249"/>
      <c r="D169" s="249"/>
      <c r="E169" s="247"/>
      <c r="F169" s="249"/>
      <c r="G169" s="212" t="s">
        <v>53</v>
      </c>
      <c r="H169" s="249"/>
      <c r="I169" s="220"/>
      <c r="J169" s="683"/>
      <c r="K169" s="251"/>
      <c r="L169" s="249"/>
    </row>
    <row r="170" spans="1:12" ht="12.75" customHeight="1">
      <c r="A170" s="218" t="s">
        <v>0</v>
      </c>
      <c r="B170" s="249">
        <f>SUM(B171:B173)</f>
        <v>9519100</v>
      </c>
      <c r="C170" s="253">
        <v>6728491</v>
      </c>
      <c r="D170" s="249">
        <f>SUM(D171:D174)</f>
        <v>6130299</v>
      </c>
      <c r="E170" s="247">
        <f>D170/B170*100</f>
        <v>64.39998529272725</v>
      </c>
      <c r="F170" s="249">
        <f>D170-'[6]Augusts'!D170</f>
        <v>604115</v>
      </c>
      <c r="G170" s="218" t="s">
        <v>0</v>
      </c>
      <c r="H170" s="249">
        <f>SUM(H171:H173)</f>
        <v>9519</v>
      </c>
      <c r="I170" s="220">
        <f>ROUND(C170/1000,0)</f>
        <v>6728</v>
      </c>
      <c r="J170" s="683">
        <f>SUM(J171:J174)</f>
        <v>6130</v>
      </c>
      <c r="K170" s="251">
        <f>J170/H170*100</f>
        <v>64.39752074797774</v>
      </c>
      <c r="L170" s="249">
        <f>J170-'[6]Augusts'!J170</f>
        <v>604</v>
      </c>
    </row>
    <row r="171" spans="1:12" ht="12.75" customHeight="1">
      <c r="A171" s="218" t="s">
        <v>54</v>
      </c>
      <c r="B171" s="220">
        <v>8951000</v>
      </c>
      <c r="C171" s="250"/>
      <c r="D171" s="250">
        <f>112452+4484746+123352+851143+26000</f>
        <v>5597693</v>
      </c>
      <c r="E171" s="247">
        <f>D171/B171*100</f>
        <v>62.53706848396827</v>
      </c>
      <c r="F171" s="249">
        <f>D171-'[6]Augusts'!D171</f>
        <v>565205</v>
      </c>
      <c r="G171" s="218" t="s">
        <v>54</v>
      </c>
      <c r="H171" s="220">
        <f>ROUND(B171/1000,0)</f>
        <v>8951</v>
      </c>
      <c r="I171" s="220"/>
      <c r="J171" s="683">
        <f>ROUND(D171/1000,0)</f>
        <v>5598</v>
      </c>
      <c r="K171" s="251">
        <f>J171/H171*100</f>
        <v>62.54049826834991</v>
      </c>
      <c r="L171" s="249">
        <f>J171-'[6]Augusts'!J171</f>
        <v>566</v>
      </c>
    </row>
    <row r="172" spans="1:12" ht="24.75" customHeight="1">
      <c r="A172" s="69" t="s">
        <v>55</v>
      </c>
      <c r="B172" s="220">
        <v>350000</v>
      </c>
      <c r="C172" s="250"/>
      <c r="D172" s="250">
        <v>273300</v>
      </c>
      <c r="E172" s="247">
        <f>D172/B172*100</f>
        <v>78.08571428571427</v>
      </c>
      <c r="F172" s="249">
        <f>D172-'[6]Augusts'!D172</f>
        <v>30773</v>
      </c>
      <c r="G172" s="69" t="s">
        <v>55</v>
      </c>
      <c r="H172" s="220">
        <f>ROUND(B172/1000,0)</f>
        <v>350</v>
      </c>
      <c r="I172" s="220"/>
      <c r="J172" s="683">
        <f>ROUND(D172/1000,0)</f>
        <v>273</v>
      </c>
      <c r="K172" s="251">
        <f>J172/H172*100</f>
        <v>78</v>
      </c>
      <c r="L172" s="249">
        <f>J172-'[6]Augusts'!J172</f>
        <v>30</v>
      </c>
    </row>
    <row r="173" spans="1:12" ht="12.75" customHeight="1">
      <c r="A173" s="258" t="s">
        <v>951</v>
      </c>
      <c r="B173" s="220">
        <f>150000+68100</f>
        <v>218100</v>
      </c>
      <c r="C173" s="250"/>
      <c r="D173" s="250">
        <f>968+47001+391+1810+33736+19488+2</f>
        <v>103396</v>
      </c>
      <c r="E173" s="247">
        <f>D173/B173*100</f>
        <v>47.40761118752866</v>
      </c>
      <c r="F173" s="249">
        <f>D173-'[6]Augusts'!D173</f>
        <v>8137</v>
      </c>
      <c r="G173" s="125" t="s">
        <v>951</v>
      </c>
      <c r="H173" s="220">
        <f>ROUND(B173/1000,0)</f>
        <v>218</v>
      </c>
      <c r="I173" s="220"/>
      <c r="J173" s="683">
        <f>ROUND(D173/1000,0)</f>
        <v>103</v>
      </c>
      <c r="K173" s="251">
        <f>J173/H173*100</f>
        <v>47.24770642201835</v>
      </c>
      <c r="L173" s="249">
        <f>J173-'[6]Augusts'!J173</f>
        <v>8</v>
      </c>
    </row>
    <row r="174" spans="1:12" ht="12.75" customHeight="1">
      <c r="A174" s="125" t="s">
        <v>453</v>
      </c>
      <c r="B174" s="220"/>
      <c r="C174" s="250"/>
      <c r="D174" s="250">
        <v>155910</v>
      </c>
      <c r="E174" s="247"/>
      <c r="F174" s="249">
        <f>D174-'[6]Augusts'!D174</f>
        <v>0</v>
      </c>
      <c r="G174" s="125" t="s">
        <v>454</v>
      </c>
      <c r="H174" s="220"/>
      <c r="I174" s="220"/>
      <c r="J174" s="683">
        <f>ROUND(D174/1000,0)</f>
        <v>156</v>
      </c>
      <c r="K174" s="251"/>
      <c r="L174" s="249">
        <f>J174-'[6]Augusts'!J174</f>
        <v>0</v>
      </c>
    </row>
    <row r="175" spans="1:12" ht="12.75" customHeight="1">
      <c r="A175" s="218" t="s">
        <v>2</v>
      </c>
      <c r="B175" s="249">
        <f>SUM(B176:B177)</f>
        <v>9370924</v>
      </c>
      <c r="C175" s="249">
        <f>SUM(C176:C177)</f>
        <v>6721815</v>
      </c>
      <c r="D175" s="249">
        <f>SUM(D176:D177)</f>
        <v>4014186</v>
      </c>
      <c r="E175" s="247">
        <f>D175/B175*100</f>
        <v>42.83660821494231</v>
      </c>
      <c r="F175" s="249">
        <f>D175-'[6]Augusts'!D175</f>
        <v>824201</v>
      </c>
      <c r="G175" s="218" t="s">
        <v>2</v>
      </c>
      <c r="H175" s="249">
        <f>SUM(H176:H177)</f>
        <v>9371</v>
      </c>
      <c r="I175" s="250">
        <f>SUM(I176:I177)</f>
        <v>6722</v>
      </c>
      <c r="J175" s="683">
        <f>SUM(J176:J177)</f>
        <v>4014</v>
      </c>
      <c r="K175" s="251">
        <f>J175/H175*100</f>
        <v>42.834275957741966</v>
      </c>
      <c r="L175" s="249">
        <f>J175-'[6]Augusts'!J175</f>
        <v>824</v>
      </c>
    </row>
    <row r="176" spans="1:12" ht="12.75" customHeight="1">
      <c r="A176" s="218" t="s">
        <v>3</v>
      </c>
      <c r="B176" s="220">
        <v>6547804</v>
      </c>
      <c r="C176" s="250">
        <v>4835995</v>
      </c>
      <c r="D176" s="250">
        <f>'[15]Septembris'!$E$8</f>
        <v>3579691</v>
      </c>
      <c r="E176" s="247">
        <f>D176/B176*100</f>
        <v>54.67010008240931</v>
      </c>
      <c r="F176" s="249">
        <f>D176-'[6]Augusts'!D176</f>
        <v>680618</v>
      </c>
      <c r="G176" s="218" t="s">
        <v>3</v>
      </c>
      <c r="H176" s="220">
        <f aca="true" t="shared" si="27" ref="H176:J177">ROUND(B176/1000,0)</f>
        <v>6548</v>
      </c>
      <c r="I176" s="220">
        <f t="shared" si="27"/>
        <v>4836</v>
      </c>
      <c r="J176" s="683">
        <f t="shared" si="27"/>
        <v>3580</v>
      </c>
      <c r="K176" s="251">
        <f>J176/H176*100</f>
        <v>54.6731826511912</v>
      </c>
      <c r="L176" s="249">
        <f>J176-'[6]Augusts'!J176</f>
        <v>681</v>
      </c>
    </row>
    <row r="177" spans="1:12" ht="12.75" customHeight="1">
      <c r="A177" s="218" t="s">
        <v>1030</v>
      </c>
      <c r="B177" s="220">
        <v>2823120</v>
      </c>
      <c r="C177" s="250">
        <v>1885820</v>
      </c>
      <c r="D177" s="250">
        <f>'[15]Septembris'!$E$31</f>
        <v>434495</v>
      </c>
      <c r="E177" s="247">
        <f>D177/B177*100</f>
        <v>15.390596219785202</v>
      </c>
      <c r="F177" s="249">
        <f>D177-'[6]Augusts'!D177</f>
        <v>143583</v>
      </c>
      <c r="G177" s="218" t="s">
        <v>1030</v>
      </c>
      <c r="H177" s="220">
        <f t="shared" si="27"/>
        <v>2823</v>
      </c>
      <c r="I177" s="220">
        <f t="shared" si="27"/>
        <v>1886</v>
      </c>
      <c r="J177" s="683">
        <f t="shared" si="27"/>
        <v>434</v>
      </c>
      <c r="K177" s="251">
        <f>J177/H177*100</f>
        <v>15.373715905065533</v>
      </c>
      <c r="L177" s="249">
        <f>J177-'[6]Augusts'!J177</f>
        <v>143</v>
      </c>
    </row>
    <row r="178" spans="1:12" ht="12.75" customHeight="1">
      <c r="A178" s="32" t="s">
        <v>909</v>
      </c>
      <c r="B178" s="249"/>
      <c r="C178" s="249"/>
      <c r="D178" s="249"/>
      <c r="E178" s="247"/>
      <c r="F178" s="249"/>
      <c r="G178" s="32" t="s">
        <v>909</v>
      </c>
      <c r="H178" s="249"/>
      <c r="I178" s="220"/>
      <c r="J178" s="683"/>
      <c r="K178" s="251"/>
      <c r="L178" s="249"/>
    </row>
    <row r="179" spans="1:12" ht="12.75" customHeight="1">
      <c r="A179" s="212" t="s">
        <v>56</v>
      </c>
      <c r="B179" s="249"/>
      <c r="C179" s="249"/>
      <c r="D179" s="249"/>
      <c r="E179" s="247"/>
      <c r="F179" s="249"/>
      <c r="G179" s="212" t="s">
        <v>56</v>
      </c>
      <c r="H179" s="249"/>
      <c r="I179" s="220"/>
      <c r="J179" s="683"/>
      <c r="K179" s="251"/>
      <c r="L179" s="249"/>
    </row>
    <row r="180" spans="1:12" ht="12.75" customHeight="1">
      <c r="A180" s="218" t="s">
        <v>0</v>
      </c>
      <c r="B180" s="249">
        <f>SUM(B181:B182)</f>
        <v>2272860</v>
      </c>
      <c r="C180" s="253">
        <v>1678000</v>
      </c>
      <c r="D180" s="249">
        <f>SUM(D181:D182)</f>
        <v>1341317</v>
      </c>
      <c r="E180" s="247">
        <f>D180/B180*100</f>
        <v>59.0145015531093</v>
      </c>
      <c r="F180" s="249">
        <f>D180-'[6]Augusts'!D180</f>
        <v>151767</v>
      </c>
      <c r="G180" s="218" t="s">
        <v>0</v>
      </c>
      <c r="H180" s="249">
        <f>SUM(H181:H182)</f>
        <v>2273</v>
      </c>
      <c r="I180" s="220">
        <f>ROUND(C180/1000,0)</f>
        <v>1678</v>
      </c>
      <c r="J180" s="683">
        <f>SUM(J181:J182)</f>
        <v>1341</v>
      </c>
      <c r="K180" s="251">
        <f>J180/H180*100</f>
        <v>58.99692036955565</v>
      </c>
      <c r="L180" s="249">
        <f>J180-'[6]Augusts'!J180</f>
        <v>151</v>
      </c>
    </row>
    <row r="181" spans="1:12" ht="24.75" customHeight="1">
      <c r="A181" s="69" t="s">
        <v>57</v>
      </c>
      <c r="B181" s="220">
        <v>1608660</v>
      </c>
      <c r="C181" s="250"/>
      <c r="D181" s="250">
        <v>863110</v>
      </c>
      <c r="E181" s="247">
        <f>D181/B181*100</f>
        <v>53.653972871831215</v>
      </c>
      <c r="F181" s="249">
        <f>D181-'[6]Augusts'!D181</f>
        <v>104477</v>
      </c>
      <c r="G181" s="69" t="s">
        <v>57</v>
      </c>
      <c r="H181" s="220">
        <f>ROUND(B181/1000,0)</f>
        <v>1609</v>
      </c>
      <c r="I181" s="220"/>
      <c r="J181" s="683">
        <f>ROUND(D181/1000,0)</f>
        <v>863</v>
      </c>
      <c r="K181" s="251">
        <f>J181/H181*100</f>
        <v>53.63579863269111</v>
      </c>
      <c r="L181" s="249">
        <f>J181-'[6]Augusts'!J181</f>
        <v>104</v>
      </c>
    </row>
    <row r="182" spans="1:12" ht="24" customHeight="1">
      <c r="A182" s="69" t="s">
        <v>58</v>
      </c>
      <c r="B182" s="220">
        <v>664200</v>
      </c>
      <c r="C182" s="250"/>
      <c r="D182" s="250">
        <f>478206+1</f>
        <v>478207</v>
      </c>
      <c r="E182" s="247">
        <f>D182/B182*100</f>
        <v>71.99744052996085</v>
      </c>
      <c r="F182" s="249">
        <f>D182-'[6]Augusts'!D182</f>
        <v>47290</v>
      </c>
      <c r="G182" s="69" t="s">
        <v>58</v>
      </c>
      <c r="H182" s="220">
        <f>ROUND(B182/1000,0)</f>
        <v>664</v>
      </c>
      <c r="I182" s="220"/>
      <c r="J182" s="683">
        <f>ROUND(D182/1000,0)</f>
        <v>478</v>
      </c>
      <c r="K182" s="251">
        <f>J182/H182*100</f>
        <v>71.98795180722891</v>
      </c>
      <c r="L182" s="249">
        <f>J182-'[6]Augusts'!J182</f>
        <v>47</v>
      </c>
    </row>
    <row r="183" spans="1:12" ht="12.75" customHeight="1">
      <c r="A183" s="218" t="s">
        <v>2</v>
      </c>
      <c r="B183" s="249">
        <f>B184</f>
        <v>2272860</v>
      </c>
      <c r="C183" s="249">
        <f>C184</f>
        <v>1678000</v>
      </c>
      <c r="D183" s="249">
        <f>D184</f>
        <v>1343542</v>
      </c>
      <c r="E183" s="247">
        <f>D183/B183*100</f>
        <v>59.112395836083174</v>
      </c>
      <c r="F183" s="249">
        <f>D183-'[6]Augusts'!D183</f>
        <v>158403</v>
      </c>
      <c r="G183" s="218" t="s">
        <v>2</v>
      </c>
      <c r="H183" s="249">
        <f>H184</f>
        <v>2273</v>
      </c>
      <c r="I183" s="250">
        <f>I184</f>
        <v>1678</v>
      </c>
      <c r="J183" s="683">
        <f>J184</f>
        <v>1344</v>
      </c>
      <c r="K183" s="251">
        <f>J183/H183*100</f>
        <v>59.12890453145623</v>
      </c>
      <c r="L183" s="249">
        <f>J183-'[6]Augusts'!J183</f>
        <v>159</v>
      </c>
    </row>
    <row r="184" spans="1:12" ht="12.75" customHeight="1">
      <c r="A184" s="218" t="s">
        <v>3</v>
      </c>
      <c r="B184" s="220">
        <v>2272860</v>
      </c>
      <c r="C184" s="250">
        <v>1678000</v>
      </c>
      <c r="D184" s="250">
        <f>'[15]Septembris'!$Q$8</f>
        <v>1343542</v>
      </c>
      <c r="E184" s="247">
        <f>D184/B184*100</f>
        <v>59.112395836083174</v>
      </c>
      <c r="F184" s="249">
        <f>D184-'[6]Augusts'!D184</f>
        <v>158403</v>
      </c>
      <c r="G184" s="218" t="s">
        <v>3</v>
      </c>
      <c r="H184" s="220">
        <f>ROUND(B184/1000,0)</f>
        <v>2273</v>
      </c>
      <c r="I184" s="220">
        <f>ROUND(C184/1000,0)</f>
        <v>1678</v>
      </c>
      <c r="J184" s="683">
        <f>ROUND(D184/1000,0)</f>
        <v>1344</v>
      </c>
      <c r="K184" s="251">
        <f>J184/H184*100</f>
        <v>59.12890453145623</v>
      </c>
      <c r="L184" s="249">
        <f>J184-'[6]Augusts'!J184</f>
        <v>159</v>
      </c>
    </row>
    <row r="185" spans="1:12" ht="25.5" customHeight="1">
      <c r="A185" s="76" t="s">
        <v>59</v>
      </c>
      <c r="B185" s="249"/>
      <c r="C185" s="249"/>
      <c r="D185" s="249"/>
      <c r="E185" s="247"/>
      <c r="F185" s="249"/>
      <c r="G185" s="76" t="s">
        <v>59</v>
      </c>
      <c r="H185" s="249"/>
      <c r="I185" s="220"/>
      <c r="J185" s="683"/>
      <c r="K185" s="251"/>
      <c r="L185" s="249"/>
    </row>
    <row r="186" spans="1:12" ht="12.75" customHeight="1">
      <c r="A186" s="258" t="s">
        <v>0</v>
      </c>
      <c r="B186" s="249">
        <f>B187</f>
        <v>129565</v>
      </c>
      <c r="C186" s="253">
        <v>96664</v>
      </c>
      <c r="D186" s="249">
        <f>D187</f>
        <v>34634</v>
      </c>
      <c r="E186" s="247">
        <f aca="true" t="shared" si="28" ref="E186:E191">D186/B186*100</f>
        <v>26.73098444796048</v>
      </c>
      <c r="F186" s="249">
        <f>D186-'[6]Augusts'!D186</f>
        <v>12147</v>
      </c>
      <c r="G186" s="125" t="s">
        <v>0</v>
      </c>
      <c r="H186" s="249">
        <f>H187</f>
        <v>130</v>
      </c>
      <c r="I186" s="220">
        <f>ROUND(C186/1000,0)</f>
        <v>97</v>
      </c>
      <c r="J186" s="683">
        <f>J187</f>
        <v>35</v>
      </c>
      <c r="K186" s="251">
        <f aca="true" t="shared" si="29" ref="K186:K193">J186/H186*100</f>
        <v>26.923076923076923</v>
      </c>
      <c r="L186" s="249">
        <f>J186-'[6]Augusts'!J186</f>
        <v>13</v>
      </c>
    </row>
    <row r="187" spans="1:12" ht="12.75" customHeight="1">
      <c r="A187" s="69" t="s">
        <v>951</v>
      </c>
      <c r="B187" s="220">
        <v>129565</v>
      </c>
      <c r="C187" s="250"/>
      <c r="D187" s="250">
        <f>'[15]Septembris'!$P$6</f>
        <v>34634</v>
      </c>
      <c r="E187" s="247">
        <f t="shared" si="28"/>
        <v>26.73098444796048</v>
      </c>
      <c r="F187" s="249">
        <f>D187-'[6]Augusts'!D187</f>
        <v>12147</v>
      </c>
      <c r="G187" s="69" t="s">
        <v>951</v>
      </c>
      <c r="H187" s="220">
        <f>ROUND(B187/1000,0)</f>
        <v>130</v>
      </c>
      <c r="I187" s="220"/>
      <c r="J187" s="683">
        <f>ROUND(D187/1000,0)</f>
        <v>35</v>
      </c>
      <c r="K187" s="251">
        <f t="shared" si="29"/>
        <v>26.923076923076923</v>
      </c>
      <c r="L187" s="249">
        <f>J187-'[6]Augusts'!J187</f>
        <v>13</v>
      </c>
    </row>
    <row r="188" spans="1:12" ht="12.75" customHeight="1">
      <c r="A188" s="218" t="s">
        <v>2</v>
      </c>
      <c r="B188" s="249">
        <f>B189+B191</f>
        <v>756987</v>
      </c>
      <c r="C188" s="249">
        <f>C189+C191</f>
        <v>425039</v>
      </c>
      <c r="D188" s="249">
        <f>D189+D191</f>
        <v>93401</v>
      </c>
      <c r="E188" s="247">
        <f t="shared" si="28"/>
        <v>12.338521004984234</v>
      </c>
      <c r="F188" s="249">
        <f>D188-'[6]Augusts'!D188</f>
        <v>8549</v>
      </c>
      <c r="G188" s="218" t="s">
        <v>2</v>
      </c>
      <c r="H188" s="249">
        <f>H189+H191</f>
        <v>757</v>
      </c>
      <c r="I188" s="250">
        <f>I189+I191</f>
        <v>425</v>
      </c>
      <c r="J188" s="683">
        <f>J189+J191</f>
        <v>93</v>
      </c>
      <c r="K188" s="251">
        <f t="shared" si="29"/>
        <v>12.285336856010568</v>
      </c>
      <c r="L188" s="249">
        <f>J188-'[6]Augusts'!J188</f>
        <v>8</v>
      </c>
    </row>
    <row r="189" spans="1:12" ht="12.75" customHeight="1">
      <c r="A189" s="218" t="s">
        <v>3</v>
      </c>
      <c r="B189" s="220">
        <v>753987</v>
      </c>
      <c r="C189" s="250">
        <v>422039</v>
      </c>
      <c r="D189" s="250">
        <f>'[15]Septembris'!$P$8</f>
        <v>93231</v>
      </c>
      <c r="E189" s="247">
        <f t="shared" si="28"/>
        <v>12.36506730222139</v>
      </c>
      <c r="F189" s="249">
        <f>D189-'[6]Augusts'!D189</f>
        <v>8549</v>
      </c>
      <c r="G189" s="218" t="s">
        <v>3</v>
      </c>
      <c r="H189" s="220">
        <f>ROUND(B189/1000,0)</f>
        <v>754</v>
      </c>
      <c r="I189" s="220">
        <f>ROUND(C189/1000,0)</f>
        <v>422</v>
      </c>
      <c r="J189" s="683">
        <f>ROUND(D189/1000,0)</f>
        <v>93</v>
      </c>
      <c r="K189" s="251">
        <f t="shared" si="29"/>
        <v>12.3342175066313</v>
      </c>
      <c r="L189" s="249">
        <f>J189-'[6]Augusts'!J189</f>
        <v>8</v>
      </c>
    </row>
    <row r="190" spans="1:12" ht="12.75" customHeight="1">
      <c r="A190" s="252" t="s">
        <v>34</v>
      </c>
      <c r="B190" s="220">
        <v>14999</v>
      </c>
      <c r="C190" s="250"/>
      <c r="D190" s="250">
        <f>'[15]Septembris'!$P$15</f>
        <v>5449</v>
      </c>
      <c r="E190" s="247">
        <f t="shared" si="28"/>
        <v>36.32908860590706</v>
      </c>
      <c r="F190" s="249">
        <f>D190-'[6]Augusts'!D190</f>
        <v>0</v>
      </c>
      <c r="G190" s="252" t="s">
        <v>34</v>
      </c>
      <c r="H190" s="220">
        <f>ROUND(B190/1000,0)</f>
        <v>15</v>
      </c>
      <c r="I190" s="220"/>
      <c r="J190" s="683">
        <f>ROUND(D190/1000,0)</f>
        <v>5</v>
      </c>
      <c r="K190" s="251">
        <f t="shared" si="29"/>
        <v>33.33333333333333</v>
      </c>
      <c r="L190" s="249">
        <f>J190-'[6]Augusts'!J190</f>
        <v>0</v>
      </c>
    </row>
    <row r="191" spans="1:12" ht="12.75" customHeight="1">
      <c r="A191" s="218" t="s">
        <v>1030</v>
      </c>
      <c r="B191" s="220">
        <v>3000</v>
      </c>
      <c r="C191" s="250">
        <v>3000</v>
      </c>
      <c r="D191" s="250">
        <f>'[15]Septembris'!$P$31</f>
        <v>170</v>
      </c>
      <c r="E191" s="247">
        <f t="shared" si="28"/>
        <v>5.666666666666666</v>
      </c>
      <c r="F191" s="249">
        <f>D191-'[6]Augusts'!D191</f>
        <v>0</v>
      </c>
      <c r="G191" s="218" t="s">
        <v>1030</v>
      </c>
      <c r="H191" s="220">
        <f>ROUND(B191/1000,0)</f>
        <v>3</v>
      </c>
      <c r="I191" s="220">
        <f>ROUND(C191/1000,0)</f>
        <v>3</v>
      </c>
      <c r="J191" s="683">
        <f>ROUND(D191/1000,0)</f>
        <v>0</v>
      </c>
      <c r="K191" s="251">
        <f t="shared" si="29"/>
        <v>0</v>
      </c>
      <c r="L191" s="249">
        <f>J191-'[6]Augusts'!J191</f>
        <v>0</v>
      </c>
    </row>
    <row r="192" spans="1:12" ht="12.75" customHeight="1">
      <c r="A192" s="218" t="s">
        <v>878</v>
      </c>
      <c r="B192" s="249">
        <f>B186-B188</f>
        <v>-627422</v>
      </c>
      <c r="C192" s="253">
        <f>C186-C188</f>
        <v>-328375</v>
      </c>
      <c r="D192" s="249">
        <f>D186-D188</f>
        <v>-58767</v>
      </c>
      <c r="E192" s="247">
        <f>D192/B192*100</f>
        <v>9.366423236673244</v>
      </c>
      <c r="F192" s="249">
        <f>D192-'[6]Augusts'!D192</f>
        <v>3598</v>
      </c>
      <c r="G192" s="218" t="s">
        <v>878</v>
      </c>
      <c r="H192" s="249">
        <f>H186-H188</f>
        <v>-627</v>
      </c>
      <c r="I192" s="220">
        <f>I186-I188</f>
        <v>-328</v>
      </c>
      <c r="J192" s="686">
        <f>J186-J188</f>
        <v>-58</v>
      </c>
      <c r="K192" s="251">
        <f t="shared" si="29"/>
        <v>9.250398724082935</v>
      </c>
      <c r="L192" s="249">
        <f>J192-'[6]Augusts'!J192</f>
        <v>5</v>
      </c>
    </row>
    <row r="193" spans="1:12" ht="12.75" customHeight="1">
      <c r="A193" s="218" t="s">
        <v>27</v>
      </c>
      <c r="B193" s="249">
        <v>628375</v>
      </c>
      <c r="C193" s="253">
        <f>228375+100000</f>
        <v>328375</v>
      </c>
      <c r="D193" s="253">
        <f>'[15]Septembris'!$P$44</f>
        <v>27435</v>
      </c>
      <c r="E193" s="247">
        <f>D193/B193*100</f>
        <v>4.36602347324448</v>
      </c>
      <c r="F193" s="249">
        <f>D193-'[6]Augusts'!D193</f>
        <v>0</v>
      </c>
      <c r="G193" s="218" t="s">
        <v>27</v>
      </c>
      <c r="H193" s="220">
        <f>ROUND(B193/1000,0)</f>
        <v>628</v>
      </c>
      <c r="I193" s="220">
        <f>ROUND(C193/1000,0)</f>
        <v>328</v>
      </c>
      <c r="J193" s="683">
        <f>ROUND(D193/1000,0)</f>
        <v>27</v>
      </c>
      <c r="K193" s="251">
        <f t="shared" si="29"/>
        <v>4.2993630573248405</v>
      </c>
      <c r="L193" s="249">
        <f>J193-'[6]Augusts'!J193</f>
        <v>0</v>
      </c>
    </row>
    <row r="194" spans="1:12" ht="16.5" customHeight="1">
      <c r="A194" s="84"/>
      <c r="B194" s="399"/>
      <c r="C194" s="815"/>
      <c r="D194" s="815"/>
      <c r="E194" s="261"/>
      <c r="F194" s="399"/>
      <c r="G194" s="436" t="s">
        <v>124</v>
      </c>
      <c r="I194" s="816">
        <v>89</v>
      </c>
      <c r="J194" s="817" t="s">
        <v>125</v>
      </c>
      <c r="L194" s="399"/>
    </row>
    <row r="195" spans="2:12" ht="17.25" customHeight="1">
      <c r="B195" s="84"/>
      <c r="C195" s="84"/>
      <c r="D195" s="84"/>
      <c r="E195" s="261"/>
      <c r="F195" s="84"/>
      <c r="G195" s="818" t="s">
        <v>126</v>
      </c>
      <c r="H195" s="819"/>
      <c r="I195" s="820">
        <v>2600</v>
      </c>
      <c r="J195" s="689" t="s">
        <v>125</v>
      </c>
      <c r="K195" s="262"/>
      <c r="L195" s="84"/>
    </row>
    <row r="196" spans="1:12" ht="17.25" customHeight="1">
      <c r="A196" s="858"/>
      <c r="B196" s="858"/>
      <c r="C196" s="858"/>
      <c r="D196" s="858"/>
      <c r="E196" s="858"/>
      <c r="F196" s="232"/>
      <c r="G196" s="859" t="s">
        <v>640</v>
      </c>
      <c r="H196" s="859"/>
      <c r="I196" s="859"/>
      <c r="J196" s="757">
        <v>21561</v>
      </c>
      <c r="K196" s="860" t="s">
        <v>60</v>
      </c>
      <c r="L196" s="860"/>
    </row>
    <row r="197" spans="3:12" ht="17.25" customHeight="1">
      <c r="C197" s="263"/>
      <c r="D197" s="263"/>
      <c r="E197" s="261"/>
      <c r="F197" s="232"/>
      <c r="L197" s="232"/>
    </row>
    <row r="198" spans="1:12" ht="17.25" customHeight="1">
      <c r="A198" s="41"/>
      <c r="B198" s="39"/>
      <c r="C198" s="39"/>
      <c r="D198" s="39"/>
      <c r="E198" s="264"/>
      <c r="F198" s="232"/>
      <c r="K198" s="265"/>
      <c r="L198" s="232"/>
    </row>
    <row r="199" spans="5:12" ht="17.25" customHeight="1">
      <c r="E199" s="266"/>
      <c r="F199" s="232"/>
      <c r="K199" s="267"/>
      <c r="L199" s="232"/>
    </row>
    <row r="200" spans="2:12" ht="17.25" customHeight="1">
      <c r="B200" s="232"/>
      <c r="C200" s="232"/>
      <c r="D200" s="232"/>
      <c r="E200" s="266"/>
      <c r="F200" s="232"/>
      <c r="H200" s="232"/>
      <c r="I200" s="232"/>
      <c r="J200" s="692"/>
      <c r="K200" s="267"/>
      <c r="L200" s="232"/>
    </row>
    <row r="201" spans="1:12" ht="17.25" customHeight="1">
      <c r="A201" s="232"/>
      <c r="B201" s="232"/>
      <c r="C201" s="232"/>
      <c r="D201" s="232"/>
      <c r="E201" s="266"/>
      <c r="F201" s="232"/>
      <c r="G201" s="690" t="s">
        <v>455</v>
      </c>
      <c r="H201" s="175"/>
      <c r="I201" s="175"/>
      <c r="J201" s="691" t="s">
        <v>859</v>
      </c>
      <c r="K201" s="267"/>
      <c r="L201" s="232"/>
    </row>
    <row r="202" spans="1:12" ht="17.25" customHeight="1">
      <c r="A202" s="268"/>
      <c r="D202" s="232"/>
      <c r="E202" s="266"/>
      <c r="F202" s="232"/>
      <c r="J202" s="692"/>
      <c r="K202" s="267"/>
      <c r="L202" s="232"/>
    </row>
    <row r="203" spans="1:12" ht="17.25" customHeight="1">
      <c r="A203" s="268"/>
      <c r="B203" s="232"/>
      <c r="C203" s="232"/>
      <c r="D203" s="232"/>
      <c r="E203" s="266"/>
      <c r="F203" s="232"/>
      <c r="H203" s="232"/>
      <c r="I203" s="232"/>
      <c r="J203" s="692"/>
      <c r="K203" s="267"/>
      <c r="L203" s="232"/>
    </row>
    <row r="204" spans="5:12" ht="17.25" customHeight="1">
      <c r="E204" s="266"/>
      <c r="F204" s="232"/>
      <c r="K204" s="267"/>
      <c r="L204" s="232"/>
    </row>
    <row r="205" spans="1:12" ht="17.25" customHeight="1">
      <c r="A205" s="232"/>
      <c r="B205" s="232"/>
      <c r="C205" s="232"/>
      <c r="D205" s="232"/>
      <c r="E205" s="266"/>
      <c r="F205" s="232"/>
      <c r="G205" s="268" t="s">
        <v>61</v>
      </c>
      <c r="H205" s="232"/>
      <c r="I205" s="232"/>
      <c r="J205" s="692"/>
      <c r="K205" s="267"/>
      <c r="L205" s="232"/>
    </row>
    <row r="206" spans="2:12" ht="17.25" customHeight="1">
      <c r="B206" s="232"/>
      <c r="C206" s="232"/>
      <c r="D206" s="232"/>
      <c r="E206" s="266"/>
      <c r="F206" s="232"/>
      <c r="G206" s="268" t="s">
        <v>116</v>
      </c>
      <c r="H206" s="232"/>
      <c r="I206" s="232"/>
      <c r="J206" s="692"/>
      <c r="K206" s="267"/>
      <c r="L206" s="232"/>
    </row>
    <row r="207" ht="17.25" customHeight="1">
      <c r="D207" s="232"/>
    </row>
  </sheetData>
  <mergeCells count="9">
    <mergeCell ref="A196:E196"/>
    <mergeCell ref="G196:I196"/>
    <mergeCell ref="K196:L196"/>
    <mergeCell ref="A2:F2"/>
    <mergeCell ref="G2:L2"/>
    <mergeCell ref="A4:F4"/>
    <mergeCell ref="G4:L4"/>
    <mergeCell ref="A5:F5"/>
    <mergeCell ref="G5:L5"/>
  </mergeCells>
  <printOptions horizontalCentered="1"/>
  <pageMargins left="0.9448818897637796" right="0.35433070866141736" top="0.984251968503937" bottom="0.86" header="0.5118110236220472" footer="0.5118110236220472"/>
  <pageSetup firstPageNumber="16" useFirstPageNumber="1" horizontalDpi="600" verticalDpi="600" orientation="portrait" paperSize="9" scale="87" r:id="rId1"/>
  <headerFooter alignWithMargins="0">
    <oddFooter>&amp;R&amp;9&amp;P</oddFooter>
  </headerFooter>
  <rowBreaks count="3" manualBreakCount="3">
    <brk id="48" min="6" max="11" man="1"/>
    <brk id="100" min="6" max="11" man="1"/>
    <brk id="157" min="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H1">
      <selection activeCell="H5" sqref="H5:N5"/>
    </sheetView>
  </sheetViews>
  <sheetFormatPr defaultColWidth="9.140625" defaultRowHeight="17.25" customHeight="1"/>
  <cols>
    <col min="1" max="1" width="40.00390625" style="5" customWidth="1"/>
    <col min="2" max="3" width="13.57421875" style="5" customWidth="1"/>
    <col min="4" max="4" width="13.140625" style="5" customWidth="1"/>
    <col min="5" max="5" width="9.57421875" style="273" customWidth="1"/>
    <col min="6" max="6" width="11.8515625" style="274" hidden="1" customWidth="1"/>
    <col min="7" max="7" width="13.8515625" style="5" customWidth="1"/>
    <col min="8" max="8" width="35.57421875" style="5" customWidth="1"/>
    <col min="9" max="9" width="12.421875" style="5" customWidth="1"/>
    <col min="10" max="10" width="12.140625" style="5" customWidth="1"/>
    <col min="11" max="11" width="11.140625" style="5" customWidth="1"/>
    <col min="12" max="12" width="11.00390625" style="273" customWidth="1"/>
    <col min="13" max="13" width="11.8515625" style="274" customWidth="1"/>
    <col min="14" max="14" width="12.00390625" style="5" customWidth="1"/>
  </cols>
  <sheetData>
    <row r="1" spans="1:14" ht="17.25" customHeight="1">
      <c r="A1" s="269" t="s">
        <v>62</v>
      </c>
      <c r="B1" s="269"/>
      <c r="C1" s="269"/>
      <c r="D1" s="269"/>
      <c r="E1" s="270"/>
      <c r="F1" s="271"/>
      <c r="G1" s="272" t="s">
        <v>63</v>
      </c>
      <c r="I1" s="269"/>
      <c r="J1" s="269"/>
      <c r="K1" s="269"/>
      <c r="L1" s="270"/>
      <c r="M1" s="271"/>
      <c r="N1" s="272" t="s">
        <v>63</v>
      </c>
    </row>
    <row r="2" spans="8:14" ht="17.25" customHeight="1">
      <c r="H2" s="845" t="s">
        <v>62</v>
      </c>
      <c r="I2" s="845"/>
      <c r="J2" s="845"/>
      <c r="K2" s="845"/>
      <c r="L2" s="845"/>
      <c r="M2" s="845"/>
      <c r="N2" s="845"/>
    </row>
    <row r="4" spans="1:14" ht="17.25" customHeight="1">
      <c r="A4" s="870" t="s">
        <v>64</v>
      </c>
      <c r="B4" s="870"/>
      <c r="C4" s="870"/>
      <c r="D4" s="870"/>
      <c r="E4" s="870"/>
      <c r="F4" s="870"/>
      <c r="G4" s="870"/>
      <c r="H4" s="871" t="s">
        <v>64</v>
      </c>
      <c r="I4" s="871"/>
      <c r="J4" s="871"/>
      <c r="K4" s="871"/>
      <c r="L4" s="871"/>
      <c r="M4" s="871"/>
      <c r="N4" s="871"/>
    </row>
    <row r="5" spans="1:14" ht="17.25" customHeight="1">
      <c r="A5" s="870" t="s">
        <v>65</v>
      </c>
      <c r="B5" s="870"/>
      <c r="C5" s="870"/>
      <c r="D5" s="870"/>
      <c r="E5" s="870"/>
      <c r="F5" s="870"/>
      <c r="G5" s="870"/>
      <c r="H5" s="871" t="s">
        <v>65</v>
      </c>
      <c r="I5" s="871"/>
      <c r="J5" s="871"/>
      <c r="K5" s="871"/>
      <c r="L5" s="871"/>
      <c r="M5" s="871"/>
      <c r="N5" s="871"/>
    </row>
    <row r="6" spans="1:14" ht="17.25" customHeight="1">
      <c r="A6" s="868" t="s">
        <v>122</v>
      </c>
      <c r="B6" s="868"/>
      <c r="C6" s="868"/>
      <c r="D6" s="868"/>
      <c r="E6" s="868"/>
      <c r="F6" s="868"/>
      <c r="G6" s="868"/>
      <c r="H6" s="869" t="s">
        <v>98</v>
      </c>
      <c r="I6" s="869"/>
      <c r="J6" s="869"/>
      <c r="K6" s="869"/>
      <c r="L6" s="869"/>
      <c r="M6" s="869"/>
      <c r="N6" s="869"/>
    </row>
    <row r="7" spans="7:14" ht="17.25" customHeight="1">
      <c r="G7" s="275" t="s">
        <v>1023</v>
      </c>
      <c r="N7" s="275" t="s">
        <v>749</v>
      </c>
    </row>
    <row r="8" spans="1:14" ht="76.5" customHeight="1">
      <c r="A8" s="238" t="s">
        <v>644</v>
      </c>
      <c r="B8" s="238" t="s">
        <v>750</v>
      </c>
      <c r="C8" s="238" t="s">
        <v>943</v>
      </c>
      <c r="D8" s="238" t="s">
        <v>751</v>
      </c>
      <c r="E8" s="276" t="s">
        <v>944</v>
      </c>
      <c r="F8" s="277" t="s">
        <v>66</v>
      </c>
      <c r="G8" s="9" t="s">
        <v>123</v>
      </c>
      <c r="H8" s="238" t="s">
        <v>644</v>
      </c>
      <c r="I8" s="238" t="s">
        <v>750</v>
      </c>
      <c r="J8" s="238" t="s">
        <v>943</v>
      </c>
      <c r="K8" s="238" t="s">
        <v>751</v>
      </c>
      <c r="L8" s="276" t="s">
        <v>944</v>
      </c>
      <c r="M8" s="277" t="s">
        <v>66</v>
      </c>
      <c r="N8" s="238" t="s">
        <v>101</v>
      </c>
    </row>
    <row r="9" spans="1:14" s="49" customFormat="1" ht="12.75">
      <c r="A9" s="278">
        <v>1</v>
      </c>
      <c r="B9" s="278">
        <v>2</v>
      </c>
      <c r="C9" s="278">
        <v>3</v>
      </c>
      <c r="D9" s="278">
        <v>4</v>
      </c>
      <c r="E9" s="279">
        <v>5</v>
      </c>
      <c r="F9" s="280">
        <v>6</v>
      </c>
      <c r="G9" s="278">
        <v>7</v>
      </c>
      <c r="H9" s="278">
        <v>1</v>
      </c>
      <c r="I9" s="278">
        <v>2</v>
      </c>
      <c r="J9" s="278">
        <v>3</v>
      </c>
      <c r="K9" s="278">
        <v>4</v>
      </c>
      <c r="L9" s="279">
        <v>5</v>
      </c>
      <c r="M9" s="280">
        <v>6</v>
      </c>
      <c r="N9" s="278">
        <v>7</v>
      </c>
    </row>
    <row r="10" spans="1:14" ht="17.25" customHeight="1">
      <c r="A10" s="281" t="s">
        <v>67</v>
      </c>
      <c r="B10" s="282">
        <f>SUM(B11:B14)</f>
        <v>727134239</v>
      </c>
      <c r="C10" s="282">
        <f>SUM(C11:C14)</f>
        <v>535896057</v>
      </c>
      <c r="D10" s="282">
        <f>SUM(D11:D14)</f>
        <v>521911087</v>
      </c>
      <c r="E10" s="283">
        <f aca="true" t="shared" si="0" ref="E10:E18">D10/B10*100</f>
        <v>71.7764422313223</v>
      </c>
      <c r="F10" s="284">
        <f aca="true" t="shared" si="1" ref="F10:F18">D10/C10*100</f>
        <v>97.3903577349889</v>
      </c>
      <c r="G10" s="282">
        <f>SUM(G11:G14)</f>
        <v>55772090</v>
      </c>
      <c r="H10" s="281" t="s">
        <v>67</v>
      </c>
      <c r="I10" s="282">
        <f>SUM(I11:I14)</f>
        <v>727134</v>
      </c>
      <c r="J10" s="282">
        <f>SUM(J11:J14)</f>
        <v>535896</v>
      </c>
      <c r="K10" s="285">
        <f>SUM(K11:K14)</f>
        <v>521912</v>
      </c>
      <c r="L10" s="286">
        <f aca="true" t="shared" si="2" ref="L10:L18">K10/I10*100</f>
        <v>71.77659138480665</v>
      </c>
      <c r="M10" s="286">
        <f aca="true" t="shared" si="3" ref="M10:M18">K10/J10*100</f>
        <v>97.39053846268679</v>
      </c>
      <c r="N10" s="282">
        <f>SUM(N11:N14)</f>
        <v>55774</v>
      </c>
    </row>
    <row r="11" spans="1:14" ht="14.25">
      <c r="A11" s="69" t="s">
        <v>68</v>
      </c>
      <c r="B11" s="287">
        <v>721069222</v>
      </c>
      <c r="C11" s="287">
        <f>162528635+37020270+37889203+39825423+40449323+42619883+42381558+43325703+42438340+42421346</f>
        <v>530899684</v>
      </c>
      <c r="D11" s="287">
        <f>'[6]Septembris'!$D$20+'[6]Septembris'!$D$28+'[6]Septembris'!$D$40+'[6]Septembris'!$D$45+'[6]Septembris'!$D$51+'[6]Septembris'!$D$58+'[6]Septembris'!$D$70+'[6]Septembris'!$D$79+'[6]Septembris'!$D$80+'[6]Septembris'!$D$90+'[6]Septembris'!$D$96+'[6]Septembris'!$D$104+'[6]Septembris'!$D$105+'[6]Septembris'!$D$115+'[6]Septembris'!$D$171+'[6]Septembris'!$D$172+'[6]Septembris'!$D$179+'[6]Septembris'!$D$180</f>
        <v>517905041</v>
      </c>
      <c r="E11" s="288">
        <f t="shared" si="0"/>
        <v>71.82459397774711</v>
      </c>
      <c r="F11" s="284">
        <f t="shared" si="1"/>
        <v>97.55233551805993</v>
      </c>
      <c r="G11" s="289">
        <f>D11-'[16]Augusts'!D11</f>
        <v>55614260</v>
      </c>
      <c r="H11" s="69" t="s">
        <v>68</v>
      </c>
      <c r="I11" s="287">
        <f aca="true" t="shared" si="4" ref="I11:K14">ROUND(B11/1000,0)</f>
        <v>721069</v>
      </c>
      <c r="J11" s="287">
        <f t="shared" si="4"/>
        <v>530900</v>
      </c>
      <c r="K11" s="287">
        <f>ROUND(D11/1000,0)+1</f>
        <v>517906</v>
      </c>
      <c r="L11" s="290">
        <f t="shared" si="2"/>
        <v>71.82474908781268</v>
      </c>
      <c r="M11" s="290">
        <f t="shared" si="3"/>
        <v>97.55245809003578</v>
      </c>
      <c r="N11" s="289">
        <f>K11-'[16]Augusts'!K11</f>
        <v>55616</v>
      </c>
    </row>
    <row r="12" spans="1:14" ht="14.25" hidden="1">
      <c r="A12" s="77" t="s">
        <v>69</v>
      </c>
      <c r="B12" s="287"/>
      <c r="C12" s="287"/>
      <c r="D12" s="287"/>
      <c r="E12" s="288" t="e">
        <f t="shared" si="0"/>
        <v>#DIV/0!</v>
      </c>
      <c r="F12" s="284" t="e">
        <f t="shared" si="1"/>
        <v>#DIV/0!</v>
      </c>
      <c r="G12" s="289">
        <f>D12-'[16]Augusts'!D12</f>
        <v>0</v>
      </c>
      <c r="H12" s="77" t="s">
        <v>69</v>
      </c>
      <c r="I12" s="287">
        <f t="shared" si="4"/>
        <v>0</v>
      </c>
      <c r="J12" s="287">
        <f t="shared" si="4"/>
        <v>0</v>
      </c>
      <c r="K12" s="287">
        <f t="shared" si="4"/>
        <v>0</v>
      </c>
      <c r="L12" s="290" t="e">
        <f t="shared" si="2"/>
        <v>#DIV/0!</v>
      </c>
      <c r="M12" s="290" t="e">
        <f t="shared" si="3"/>
        <v>#DIV/0!</v>
      </c>
      <c r="N12" s="289">
        <f>K12-'[16]Augusts'!K12</f>
        <v>0</v>
      </c>
    </row>
    <row r="13" spans="1:14" ht="25.5">
      <c r="A13" s="69" t="s">
        <v>872</v>
      </c>
      <c r="B13" s="287">
        <v>3459911</v>
      </c>
      <c r="C13" s="287">
        <v>2223117</v>
      </c>
      <c r="D13" s="287">
        <f>'[6]Septembris'!$D$81+'[6]Septembris'!$D$106+'[6]Septembris'!$D$173+'[6]Septembris'!$D$187</f>
        <v>2120307</v>
      </c>
      <c r="E13" s="288">
        <f t="shared" si="0"/>
        <v>61.28212546507699</v>
      </c>
      <c r="F13" s="284">
        <f t="shared" si="1"/>
        <v>95.37541209032183</v>
      </c>
      <c r="G13" s="289">
        <f>D13-'[16]Augusts'!D13</f>
        <v>157830</v>
      </c>
      <c r="H13" s="69" t="s">
        <v>872</v>
      </c>
      <c r="I13" s="287">
        <f t="shared" si="4"/>
        <v>3460</v>
      </c>
      <c r="J13" s="287">
        <f t="shared" si="4"/>
        <v>2223</v>
      </c>
      <c r="K13" s="287">
        <f>ROUND(D13/1000,0)</f>
        <v>2120</v>
      </c>
      <c r="L13" s="290">
        <f t="shared" si="2"/>
        <v>61.27167630057804</v>
      </c>
      <c r="M13" s="290">
        <f t="shared" si="3"/>
        <v>95.36662168241115</v>
      </c>
      <c r="N13" s="289">
        <f>K13-'[16]Augusts'!K13</f>
        <v>158</v>
      </c>
    </row>
    <row r="14" spans="1:14" ht="14.25">
      <c r="A14" s="69" t="s">
        <v>873</v>
      </c>
      <c r="B14" s="287">
        <v>2605106</v>
      </c>
      <c r="C14" s="287">
        <v>2773256</v>
      </c>
      <c r="D14" s="287">
        <f>SUM('[6]Septembris'!$D$82,'[6]Septembris'!$D$107+'[6]Septembris'!$D$174)</f>
        <v>1885739</v>
      </c>
      <c r="E14" s="288">
        <f t="shared" si="0"/>
        <v>72.38626758373748</v>
      </c>
      <c r="F14" s="284">
        <f t="shared" si="1"/>
        <v>67.99729271296988</v>
      </c>
      <c r="G14" s="289">
        <f>D14-'[16]Augusts'!D14</f>
        <v>0</v>
      </c>
      <c r="H14" s="69" t="s">
        <v>873</v>
      </c>
      <c r="I14" s="287">
        <f t="shared" si="4"/>
        <v>2605</v>
      </c>
      <c r="J14" s="287">
        <f t="shared" si="4"/>
        <v>2773</v>
      </c>
      <c r="K14" s="287">
        <f t="shared" si="4"/>
        <v>1886</v>
      </c>
      <c r="L14" s="290">
        <f t="shared" si="2"/>
        <v>72.39923224568138</v>
      </c>
      <c r="M14" s="290">
        <f t="shared" si="3"/>
        <v>68.01298232960691</v>
      </c>
      <c r="N14" s="289">
        <f>K14-'[16]Augusts'!K14</f>
        <v>0</v>
      </c>
    </row>
    <row r="15" spans="1:14" ht="17.25" customHeight="1">
      <c r="A15" s="281" t="s">
        <v>953</v>
      </c>
      <c r="B15" s="291">
        <f>B16+B42</f>
        <v>769845749</v>
      </c>
      <c r="C15" s="291">
        <f>SUM(C16,C42)</f>
        <v>577343534</v>
      </c>
      <c r="D15" s="291">
        <f>SUM(D16,D42)</f>
        <v>532274401</v>
      </c>
      <c r="E15" s="283">
        <f t="shared" si="0"/>
        <v>69.14039620162922</v>
      </c>
      <c r="F15" s="284">
        <f t="shared" si="1"/>
        <v>92.19370611328263</v>
      </c>
      <c r="G15" s="292">
        <f>SUM(G16,G42)</f>
        <v>53044443</v>
      </c>
      <c r="H15" s="281" t="s">
        <v>953</v>
      </c>
      <c r="I15" s="285">
        <f>SUM(I42,I16)</f>
        <v>769845</v>
      </c>
      <c r="J15" s="285">
        <f>ROUND(C15/1000,0)</f>
        <v>577344</v>
      </c>
      <c r="K15" s="285">
        <f>SUM(K42,K16)</f>
        <v>532274</v>
      </c>
      <c r="L15" s="286">
        <f t="shared" si="2"/>
        <v>69.14041138151187</v>
      </c>
      <c r="M15" s="286">
        <f t="shared" si="3"/>
        <v>92.19356224365369</v>
      </c>
      <c r="N15" s="291">
        <f>SUM(N16,N42)</f>
        <v>53044</v>
      </c>
    </row>
    <row r="16" spans="1:14" ht="17.25" customHeight="1">
      <c r="A16" s="293" t="s">
        <v>70</v>
      </c>
      <c r="B16" s="294">
        <v>736820824</v>
      </c>
      <c r="C16" s="294">
        <f>SUM(C17,C22,C25)</f>
        <v>551427107</v>
      </c>
      <c r="D16" s="294">
        <f>SUM(D17,D22,D25)</f>
        <v>517219771</v>
      </c>
      <c r="E16" s="283">
        <f t="shared" si="0"/>
        <v>70.1961391634067</v>
      </c>
      <c r="F16" s="284">
        <f t="shared" si="1"/>
        <v>93.79658062402797</v>
      </c>
      <c r="G16" s="295">
        <f>SUM(G17,G22,G25)</f>
        <v>51511036</v>
      </c>
      <c r="H16" s="293" t="s">
        <v>70</v>
      </c>
      <c r="I16" s="285">
        <f>ROUND(B16/1000,0)-1</f>
        <v>736820</v>
      </c>
      <c r="J16" s="285">
        <f>ROUND(C16/1000,0)</f>
        <v>551427</v>
      </c>
      <c r="K16" s="285">
        <f>SUM(K25,K22,K17)</f>
        <v>517220</v>
      </c>
      <c r="L16" s="286">
        <f t="shared" si="2"/>
        <v>70.1962487446052</v>
      </c>
      <c r="M16" s="286">
        <f t="shared" si="3"/>
        <v>93.79664035312018</v>
      </c>
      <c r="N16" s="289">
        <f>K16-'[16]Augusts'!K16</f>
        <v>51511</v>
      </c>
    </row>
    <row r="17" spans="1:14" ht="17.25" customHeight="1">
      <c r="A17" s="293" t="s">
        <v>955</v>
      </c>
      <c r="B17" s="294">
        <v>31334901</v>
      </c>
      <c r="C17" s="294">
        <f>24611250+10782</f>
        <v>24622032</v>
      </c>
      <c r="D17" s="294">
        <f>'[15]Septembris'!$Z$9</f>
        <v>21433974</v>
      </c>
      <c r="E17" s="283">
        <f t="shared" si="0"/>
        <v>68.40287767304578</v>
      </c>
      <c r="F17" s="284">
        <f t="shared" si="1"/>
        <v>87.052010979435</v>
      </c>
      <c r="G17" s="289">
        <f>D17-'[16]Augusts'!D17</f>
        <v>1606376</v>
      </c>
      <c r="H17" s="293" t="s">
        <v>955</v>
      </c>
      <c r="I17" s="285">
        <f>ROUND(B17/1000,0)</f>
        <v>31335</v>
      </c>
      <c r="J17" s="285">
        <f>ROUND(C17/1000,0)</f>
        <v>24622</v>
      </c>
      <c r="K17" s="285">
        <f>SUM(K18:K21)</f>
        <v>21434</v>
      </c>
      <c r="L17" s="286">
        <f t="shared" si="2"/>
        <v>68.40274453486516</v>
      </c>
      <c r="M17" s="286">
        <f t="shared" si="3"/>
        <v>87.05222971326457</v>
      </c>
      <c r="N17" s="289">
        <f>K17-'[16]Augusts'!K17</f>
        <v>1607</v>
      </c>
    </row>
    <row r="18" spans="1:14" ht="15">
      <c r="A18" s="218" t="s">
        <v>71</v>
      </c>
      <c r="B18" s="296">
        <v>1539261</v>
      </c>
      <c r="C18" s="296">
        <v>1175789</v>
      </c>
      <c r="D18" s="693">
        <f>'[15]Septembris'!$Z$10</f>
        <v>1024470</v>
      </c>
      <c r="E18" s="283">
        <f t="shared" si="0"/>
        <v>66.55596419320699</v>
      </c>
      <c r="F18" s="284">
        <f t="shared" si="1"/>
        <v>87.1304290140493</v>
      </c>
      <c r="G18" s="289">
        <f>D18-'[16]Augusts'!D18</f>
        <v>114732</v>
      </c>
      <c r="H18" s="218" t="s">
        <v>71</v>
      </c>
      <c r="I18" s="287">
        <f>ROUND(B18/1000,0)</f>
        <v>1539</v>
      </c>
      <c r="J18" s="287">
        <f>ROUND(C18/1000,0)</f>
        <v>1176</v>
      </c>
      <c r="K18" s="287">
        <f>ROUND(D18/1000,0)</f>
        <v>1024</v>
      </c>
      <c r="L18" s="290">
        <f t="shared" si="2"/>
        <v>66.53671215074723</v>
      </c>
      <c r="M18" s="290">
        <f t="shared" si="3"/>
        <v>87.07482993197279</v>
      </c>
      <c r="N18" s="289">
        <f>K18-'[16]Augusts'!K18</f>
        <v>114</v>
      </c>
    </row>
    <row r="19" spans="1:14" ht="26.25">
      <c r="A19" s="69" t="s">
        <v>72</v>
      </c>
      <c r="B19" s="297" t="s">
        <v>650</v>
      </c>
      <c r="C19" s="297" t="s">
        <v>650</v>
      </c>
      <c r="D19" s="693">
        <f>'[15]Septembris'!$Z$11</f>
        <v>258022</v>
      </c>
      <c r="E19" s="283"/>
      <c r="F19" s="113" t="s">
        <v>650</v>
      </c>
      <c r="G19" s="289">
        <f>D19-'[16]Augusts'!D19</f>
        <v>26235</v>
      </c>
      <c r="H19" s="69" t="s">
        <v>72</v>
      </c>
      <c r="I19" s="297" t="s">
        <v>650</v>
      </c>
      <c r="J19" s="297" t="s">
        <v>650</v>
      </c>
      <c r="K19" s="287">
        <f>ROUND(D19/1000,0)</f>
        <v>258</v>
      </c>
      <c r="L19" s="298" t="s">
        <v>650</v>
      </c>
      <c r="M19" s="298" t="s">
        <v>650</v>
      </c>
      <c r="N19" s="289">
        <f>K19-'[16]Augusts'!K19</f>
        <v>26</v>
      </c>
    </row>
    <row r="20" spans="1:14" ht="15">
      <c r="A20" s="69" t="s">
        <v>73</v>
      </c>
      <c r="B20" s="297" t="s">
        <v>650</v>
      </c>
      <c r="C20" s="297">
        <f>23435461+10782</f>
        <v>23446243</v>
      </c>
      <c r="D20" s="287">
        <f>'[15]Septembris'!$Z$12-157761</f>
        <v>16774503</v>
      </c>
      <c r="E20" s="283"/>
      <c r="F20" s="284">
        <f>D20/C20*100</f>
        <v>71.54452421225865</v>
      </c>
      <c r="G20" s="289">
        <f>D20-'[16]Augusts'!D20</f>
        <v>1350151</v>
      </c>
      <c r="H20" s="69" t="s">
        <v>73</v>
      </c>
      <c r="I20" s="297" t="s">
        <v>650</v>
      </c>
      <c r="J20" s="287">
        <f>ROUND(C20/1000,0)</f>
        <v>23446</v>
      </c>
      <c r="K20" s="287">
        <f>ROUND(D20/1000,0)+1</f>
        <v>16776</v>
      </c>
      <c r="L20" s="298" t="s">
        <v>650</v>
      </c>
      <c r="M20" s="290">
        <f>K20/J20*100</f>
        <v>71.5516506013819</v>
      </c>
      <c r="N20" s="289">
        <f>K20-'[16]Augusts'!K20</f>
        <v>1353</v>
      </c>
    </row>
    <row r="21" spans="1:14" ht="15">
      <c r="A21" s="69" t="s">
        <v>74</v>
      </c>
      <c r="B21" s="297">
        <v>5690057</v>
      </c>
      <c r="C21" s="297" t="s">
        <v>650</v>
      </c>
      <c r="D21" s="287">
        <f>'[15]Septembris'!$Z$15+157761</f>
        <v>3376979</v>
      </c>
      <c r="E21" s="283">
        <f>D21/B21*100</f>
        <v>59.348772780307826</v>
      </c>
      <c r="F21" s="113" t="s">
        <v>650</v>
      </c>
      <c r="G21" s="289">
        <f>D21-'[16]Augusts'!D21</f>
        <v>115258</v>
      </c>
      <c r="H21" s="69" t="s">
        <v>74</v>
      </c>
      <c r="I21" s="287">
        <f>ROUND(B21/1000,0)</f>
        <v>5690</v>
      </c>
      <c r="J21" s="297" t="s">
        <v>650</v>
      </c>
      <c r="K21" s="693">
        <f>ROUND(D21/1000,0)-1</f>
        <v>3376</v>
      </c>
      <c r="L21" s="290">
        <f>K21/I21*100</f>
        <v>59.33216168717047</v>
      </c>
      <c r="M21" s="298" t="s">
        <v>650</v>
      </c>
      <c r="N21" s="289">
        <f>K21-'[16]Augusts'!K21</f>
        <v>114</v>
      </c>
    </row>
    <row r="22" spans="1:14" ht="30">
      <c r="A22" s="299" t="s">
        <v>959</v>
      </c>
      <c r="B22" s="282">
        <v>8594114</v>
      </c>
      <c r="C22" s="282">
        <f>3225448+1126661+1277020+119000+1267640+267341</f>
        <v>7283110</v>
      </c>
      <c r="D22" s="300">
        <f>'[15]Septembris'!$Z$16</f>
        <v>7085692</v>
      </c>
      <c r="E22" s="283">
        <f>D22/B22*100</f>
        <v>82.4481965214797</v>
      </c>
      <c r="F22" s="284">
        <f>D22/C22*100</f>
        <v>97.28937225992742</v>
      </c>
      <c r="G22" s="289">
        <f>D22-'[16]Augusts'!D22</f>
        <v>315720</v>
      </c>
      <c r="H22" s="299" t="s">
        <v>959</v>
      </c>
      <c r="I22" s="285">
        <f>ROUND(B22/1000,0)</f>
        <v>8594</v>
      </c>
      <c r="J22" s="285">
        <f>ROUND(C22/1000,0)</f>
        <v>7283</v>
      </c>
      <c r="K22" s="285">
        <f>SUM(K23:K24)</f>
        <v>7085</v>
      </c>
      <c r="L22" s="286">
        <f>K22/I22*100</f>
        <v>82.44123807307425</v>
      </c>
      <c r="M22" s="286">
        <f>K22/J22*100</f>
        <v>97.28134010709873</v>
      </c>
      <c r="N22" s="289">
        <f>K22-'[16]Augusts'!K22</f>
        <v>315</v>
      </c>
    </row>
    <row r="23" spans="1:14" ht="26.25">
      <c r="A23" s="69" t="s">
        <v>75</v>
      </c>
      <c r="B23" s="297" t="s">
        <v>650</v>
      </c>
      <c r="C23" s="297" t="s">
        <v>650</v>
      </c>
      <c r="D23" s="301">
        <f>'[15]Septembris'!$Z$17</f>
        <v>5196484</v>
      </c>
      <c r="E23" s="283"/>
      <c r="F23" s="113" t="s">
        <v>650</v>
      </c>
      <c r="G23" s="289">
        <f>D23-'[16]Augusts'!D23</f>
        <v>602</v>
      </c>
      <c r="H23" s="69" t="s">
        <v>75</v>
      </c>
      <c r="I23" s="297" t="s">
        <v>650</v>
      </c>
      <c r="J23" s="297" t="s">
        <v>650</v>
      </c>
      <c r="K23" s="287">
        <f>ROUND(D23/1000,0)</f>
        <v>5196</v>
      </c>
      <c r="L23" s="298" t="s">
        <v>650</v>
      </c>
      <c r="M23" s="298" t="s">
        <v>650</v>
      </c>
      <c r="N23" s="289">
        <f>K23-'[16]Augusts'!K23</f>
        <v>0</v>
      </c>
    </row>
    <row r="24" spans="1:14" ht="26.25">
      <c r="A24" s="69" t="s">
        <v>76</v>
      </c>
      <c r="B24" s="297" t="s">
        <v>650</v>
      </c>
      <c r="C24" s="297" t="s">
        <v>650</v>
      </c>
      <c r="D24" s="302">
        <f>'[15]Septembris'!$Z$18</f>
        <v>1889208</v>
      </c>
      <c r="E24" s="283"/>
      <c r="F24" s="113" t="s">
        <v>650</v>
      </c>
      <c r="G24" s="289">
        <f>D24-'[16]Augusts'!D24</f>
        <v>315118</v>
      </c>
      <c r="H24" s="69" t="s">
        <v>76</v>
      </c>
      <c r="I24" s="297" t="s">
        <v>650</v>
      </c>
      <c r="J24" s="297" t="s">
        <v>650</v>
      </c>
      <c r="K24" s="287">
        <f>ROUND(D24/1000,0)</f>
        <v>1889</v>
      </c>
      <c r="L24" s="298" t="s">
        <v>650</v>
      </c>
      <c r="M24" s="298" t="s">
        <v>650</v>
      </c>
      <c r="N24" s="289">
        <f>K24-'[16]Augusts'!K24</f>
        <v>315</v>
      </c>
    </row>
    <row r="25" spans="1:14" ht="17.25" customHeight="1">
      <c r="A25" s="32" t="s">
        <v>963</v>
      </c>
      <c r="B25" s="285">
        <v>696891809</v>
      </c>
      <c r="C25" s="303">
        <f>SUM(C26,C33,C34,C35,C40,C41)</f>
        <v>519521965</v>
      </c>
      <c r="D25" s="303">
        <f>SUM(D26,D28,D33,D34,D35,D40,D41)</f>
        <v>488700105</v>
      </c>
      <c r="E25" s="283">
        <f>D25/B25*100</f>
        <v>70.12567785826853</v>
      </c>
      <c r="F25" s="284">
        <f>D25/C25*100</f>
        <v>94.06726527914945</v>
      </c>
      <c r="G25" s="289">
        <f>D25-'[16]Augusts'!D25</f>
        <v>49588940</v>
      </c>
      <c r="H25" s="32" t="s">
        <v>963</v>
      </c>
      <c r="I25" s="285">
        <f>ROUND(B25/1000,0)</f>
        <v>696892</v>
      </c>
      <c r="J25" s="285">
        <f>ROUND(C25/1000,0)</f>
        <v>519522</v>
      </c>
      <c r="K25" s="303">
        <f>SUM(K26,K28,K33,K34,K35,K40,K41)</f>
        <v>488701</v>
      </c>
      <c r="L25" s="286">
        <f>K25/I25*100</f>
        <v>70.12578706600162</v>
      </c>
      <c r="M25" s="286">
        <f>K25/J25*100</f>
        <v>94.06743121561743</v>
      </c>
      <c r="N25" s="289">
        <f>K25-'[16]Augusts'!K25</f>
        <v>49589</v>
      </c>
    </row>
    <row r="26" spans="1:14" ht="14.25">
      <c r="A26" s="218" t="s">
        <v>77</v>
      </c>
      <c r="B26" s="297" t="s">
        <v>650</v>
      </c>
      <c r="C26" s="304">
        <v>20228200</v>
      </c>
      <c r="D26" s="305">
        <f>'[15]Septembris'!$Z$20+'[15]Septembris'!$Z$30</f>
        <v>4375644</v>
      </c>
      <c r="E26" s="113" t="s">
        <v>650</v>
      </c>
      <c r="F26" s="284">
        <f>D26/C26*100</f>
        <v>21.631405661403388</v>
      </c>
      <c r="G26" s="289">
        <f>D26-'[16]Augusts'!D26</f>
        <v>85662</v>
      </c>
      <c r="H26" s="218" t="s">
        <v>77</v>
      </c>
      <c r="I26" s="297" t="s">
        <v>650</v>
      </c>
      <c r="J26" s="287">
        <f>ROUND(C26/1000,0)</f>
        <v>20228</v>
      </c>
      <c r="K26" s="287">
        <f>ROUND(D26/1000,0)</f>
        <v>4376</v>
      </c>
      <c r="L26" s="298" t="s">
        <v>650</v>
      </c>
      <c r="M26" s="290">
        <f>K26/J26*100</f>
        <v>21.633379473996442</v>
      </c>
      <c r="N26" s="289">
        <f>K26-'[16]Augusts'!K26</f>
        <v>86</v>
      </c>
    </row>
    <row r="27" spans="1:14" ht="14.25">
      <c r="A27" s="252" t="s">
        <v>78</v>
      </c>
      <c r="B27" s="297" t="s">
        <v>650</v>
      </c>
      <c r="C27" s="297" t="s">
        <v>650</v>
      </c>
      <c r="D27" s="306">
        <v>2638352</v>
      </c>
      <c r="E27" s="113" t="s">
        <v>650</v>
      </c>
      <c r="F27" s="113" t="s">
        <v>650</v>
      </c>
      <c r="G27" s="289">
        <f>D27-'[16]Augusts'!D27</f>
        <v>0</v>
      </c>
      <c r="H27" s="252" t="s">
        <v>79</v>
      </c>
      <c r="I27" s="297" t="s">
        <v>650</v>
      </c>
      <c r="J27" s="297" t="s">
        <v>650</v>
      </c>
      <c r="K27" s="287">
        <f aca="true" t="shared" si="5" ref="K27:K34">ROUND(D27/1000,0)</f>
        <v>2638</v>
      </c>
      <c r="L27" s="298" t="s">
        <v>650</v>
      </c>
      <c r="M27" s="298" t="s">
        <v>650</v>
      </c>
      <c r="N27" s="289">
        <f>K27-'[16]Augusts'!K27</f>
        <v>0</v>
      </c>
    </row>
    <row r="28" spans="1:14" ht="14.25">
      <c r="A28" s="218" t="s">
        <v>80</v>
      </c>
      <c r="B28" s="297" t="s">
        <v>650</v>
      </c>
      <c r="C28" s="297" t="s">
        <v>650</v>
      </c>
      <c r="D28" s="305">
        <f>'[15]Septembris'!$Z$21</f>
        <v>12347152</v>
      </c>
      <c r="E28" s="113" t="s">
        <v>650</v>
      </c>
      <c r="F28" s="113" t="s">
        <v>650</v>
      </c>
      <c r="G28" s="289">
        <f>D28-'[16]Augusts'!D28</f>
        <v>1374800</v>
      </c>
      <c r="H28" s="218" t="s">
        <v>80</v>
      </c>
      <c r="I28" s="297" t="s">
        <v>650</v>
      </c>
      <c r="J28" s="297" t="s">
        <v>650</v>
      </c>
      <c r="K28" s="287">
        <f t="shared" si="5"/>
        <v>12347</v>
      </c>
      <c r="L28" s="298" t="s">
        <v>650</v>
      </c>
      <c r="M28" s="298" t="s">
        <v>650</v>
      </c>
      <c r="N28" s="289">
        <f>K28-'[16]Augusts'!K28</f>
        <v>1375</v>
      </c>
    </row>
    <row r="29" spans="1:14" ht="14.25">
      <c r="A29" s="252" t="s">
        <v>81</v>
      </c>
      <c r="B29" s="297" t="s">
        <v>650</v>
      </c>
      <c r="C29" s="297" t="s">
        <v>650</v>
      </c>
      <c r="D29" s="306">
        <v>8712803</v>
      </c>
      <c r="E29" s="113" t="s">
        <v>650</v>
      </c>
      <c r="F29" s="113" t="s">
        <v>650</v>
      </c>
      <c r="G29" s="289">
        <f>D29-'[16]Augusts'!D29</f>
        <v>1173647</v>
      </c>
      <c r="H29" s="252" t="s">
        <v>82</v>
      </c>
      <c r="I29" s="297" t="s">
        <v>650</v>
      </c>
      <c r="J29" s="297" t="s">
        <v>650</v>
      </c>
      <c r="K29" s="287">
        <f t="shared" si="5"/>
        <v>8713</v>
      </c>
      <c r="L29" s="298" t="s">
        <v>650</v>
      </c>
      <c r="M29" s="298" t="s">
        <v>650</v>
      </c>
      <c r="N29" s="289">
        <f>K29-'[16]Augusts'!K29</f>
        <v>1174</v>
      </c>
    </row>
    <row r="30" spans="1:14" ht="25.5">
      <c r="A30" s="77" t="s">
        <v>83</v>
      </c>
      <c r="B30" s="297" t="s">
        <v>650</v>
      </c>
      <c r="C30" s="297" t="s">
        <v>650</v>
      </c>
      <c r="D30" s="305">
        <f>SUM(D31:D32)</f>
        <v>3634349</v>
      </c>
      <c r="E30" s="113" t="s">
        <v>650</v>
      </c>
      <c r="F30" s="113" t="s">
        <v>650</v>
      </c>
      <c r="G30" s="289">
        <f>D30-'[16]Augusts'!D30</f>
        <v>201153</v>
      </c>
      <c r="H30" s="77" t="s">
        <v>84</v>
      </c>
      <c r="I30" s="297" t="s">
        <v>650</v>
      </c>
      <c r="J30" s="297" t="s">
        <v>650</v>
      </c>
      <c r="K30" s="287">
        <f t="shared" si="5"/>
        <v>3634</v>
      </c>
      <c r="L30" s="298" t="s">
        <v>650</v>
      </c>
      <c r="M30" s="298" t="s">
        <v>650</v>
      </c>
      <c r="N30" s="289">
        <f>K30-'[16]Augusts'!K30</f>
        <v>201</v>
      </c>
    </row>
    <row r="31" spans="1:14" ht="14.25">
      <c r="A31" s="307" t="s">
        <v>85</v>
      </c>
      <c r="B31" s="297" t="s">
        <v>650</v>
      </c>
      <c r="C31" s="297" t="s">
        <v>650</v>
      </c>
      <c r="D31" s="305">
        <v>1771908</v>
      </c>
      <c r="E31" s="113" t="s">
        <v>650</v>
      </c>
      <c r="F31" s="113" t="s">
        <v>650</v>
      </c>
      <c r="G31" s="289">
        <f>D31-'[16]Augusts'!D31</f>
        <v>576</v>
      </c>
      <c r="H31" s="307" t="s">
        <v>86</v>
      </c>
      <c r="I31" s="297" t="s">
        <v>650</v>
      </c>
      <c r="J31" s="297" t="s">
        <v>650</v>
      </c>
      <c r="K31" s="287">
        <f t="shared" si="5"/>
        <v>1772</v>
      </c>
      <c r="L31" s="298" t="s">
        <v>650</v>
      </c>
      <c r="M31" s="298" t="s">
        <v>650</v>
      </c>
      <c r="N31" s="289">
        <f>K31-'[16]Augusts'!K31</f>
        <v>1</v>
      </c>
    </row>
    <row r="32" spans="1:14" ht="14.25">
      <c r="A32" s="307" t="s">
        <v>87</v>
      </c>
      <c r="B32" s="297" t="s">
        <v>650</v>
      </c>
      <c r="C32" s="297" t="s">
        <v>650</v>
      </c>
      <c r="D32" s="305">
        <v>1862441</v>
      </c>
      <c r="E32" s="113" t="s">
        <v>650</v>
      </c>
      <c r="F32" s="113" t="s">
        <v>650</v>
      </c>
      <c r="G32" s="289">
        <f>D32-'[16]Augusts'!D32</f>
        <v>200577</v>
      </c>
      <c r="H32" s="307" t="s">
        <v>88</v>
      </c>
      <c r="I32" s="297" t="s">
        <v>650</v>
      </c>
      <c r="J32" s="297" t="s">
        <v>650</v>
      </c>
      <c r="K32" s="287">
        <f t="shared" si="5"/>
        <v>1862</v>
      </c>
      <c r="L32" s="298" t="s">
        <v>650</v>
      </c>
      <c r="M32" s="298" t="s">
        <v>650</v>
      </c>
      <c r="N32" s="289">
        <f>K32-'[16]Augusts'!K32</f>
        <v>200</v>
      </c>
    </row>
    <row r="33" spans="1:14" ht="14.25">
      <c r="A33" s="218" t="s">
        <v>89</v>
      </c>
      <c r="B33" s="308" t="s">
        <v>650</v>
      </c>
      <c r="C33" s="308" t="s">
        <v>650</v>
      </c>
      <c r="D33" s="305">
        <v>0</v>
      </c>
      <c r="E33" s="113" t="s">
        <v>650</v>
      </c>
      <c r="F33" s="113" t="s">
        <v>650</v>
      </c>
      <c r="G33" s="289">
        <f>D33-'[16]Augusts'!D33</f>
        <v>0</v>
      </c>
      <c r="H33" s="218" t="s">
        <v>89</v>
      </c>
      <c r="I33" s="308" t="s">
        <v>650</v>
      </c>
      <c r="J33" s="308" t="s">
        <v>650</v>
      </c>
      <c r="K33" s="287">
        <f t="shared" si="5"/>
        <v>0</v>
      </c>
      <c r="L33" s="298" t="s">
        <v>650</v>
      </c>
      <c r="M33" s="298" t="s">
        <v>650</v>
      </c>
      <c r="N33" s="289">
        <f>K33-'[16]Augusts'!K33</f>
        <v>0</v>
      </c>
    </row>
    <row r="34" spans="1:14" ht="26.25">
      <c r="A34" s="69" t="s">
        <v>90</v>
      </c>
      <c r="B34" s="297">
        <v>159181838</v>
      </c>
      <c r="C34" s="309">
        <f>110948461+653315+1118302+1128230+1094947+1111947+1096947+1244948+1161948+1147448</f>
        <v>120706493</v>
      </c>
      <c r="D34" s="305">
        <f>'[15]Septembris'!$Z$23-D41</f>
        <v>114691792</v>
      </c>
      <c r="E34" s="283">
        <f>D34/B34*100</f>
        <v>72.05080268013992</v>
      </c>
      <c r="F34" s="284">
        <f>D34/C34*100</f>
        <v>95.01708578344663</v>
      </c>
      <c r="G34" s="289">
        <f>D34-'[16]Augusts'!D34</f>
        <v>12368982</v>
      </c>
      <c r="H34" s="69" t="s">
        <v>90</v>
      </c>
      <c r="I34" s="287">
        <f>ROUND(B34/1000,0)</f>
        <v>159182</v>
      </c>
      <c r="J34" s="287">
        <f>ROUND(C34/1000,0)</f>
        <v>120706</v>
      </c>
      <c r="K34" s="287">
        <f t="shared" si="5"/>
        <v>114692</v>
      </c>
      <c r="L34" s="290">
        <f>K34/I34*100</f>
        <v>72.05086002186178</v>
      </c>
      <c r="M34" s="290">
        <f>K34/J34*100</f>
        <v>95.01764618163139</v>
      </c>
      <c r="N34" s="289">
        <f>K34-'[16]Augusts'!K34</f>
        <v>12369</v>
      </c>
    </row>
    <row r="35" spans="1:14" ht="17.25" customHeight="1">
      <c r="A35" s="69" t="s">
        <v>91</v>
      </c>
      <c r="B35" s="297">
        <v>509376221</v>
      </c>
      <c r="C35" s="309">
        <f>50022+43369702+42599868+41381667+42298478+43057668+40994265+42816742+41783112+38977267</f>
        <v>377328791</v>
      </c>
      <c r="D35" s="305">
        <f>SUM(D36:D39)</f>
        <v>356049115</v>
      </c>
      <c r="E35" s="283">
        <f>D35/B35*100</f>
        <v>69.89904520886537</v>
      </c>
      <c r="F35" s="284">
        <f>D35/C35*100</f>
        <v>94.3604420050735</v>
      </c>
      <c r="G35" s="289">
        <f>D35-'[16]Augusts'!D35</f>
        <v>35484815</v>
      </c>
      <c r="H35" s="69" t="s">
        <v>91</v>
      </c>
      <c r="I35" s="287">
        <f>ROUND(B35/1000,0)</f>
        <v>509376</v>
      </c>
      <c r="J35" s="287">
        <f>ROUND(C35/1000,0)</f>
        <v>377329</v>
      </c>
      <c r="K35" s="287">
        <f>SUM(K36:K39)</f>
        <v>356049</v>
      </c>
      <c r="L35" s="290">
        <f>K35/I35*100</f>
        <v>69.89905295891444</v>
      </c>
      <c r="M35" s="290">
        <f>K35/J35*100</f>
        <v>94.36035926207633</v>
      </c>
      <c r="N35" s="289">
        <f>K35-'[16]Augusts'!K35</f>
        <v>35484</v>
      </c>
    </row>
    <row r="36" spans="1:14" ht="17.25" customHeight="1">
      <c r="A36" s="310" t="s">
        <v>92</v>
      </c>
      <c r="B36" s="311" t="s">
        <v>650</v>
      </c>
      <c r="C36" s="311" t="s">
        <v>650</v>
      </c>
      <c r="D36" s="312">
        <v>327094981</v>
      </c>
      <c r="E36" s="283"/>
      <c r="F36" s="113" t="s">
        <v>650</v>
      </c>
      <c r="G36" s="289">
        <f>D36-'[16]Augusts'!D36</f>
        <v>32127376</v>
      </c>
      <c r="H36" s="310" t="s">
        <v>92</v>
      </c>
      <c r="I36" s="311" t="s">
        <v>650</v>
      </c>
      <c r="J36" s="311" t="s">
        <v>650</v>
      </c>
      <c r="K36" s="287">
        <f aca="true" t="shared" si="6" ref="K36:K41">ROUND(D36/1000,0)</f>
        <v>327095</v>
      </c>
      <c r="L36" s="298" t="s">
        <v>650</v>
      </c>
      <c r="M36" s="298" t="s">
        <v>650</v>
      </c>
      <c r="N36" s="289">
        <f>K36-'[16]Augusts'!K36</f>
        <v>32127</v>
      </c>
    </row>
    <row r="37" spans="1:14" ht="17.25" customHeight="1">
      <c r="A37" s="310" t="s">
        <v>93</v>
      </c>
      <c r="B37" s="311" t="s">
        <v>650</v>
      </c>
      <c r="C37" s="311" t="s">
        <v>650</v>
      </c>
      <c r="D37" s="312">
        <v>27395345</v>
      </c>
      <c r="E37" s="283"/>
      <c r="F37" s="113" t="s">
        <v>650</v>
      </c>
      <c r="G37" s="289">
        <f>D37-'[16]Augusts'!D37</f>
        <v>3108420</v>
      </c>
      <c r="H37" s="310" t="s">
        <v>93</v>
      </c>
      <c r="I37" s="311" t="s">
        <v>650</v>
      </c>
      <c r="J37" s="311" t="s">
        <v>650</v>
      </c>
      <c r="K37" s="287">
        <f t="shared" si="6"/>
        <v>27395</v>
      </c>
      <c r="L37" s="298" t="s">
        <v>650</v>
      </c>
      <c r="M37" s="298" t="s">
        <v>650</v>
      </c>
      <c r="N37" s="289">
        <f>K37-'[16]Augusts'!K37</f>
        <v>3108</v>
      </c>
    </row>
    <row r="38" spans="1:14" ht="17.25" customHeight="1">
      <c r="A38" s="310" t="s">
        <v>94</v>
      </c>
      <c r="B38" s="311" t="s">
        <v>650</v>
      </c>
      <c r="C38" s="311" t="s">
        <v>650</v>
      </c>
      <c r="D38" s="758">
        <v>623153</v>
      </c>
      <c r="E38" s="283"/>
      <c r="F38" s="113" t="s">
        <v>650</v>
      </c>
      <c r="G38" s="289">
        <f>D38-'[16]Augusts'!D38</f>
        <v>76966</v>
      </c>
      <c r="H38" s="310" t="s">
        <v>94</v>
      </c>
      <c r="I38" s="311" t="s">
        <v>650</v>
      </c>
      <c r="J38" s="311" t="s">
        <v>650</v>
      </c>
      <c r="K38" s="287">
        <f t="shared" si="6"/>
        <v>623</v>
      </c>
      <c r="L38" s="298" t="s">
        <v>650</v>
      </c>
      <c r="M38" s="298" t="s">
        <v>650</v>
      </c>
      <c r="N38" s="289">
        <f>K38-'[16]Augusts'!K38</f>
        <v>77</v>
      </c>
    </row>
    <row r="39" spans="1:14" ht="17.25" customHeight="1">
      <c r="A39" s="310" t="s">
        <v>95</v>
      </c>
      <c r="B39" s="311" t="s">
        <v>650</v>
      </c>
      <c r="C39" s="311" t="s">
        <v>650</v>
      </c>
      <c r="D39" s="313">
        <v>935636</v>
      </c>
      <c r="E39" s="283"/>
      <c r="F39" s="113" t="s">
        <v>650</v>
      </c>
      <c r="G39" s="289">
        <f>D39-'[16]Augusts'!D39</f>
        <v>172053</v>
      </c>
      <c r="H39" s="310" t="s">
        <v>95</v>
      </c>
      <c r="I39" s="311" t="s">
        <v>650</v>
      </c>
      <c r="J39" s="311" t="s">
        <v>650</v>
      </c>
      <c r="K39" s="287">
        <f t="shared" si="6"/>
        <v>936</v>
      </c>
      <c r="L39" s="298" t="s">
        <v>650</v>
      </c>
      <c r="M39" s="298" t="s">
        <v>650</v>
      </c>
      <c r="N39" s="289">
        <f>K39-'[16]Augusts'!K39</f>
        <v>172</v>
      </c>
    </row>
    <row r="40" spans="1:14" ht="26.25">
      <c r="A40" s="69" t="s">
        <v>96</v>
      </c>
      <c r="B40" s="314">
        <v>279255</v>
      </c>
      <c r="C40" s="315">
        <v>357581</v>
      </c>
      <c r="D40" s="314">
        <f>'[15]Septembris'!$Z$29</f>
        <v>335502</v>
      </c>
      <c r="E40" s="283">
        <f>D40/B40*100</f>
        <v>120.14180587634957</v>
      </c>
      <c r="F40" s="284">
        <f>D40/C40*100</f>
        <v>93.82545493188957</v>
      </c>
      <c r="G40" s="289">
        <f>D40-'[16]Augusts'!D40</f>
        <v>174581</v>
      </c>
      <c r="H40" s="69" t="s">
        <v>96</v>
      </c>
      <c r="I40" s="287">
        <f>ROUND(B40/1000,0)</f>
        <v>279</v>
      </c>
      <c r="J40" s="287">
        <f>ROUND(C40/1000,0)</f>
        <v>358</v>
      </c>
      <c r="K40" s="287">
        <f t="shared" si="6"/>
        <v>336</v>
      </c>
      <c r="L40" s="290">
        <f aca="true" t="shared" si="7" ref="L40:L45">K40/I40*100</f>
        <v>120.43010752688173</v>
      </c>
      <c r="M40" s="290">
        <f>K40/J40*100</f>
        <v>93.85474860335195</v>
      </c>
      <c r="N40" s="289">
        <f>K40-'[16]Augusts'!K40</f>
        <v>175</v>
      </c>
    </row>
    <row r="41" spans="1:14" ht="39">
      <c r="A41" s="69" t="s">
        <v>150</v>
      </c>
      <c r="B41" s="314">
        <v>1201200</v>
      </c>
      <c r="C41" s="316">
        <v>900900</v>
      </c>
      <c r="D41" s="287">
        <v>900900</v>
      </c>
      <c r="E41" s="283">
        <f>D41/B41*100</f>
        <v>75</v>
      </c>
      <c r="F41" s="113" t="s">
        <v>650</v>
      </c>
      <c r="G41" s="289">
        <f>D41-'[16]Augusts'!D41</f>
        <v>100100</v>
      </c>
      <c r="H41" s="69" t="s">
        <v>150</v>
      </c>
      <c r="I41" s="287">
        <f>ROUND(B41/1000,0)</f>
        <v>1201</v>
      </c>
      <c r="J41" s="287">
        <f>ROUND(C41/1000,0)</f>
        <v>901</v>
      </c>
      <c r="K41" s="287">
        <f t="shared" si="6"/>
        <v>901</v>
      </c>
      <c r="L41" s="290">
        <f t="shared" si="7"/>
        <v>75.02081598667777</v>
      </c>
      <c r="M41" s="290">
        <f>K41/J41*100</f>
        <v>100</v>
      </c>
      <c r="N41" s="289">
        <f>K41-'[16]Augusts'!K41</f>
        <v>100</v>
      </c>
    </row>
    <row r="42" spans="1:14" ht="17.25" customHeight="1">
      <c r="A42" s="317" t="s">
        <v>151</v>
      </c>
      <c r="B42" s="303">
        <f>SUM(B43:B44)</f>
        <v>33024925</v>
      </c>
      <c r="C42" s="303">
        <f>SUM(C43:C44)</f>
        <v>25916427</v>
      </c>
      <c r="D42" s="303">
        <f>SUM(D43:D44)</f>
        <v>15054630</v>
      </c>
      <c r="E42" s="283">
        <f>D42/B42*100</f>
        <v>45.58565992201345</v>
      </c>
      <c r="F42" s="284">
        <f>D42/C42*100</f>
        <v>58.08914168608196</v>
      </c>
      <c r="G42" s="289">
        <f>D42-'[16]Augusts'!D42</f>
        <v>1533407</v>
      </c>
      <c r="H42" s="317" t="s">
        <v>151</v>
      </c>
      <c r="I42" s="285">
        <f>SUM(I43:I44)</f>
        <v>33025</v>
      </c>
      <c r="J42" s="285">
        <f>SUM(J43:J44)</f>
        <v>25917</v>
      </c>
      <c r="K42" s="285">
        <f>SUM(K43:K44)</f>
        <v>15054</v>
      </c>
      <c r="L42" s="286">
        <f t="shared" si="7"/>
        <v>45.58364875094625</v>
      </c>
      <c r="M42" s="286">
        <f>K42/J42*100</f>
        <v>58.08542655399931</v>
      </c>
      <c r="N42" s="282">
        <f>SUM(N43:N44)</f>
        <v>1533</v>
      </c>
    </row>
    <row r="43" spans="1:14" ht="15">
      <c r="A43" s="69" t="s">
        <v>152</v>
      </c>
      <c r="B43" s="296">
        <v>12560112</v>
      </c>
      <c r="C43" s="296">
        <v>10856801</v>
      </c>
      <c r="D43" s="287">
        <f>'[15]Septembris'!$Z$32</f>
        <v>7416197</v>
      </c>
      <c r="E43" s="283">
        <f>D43/B43*100</f>
        <v>59.045627937075714</v>
      </c>
      <c r="F43" s="284" t="e">
        <f>#REF!/C43*100</f>
        <v>#REF!</v>
      </c>
      <c r="G43" s="289">
        <f>D43-'[16]Augusts'!D43</f>
        <v>684177</v>
      </c>
      <c r="H43" s="69" t="s">
        <v>152</v>
      </c>
      <c r="I43" s="287">
        <f aca="true" t="shared" si="8" ref="I43:K44">ROUND(B43/1000,0)</f>
        <v>12560</v>
      </c>
      <c r="J43" s="287">
        <f t="shared" si="8"/>
        <v>10857</v>
      </c>
      <c r="K43" s="287">
        <f t="shared" si="8"/>
        <v>7416</v>
      </c>
      <c r="L43" s="290">
        <f t="shared" si="7"/>
        <v>59.044585987261144</v>
      </c>
      <c r="M43" s="290">
        <f>K43/J43*100</f>
        <v>68.3061619231832</v>
      </c>
      <c r="N43" s="289">
        <f>K43-'[16]Augusts'!K43</f>
        <v>684</v>
      </c>
    </row>
    <row r="44" spans="1:14" ht="15">
      <c r="A44" s="69" t="s">
        <v>153</v>
      </c>
      <c r="B44" s="296">
        <v>20464813</v>
      </c>
      <c r="C44" s="296">
        <f>12980007+234780+215420+194320+168470+222820+478190+278819+286800</f>
        <v>15059626</v>
      </c>
      <c r="D44" s="287">
        <f>'[15]Septembris'!$Z$33</f>
        <v>7638433</v>
      </c>
      <c r="E44" s="283">
        <f>D43/B44*100</f>
        <v>36.23877237480743</v>
      </c>
      <c r="F44" s="284">
        <f>D43/C44*100</f>
        <v>49.24555895345608</v>
      </c>
      <c r="G44" s="289">
        <f>D43-'[16]Augusts'!D44</f>
        <v>626994</v>
      </c>
      <c r="H44" s="69" t="s">
        <v>153</v>
      </c>
      <c r="I44" s="287">
        <f t="shared" si="8"/>
        <v>20465</v>
      </c>
      <c r="J44" s="287">
        <f t="shared" si="8"/>
        <v>15060</v>
      </c>
      <c r="K44" s="287">
        <f t="shared" si="8"/>
        <v>7638</v>
      </c>
      <c r="L44" s="290">
        <f t="shared" si="7"/>
        <v>37.32225751282678</v>
      </c>
      <c r="M44" s="290">
        <f>K44/J44*100</f>
        <v>50.71713147410358</v>
      </c>
      <c r="N44" s="289">
        <f>K44-'[16]Augusts'!K44</f>
        <v>849</v>
      </c>
    </row>
    <row r="45" spans="1:14" ht="30">
      <c r="A45" s="299" t="s">
        <v>154</v>
      </c>
      <c r="B45" s="294">
        <v>6370052</v>
      </c>
      <c r="C45" s="318" t="s">
        <v>650</v>
      </c>
      <c r="D45" s="294">
        <f>D46-D47</f>
        <v>4112528</v>
      </c>
      <c r="E45" s="283">
        <f>D45/B45*100</f>
        <v>64.56035209759669</v>
      </c>
      <c r="F45" s="113" t="s">
        <v>650</v>
      </c>
      <c r="G45" s="289">
        <f>D45-'[16]Augusts'!D45</f>
        <v>534652</v>
      </c>
      <c r="H45" s="299" t="s">
        <v>154</v>
      </c>
      <c r="I45" s="285">
        <f>ROUND(B45/1000,0)</f>
        <v>6370</v>
      </c>
      <c r="J45" s="319" t="s">
        <v>650</v>
      </c>
      <c r="K45" s="285">
        <f>K46-K47</f>
        <v>4112</v>
      </c>
      <c r="L45" s="286">
        <f t="shared" si="7"/>
        <v>64.55259026687598</v>
      </c>
      <c r="M45" s="97" t="s">
        <v>650</v>
      </c>
      <c r="N45" s="282">
        <f>K45-'[16]Augusts'!K45</f>
        <v>534</v>
      </c>
    </row>
    <row r="46" spans="1:14" ht="15">
      <c r="A46" s="218" t="s">
        <v>155</v>
      </c>
      <c r="B46" s="318" t="s">
        <v>650</v>
      </c>
      <c r="C46" s="287">
        <v>5040675</v>
      </c>
      <c r="D46" s="287">
        <f>'[15]Septembris'!$Z$35</f>
        <v>4283269</v>
      </c>
      <c r="E46" s="283"/>
      <c r="F46" s="284">
        <f>D46/C46*100</f>
        <v>84.97411556983936</v>
      </c>
      <c r="G46" s="289">
        <f>D46-'[16]Augusts'!D46</f>
        <v>574172</v>
      </c>
      <c r="H46" s="218" t="s">
        <v>155</v>
      </c>
      <c r="I46" s="318" t="s">
        <v>650</v>
      </c>
      <c r="J46" s="287">
        <f>ROUND(C46/1000,0)</f>
        <v>5041</v>
      </c>
      <c r="K46" s="287">
        <f>ROUND(D46/1000,0)</f>
        <v>4283</v>
      </c>
      <c r="L46" s="298" t="s">
        <v>650</v>
      </c>
      <c r="M46" s="290"/>
      <c r="N46" s="289">
        <f>K46-'[16]Augusts'!K46</f>
        <v>574</v>
      </c>
    </row>
    <row r="47" spans="1:14" ht="26.25">
      <c r="A47" s="131" t="s">
        <v>156</v>
      </c>
      <c r="B47" s="318" t="s">
        <v>650</v>
      </c>
      <c r="C47" s="287">
        <v>153000</v>
      </c>
      <c r="D47" s="312">
        <f>-'[15]Septembris'!$Z$36</f>
        <v>170741</v>
      </c>
      <c r="E47" s="283"/>
      <c r="F47" s="284">
        <f>D47/C47*100</f>
        <v>111.5954248366013</v>
      </c>
      <c r="G47" s="289">
        <f>D47-'[16]Augusts'!D47</f>
        <v>39520</v>
      </c>
      <c r="H47" s="131" t="s">
        <v>156</v>
      </c>
      <c r="I47" s="318" t="s">
        <v>650</v>
      </c>
      <c r="J47" s="287">
        <f>ROUND(C47/1000,0)</f>
        <v>153</v>
      </c>
      <c r="K47" s="287">
        <f>ROUND(D47/1000,0)</f>
        <v>171</v>
      </c>
      <c r="L47" s="298" t="s">
        <v>650</v>
      </c>
      <c r="M47" s="290"/>
      <c r="N47" s="289">
        <f>K47-'[16]Augusts'!K47</f>
        <v>40</v>
      </c>
    </row>
    <row r="48" spans="1:14" ht="17.25" customHeight="1">
      <c r="A48" s="299" t="s">
        <v>157</v>
      </c>
      <c r="B48" s="303">
        <f>B10-B15-B45</f>
        <v>-49081562</v>
      </c>
      <c r="C48" s="318" t="s">
        <v>650</v>
      </c>
      <c r="D48" s="303">
        <f>D10-D15-D45</f>
        <v>-14475842</v>
      </c>
      <c r="E48" s="283">
        <f>D48/B48*100</f>
        <v>29.493441956879856</v>
      </c>
      <c r="F48" s="113" t="s">
        <v>650</v>
      </c>
      <c r="G48" s="303">
        <f>G10-G15-G45</f>
        <v>2192995</v>
      </c>
      <c r="H48" s="299" t="s">
        <v>157</v>
      </c>
      <c r="I48" s="303">
        <f>I10-I15-I45</f>
        <v>-49081</v>
      </c>
      <c r="J48" s="319" t="s">
        <v>650</v>
      </c>
      <c r="K48" s="294">
        <f>K10-K15-K45</f>
        <v>-14474</v>
      </c>
      <c r="L48" s="286">
        <f>K48/I48*100</f>
        <v>29.49002669057273</v>
      </c>
      <c r="M48" s="298" t="s">
        <v>650</v>
      </c>
      <c r="N48" s="294">
        <f>N10-N15-N45</f>
        <v>2196</v>
      </c>
    </row>
    <row r="49" spans="1:14" ht="17.25" customHeight="1">
      <c r="A49" s="299" t="s">
        <v>989</v>
      </c>
      <c r="B49" s="294">
        <f>-B48</f>
        <v>49081562</v>
      </c>
      <c r="C49" s="297" t="s">
        <v>650</v>
      </c>
      <c r="D49" s="294">
        <f>-D48</f>
        <v>14475842</v>
      </c>
      <c r="E49" s="283">
        <f>D49/B49*100</f>
        <v>29.493441956879856</v>
      </c>
      <c r="F49" s="113" t="s">
        <v>650</v>
      </c>
      <c r="G49" s="282">
        <f>D49-'[16]Augusts'!D49</f>
        <v>-2192995</v>
      </c>
      <c r="H49" s="299" t="s">
        <v>989</v>
      </c>
      <c r="I49" s="294">
        <f>-I48</f>
        <v>49081</v>
      </c>
      <c r="J49" s="320" t="s">
        <v>650</v>
      </c>
      <c r="K49" s="294">
        <f>-K48</f>
        <v>14474</v>
      </c>
      <c r="L49" s="286">
        <f>K49/I49*100</f>
        <v>29.49002669057273</v>
      </c>
      <c r="M49" s="298" t="s">
        <v>650</v>
      </c>
      <c r="N49" s="294">
        <f>-N48</f>
        <v>-2196</v>
      </c>
    </row>
    <row r="50" spans="1:14" ht="17.25" customHeight="1">
      <c r="A50" s="69" t="s">
        <v>158</v>
      </c>
      <c r="B50" s="287">
        <v>48047657</v>
      </c>
      <c r="C50" s="297">
        <f>18322591+27544088-2611592+302813+224080</f>
        <v>43781980</v>
      </c>
      <c r="D50" s="287">
        <f>'[15]Septembris'!$Z$44+'[15]Septembris'!$Z$40</f>
        <v>25412866</v>
      </c>
      <c r="E50" s="283">
        <f>D50/B50*100</f>
        <v>52.890957825477315</v>
      </c>
      <c r="F50" s="284">
        <f>D50/C50*100</f>
        <v>58.044122262172706</v>
      </c>
      <c r="G50" s="289">
        <f>D50-'[16]Augusts'!D50</f>
        <v>-1023246</v>
      </c>
      <c r="H50" s="69" t="s">
        <v>158</v>
      </c>
      <c r="I50" s="287">
        <f>ROUND(B50/1000,0)-1</f>
        <v>48047</v>
      </c>
      <c r="J50" s="287">
        <f>ROUND(C50/1000,0)-1</f>
        <v>43781</v>
      </c>
      <c r="K50" s="287">
        <f>ROUND(D50/1000,0)</f>
        <v>25413</v>
      </c>
      <c r="L50" s="290">
        <f>K50/I50*100</f>
        <v>52.89195995587653</v>
      </c>
      <c r="M50" s="290">
        <f>K50/J50*100</f>
        <v>58.045727598730046</v>
      </c>
      <c r="N50" s="289">
        <f>K50-'[16]Augusts'!K50</f>
        <v>-1024</v>
      </c>
    </row>
    <row r="51" spans="1:14" ht="39">
      <c r="A51" s="69" t="s">
        <v>159</v>
      </c>
      <c r="B51" s="287">
        <f>-(B48+B50)</f>
        <v>1033905</v>
      </c>
      <c r="C51" s="113" t="s">
        <v>650</v>
      </c>
      <c r="D51" s="287">
        <f>-(D48+D50)</f>
        <v>-10937024</v>
      </c>
      <c r="E51" s="283">
        <f>D51/B51*100</f>
        <v>-1057.8364549934472</v>
      </c>
      <c r="F51" s="113" t="s">
        <v>650</v>
      </c>
      <c r="G51" s="289">
        <f>D51-'[16]Augusts'!D51</f>
        <v>-1169749</v>
      </c>
      <c r="H51" s="69" t="s">
        <v>159</v>
      </c>
      <c r="I51" s="287">
        <f>-(I48+I50)</f>
        <v>1034</v>
      </c>
      <c r="J51" s="113" t="s">
        <v>650</v>
      </c>
      <c r="K51" s="287">
        <f>-(K48+K50)</f>
        <v>-10939</v>
      </c>
      <c r="L51" s="290"/>
      <c r="M51" s="298" t="s">
        <v>650</v>
      </c>
      <c r="N51" s="287">
        <f>K51-'[16]Augusts'!K51</f>
        <v>-1172</v>
      </c>
    </row>
    <row r="52" spans="1:14" ht="17.25" customHeight="1">
      <c r="A52" s="321"/>
      <c r="B52" s="322"/>
      <c r="C52" s="322"/>
      <c r="D52" s="323"/>
      <c r="E52" s="324"/>
      <c r="F52" s="325"/>
      <c r="G52" s="83"/>
      <c r="H52" s="321"/>
      <c r="I52" s="322"/>
      <c r="J52" s="322"/>
      <c r="K52" s="323"/>
      <c r="L52" s="324"/>
      <c r="M52" s="325"/>
      <c r="N52" s="83"/>
    </row>
    <row r="53" spans="1:14" ht="14.25" hidden="1">
      <c r="A53" s="326" t="s">
        <v>160</v>
      </c>
      <c r="B53" s="322"/>
      <c r="C53" s="322"/>
      <c r="D53" s="323"/>
      <c r="E53" s="324"/>
      <c r="F53" s="325"/>
      <c r="G53" s="83"/>
      <c r="H53" s="326" t="s">
        <v>160</v>
      </c>
      <c r="I53" s="322"/>
      <c r="J53" s="322"/>
      <c r="K53" s="323"/>
      <c r="L53" s="324"/>
      <c r="M53" s="325"/>
      <c r="N53" s="83"/>
    </row>
    <row r="54" spans="1:14" ht="12.75" hidden="1">
      <c r="A54" s="69" t="s">
        <v>162</v>
      </c>
      <c r="B54" s="308"/>
      <c r="C54" s="308"/>
      <c r="D54" s="226"/>
      <c r="E54" s="327"/>
      <c r="F54" s="113"/>
      <c r="G54" s="60"/>
      <c r="H54" s="69" t="s">
        <v>162</v>
      </c>
      <c r="I54" s="308"/>
      <c r="J54" s="308"/>
      <c r="K54" s="226"/>
      <c r="L54" s="327"/>
      <c r="M54" s="113"/>
      <c r="N54" s="60"/>
    </row>
    <row r="55" spans="1:14" ht="12.75" hidden="1">
      <c r="A55" s="60" t="s">
        <v>0</v>
      </c>
      <c r="B55" s="308"/>
      <c r="C55" s="308"/>
      <c r="D55" s="226"/>
      <c r="E55" s="327"/>
      <c r="F55" s="113"/>
      <c r="G55" s="60"/>
      <c r="H55" s="60" t="s">
        <v>0</v>
      </c>
      <c r="I55" s="308"/>
      <c r="J55" s="308"/>
      <c r="K55" s="226"/>
      <c r="L55" s="327"/>
      <c r="M55" s="113"/>
      <c r="N55" s="60"/>
    </row>
    <row r="56" spans="1:14" ht="25.5" hidden="1">
      <c r="A56" s="69" t="s">
        <v>163</v>
      </c>
      <c r="B56" s="308"/>
      <c r="C56" s="308"/>
      <c r="D56" s="226"/>
      <c r="E56" s="327"/>
      <c r="F56" s="113"/>
      <c r="G56" s="60"/>
      <c r="H56" s="69" t="s">
        <v>163</v>
      </c>
      <c r="I56" s="308"/>
      <c r="J56" s="308"/>
      <c r="K56" s="226"/>
      <c r="L56" s="327"/>
      <c r="M56" s="113"/>
      <c r="N56" s="60"/>
    </row>
    <row r="57" spans="1:14" ht="17.25" customHeight="1">
      <c r="A57" s="83"/>
      <c r="B57" s="322"/>
      <c r="C57" s="322"/>
      <c r="D57" s="323"/>
      <c r="E57" s="324"/>
      <c r="F57" s="325"/>
      <c r="G57" s="83"/>
      <c r="H57" s="83"/>
      <c r="I57" s="322"/>
      <c r="J57" s="322"/>
      <c r="K57" s="323"/>
      <c r="L57" s="324"/>
      <c r="M57" s="325"/>
      <c r="N57" s="83"/>
    </row>
    <row r="58" spans="1:14" ht="17.25" customHeight="1">
      <c r="A58" s="49"/>
      <c r="B58" s="328"/>
      <c r="C58" s="328"/>
      <c r="D58" s="47"/>
      <c r="E58" s="324"/>
      <c r="F58" s="329"/>
      <c r="G58" s="49"/>
      <c r="H58" s="330" t="s">
        <v>456</v>
      </c>
      <c r="I58" s="330"/>
      <c r="J58" s="330"/>
      <c r="K58" s="330"/>
      <c r="M58" s="867" t="s">
        <v>859</v>
      </c>
      <c r="N58" s="867"/>
    </row>
    <row r="59" spans="2:14" ht="17.25" customHeight="1">
      <c r="B59" s="328"/>
      <c r="C59" s="328"/>
      <c r="D59" s="47"/>
      <c r="E59" s="331"/>
      <c r="F59" s="329"/>
      <c r="G59" s="49"/>
      <c r="I59" s="328"/>
      <c r="J59" s="328"/>
      <c r="K59" s="47"/>
      <c r="L59" s="331"/>
      <c r="M59" s="329"/>
      <c r="N59" s="49"/>
    </row>
    <row r="60" spans="2:14" ht="17.25" customHeight="1">
      <c r="B60" s="49"/>
      <c r="C60" s="49"/>
      <c r="D60" s="49"/>
      <c r="E60" s="332"/>
      <c r="F60" s="333"/>
      <c r="G60" s="49"/>
      <c r="I60" s="49"/>
      <c r="J60" s="49"/>
      <c r="K60" s="49"/>
      <c r="L60" s="332"/>
      <c r="M60" s="333"/>
      <c r="N60" s="49"/>
    </row>
    <row r="61" spans="2:14" ht="17.25" customHeight="1">
      <c r="B61" s="328"/>
      <c r="C61" s="334"/>
      <c r="D61" s="47"/>
      <c r="E61" s="334"/>
      <c r="F61" s="329"/>
      <c r="G61" s="49"/>
      <c r="I61" s="328"/>
      <c r="J61" s="334"/>
      <c r="K61" s="47"/>
      <c r="L61" s="334"/>
      <c r="M61" s="329"/>
      <c r="N61" s="49"/>
    </row>
    <row r="62" spans="2:13" ht="17.25" customHeight="1">
      <c r="B62" s="6"/>
      <c r="C62" s="6"/>
      <c r="E62" s="335"/>
      <c r="F62" s="336"/>
      <c r="I62" s="6"/>
      <c r="J62" s="6"/>
      <c r="L62" s="335"/>
      <c r="M62" s="336"/>
    </row>
    <row r="63" spans="2:13" ht="17.25" customHeight="1">
      <c r="B63" s="6"/>
      <c r="C63" s="6"/>
      <c r="E63" s="335"/>
      <c r="F63" s="336"/>
      <c r="H63" s="321"/>
      <c r="I63" s="321"/>
      <c r="J63" s="321"/>
      <c r="K63" s="321"/>
      <c r="L63" s="321"/>
      <c r="M63" s="321"/>
    </row>
    <row r="64" spans="1:6" ht="17.25" customHeight="1">
      <c r="A64" s="41" t="s">
        <v>938</v>
      </c>
      <c r="B64" s="39"/>
      <c r="C64" s="39"/>
      <c r="E64" s="334" t="s">
        <v>939</v>
      </c>
      <c r="F64" s="336"/>
    </row>
    <row r="65" spans="2:13" ht="17.25" customHeight="1">
      <c r="B65" s="337"/>
      <c r="C65" s="335"/>
      <c r="D65" s="338"/>
      <c r="E65" s="335"/>
      <c r="F65" s="336"/>
      <c r="H65" s="5" t="s">
        <v>61</v>
      </c>
      <c r="I65" s="321"/>
      <c r="J65" s="321"/>
      <c r="K65" s="321"/>
      <c r="L65" s="321"/>
      <c r="M65" s="321"/>
    </row>
    <row r="66" spans="2:13" ht="17.25" customHeight="1">
      <c r="B66" s="337"/>
      <c r="C66" s="335"/>
      <c r="D66" s="338"/>
      <c r="E66" s="335"/>
      <c r="F66" s="336"/>
      <c r="H66" s="5" t="s">
        <v>116</v>
      </c>
      <c r="I66" s="337"/>
      <c r="J66" s="335"/>
      <c r="K66" s="338"/>
      <c r="L66" s="335"/>
      <c r="M66" s="336"/>
    </row>
    <row r="67" spans="2:13" ht="17.25" customHeight="1">
      <c r="B67" s="6"/>
      <c r="C67" s="6"/>
      <c r="E67" s="335"/>
      <c r="F67" s="336"/>
      <c r="I67" s="6"/>
      <c r="J67" s="6"/>
      <c r="L67" s="335"/>
      <c r="M67" s="336"/>
    </row>
    <row r="68" spans="2:13" ht="17.25" customHeight="1">
      <c r="B68" s="6"/>
      <c r="C68" s="6"/>
      <c r="E68" s="335"/>
      <c r="F68" s="336"/>
      <c r="I68" s="6"/>
      <c r="J68" s="6"/>
      <c r="L68" s="335"/>
      <c r="M68" s="336"/>
    </row>
    <row r="69" spans="5:13" ht="17.25" customHeight="1">
      <c r="E69" s="335"/>
      <c r="F69" s="336"/>
      <c r="L69" s="335"/>
      <c r="M69" s="336"/>
    </row>
    <row r="70" spans="1:13" ht="17.25" customHeight="1">
      <c r="A70" s="330"/>
      <c r="E70" s="335"/>
      <c r="F70" s="336"/>
      <c r="H70" s="330"/>
      <c r="L70" s="335"/>
      <c r="M70" s="336"/>
    </row>
    <row r="71" spans="5:13" ht="17.25" customHeight="1">
      <c r="E71" s="335"/>
      <c r="F71" s="336"/>
      <c r="L71" s="335"/>
      <c r="M71" s="336"/>
    </row>
    <row r="72" spans="5:13" ht="17.25" customHeight="1">
      <c r="E72" s="335"/>
      <c r="F72" s="336"/>
      <c r="L72" s="335"/>
      <c r="M72" s="336"/>
    </row>
    <row r="79" ht="17.25" customHeight="1">
      <c r="A79" s="5" t="s">
        <v>61</v>
      </c>
    </row>
    <row r="80" ht="17.25" customHeight="1">
      <c r="A80" s="5" t="s">
        <v>164</v>
      </c>
    </row>
    <row r="91" ht="17.25" customHeight="1">
      <c r="A91" s="1"/>
    </row>
    <row r="92" spans="1:8" ht="17.25" customHeight="1">
      <c r="A92" s="1"/>
      <c r="H92" s="1"/>
    </row>
  </sheetData>
  <mergeCells count="8">
    <mergeCell ref="M58:N58"/>
    <mergeCell ref="A6:G6"/>
    <mergeCell ref="H6:N6"/>
    <mergeCell ref="H2:N2"/>
    <mergeCell ref="A4:G4"/>
    <mergeCell ref="H4:N4"/>
    <mergeCell ref="A5:G5"/>
    <mergeCell ref="H5:N5"/>
  </mergeCells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77" r:id="rId1"/>
  <headerFooter alignWithMargins="0">
    <oddFooter>&amp;R&amp;9&amp;P</oddFooter>
  </headerFooter>
  <rowBreaks count="1" manualBreakCount="1">
    <brk id="44" min="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Q108"/>
  <sheetViews>
    <sheetView workbookViewId="0" topLeftCell="G1">
      <selection activeCell="G9" sqref="G9"/>
    </sheetView>
  </sheetViews>
  <sheetFormatPr defaultColWidth="9.140625" defaultRowHeight="17.25" customHeight="1"/>
  <cols>
    <col min="1" max="1" width="46.8515625" style="83" customWidth="1"/>
    <col min="2" max="2" width="10.8515625" style="83" customWidth="1"/>
    <col min="3" max="3" width="13.140625" style="83" customWidth="1"/>
    <col min="4" max="4" width="11.7109375" style="83" customWidth="1"/>
    <col min="5" max="5" width="8.7109375" style="83" customWidth="1"/>
    <col min="6" max="6" width="12.8515625" style="83" customWidth="1"/>
    <col min="7" max="7" width="46.8515625" style="83" customWidth="1"/>
    <col min="8" max="8" width="10.8515625" style="83" customWidth="1"/>
    <col min="9" max="9" width="12.00390625" style="83" customWidth="1"/>
    <col min="10" max="10" width="11.7109375" style="83" customWidth="1"/>
    <col min="11" max="11" width="8.7109375" style="83" customWidth="1"/>
    <col min="12" max="12" width="9.7109375" style="83" customWidth="1"/>
  </cols>
  <sheetData>
    <row r="2" spans="1:12" ht="17.25" customHeight="1">
      <c r="A2" s="83" t="s">
        <v>165</v>
      </c>
      <c r="F2" s="339" t="s">
        <v>166</v>
      </c>
      <c r="G2" s="83" t="s">
        <v>165</v>
      </c>
      <c r="L2" s="339" t="s">
        <v>166</v>
      </c>
    </row>
    <row r="4" spans="1:12" ht="17.25" customHeight="1">
      <c r="A4" s="872" t="s">
        <v>167</v>
      </c>
      <c r="B4" s="872"/>
      <c r="C4" s="872"/>
      <c r="D4" s="872"/>
      <c r="E4" s="872"/>
      <c r="F4" s="872"/>
      <c r="G4" s="872" t="s">
        <v>167</v>
      </c>
      <c r="H4" s="872"/>
      <c r="I4" s="872"/>
      <c r="J4" s="872"/>
      <c r="K4" s="872"/>
      <c r="L4" s="872"/>
    </row>
    <row r="5" spans="1:12" ht="17.25" customHeight="1">
      <c r="A5" s="872" t="s">
        <v>121</v>
      </c>
      <c r="B5" s="872"/>
      <c r="C5" s="872"/>
      <c r="D5" s="872"/>
      <c r="E5" s="872"/>
      <c r="F5" s="872"/>
      <c r="G5" s="836" t="s">
        <v>98</v>
      </c>
      <c r="H5" s="836"/>
      <c r="I5" s="836"/>
      <c r="J5" s="836"/>
      <c r="K5" s="836"/>
      <c r="L5" s="836"/>
    </row>
    <row r="6" spans="1:12" ht="17.25" customHeight="1">
      <c r="A6" s="83" t="s">
        <v>609</v>
      </c>
      <c r="F6" s="339" t="s">
        <v>1023</v>
      </c>
      <c r="L6" s="341" t="s">
        <v>749</v>
      </c>
    </row>
    <row r="7" spans="1:12" ht="51">
      <c r="A7" s="242" t="s">
        <v>644</v>
      </c>
      <c r="B7" s="278" t="s">
        <v>999</v>
      </c>
      <c r="C7" s="278" t="s">
        <v>750</v>
      </c>
      <c r="D7" s="278" t="s">
        <v>751</v>
      </c>
      <c r="E7" s="278" t="s">
        <v>1000</v>
      </c>
      <c r="F7" s="278" t="s">
        <v>101</v>
      </c>
      <c r="G7" s="242" t="s">
        <v>644</v>
      </c>
      <c r="H7" s="278" t="s">
        <v>999</v>
      </c>
      <c r="I7" s="278" t="s">
        <v>750</v>
      </c>
      <c r="J7" s="278" t="s">
        <v>751</v>
      </c>
      <c r="K7" s="278" t="s">
        <v>1001</v>
      </c>
      <c r="L7" s="278" t="s">
        <v>101</v>
      </c>
    </row>
    <row r="8" spans="1:12" ht="17.25" customHeight="1">
      <c r="A8" s="242">
        <v>1</v>
      </c>
      <c r="B8" s="242">
        <v>2</v>
      </c>
      <c r="C8" s="278">
        <v>3</v>
      </c>
      <c r="D8" s="278">
        <v>4</v>
      </c>
      <c r="E8" s="278">
        <v>5</v>
      </c>
      <c r="F8" s="225">
        <v>6</v>
      </c>
      <c r="G8" s="242">
        <v>1</v>
      </c>
      <c r="H8" s="242">
        <v>2</v>
      </c>
      <c r="I8" s="278">
        <v>3</v>
      </c>
      <c r="J8" s="278">
        <v>4</v>
      </c>
      <c r="K8" s="278">
        <v>5</v>
      </c>
      <c r="L8" s="225">
        <v>6</v>
      </c>
    </row>
    <row r="9" spans="1:17" ht="30" customHeight="1">
      <c r="A9" s="98" t="s">
        <v>1002</v>
      </c>
      <c r="B9" s="212"/>
      <c r="C9" s="342">
        <f>SUM(C10:C23)-C14</f>
        <v>776215801</v>
      </c>
      <c r="D9" s="342">
        <f>SUM(D10:D13,D15:D24)</f>
        <v>536386929</v>
      </c>
      <c r="E9" s="343">
        <f>D9/C9*100</f>
        <v>69.10280985120013</v>
      </c>
      <c r="F9" s="342">
        <f>D9-'[14]Augusts'!D9</f>
        <v>53579095</v>
      </c>
      <c r="G9" s="107" t="s">
        <v>1002</v>
      </c>
      <c r="H9" s="225"/>
      <c r="I9" s="344">
        <f>SUM(I10:I13,I15:I24)</f>
        <v>776215</v>
      </c>
      <c r="J9" s="344">
        <f>SUM(J10:J13,J15:J24)</f>
        <v>536386</v>
      </c>
      <c r="K9" s="345">
        <f>J9/I9*100</f>
        <v>69.10276147716804</v>
      </c>
      <c r="L9" s="344">
        <f>SUM(L10:L13,L15:L24)</f>
        <v>53578</v>
      </c>
      <c r="O9">
        <v>482809</v>
      </c>
      <c r="P9" s="346">
        <v>421468</v>
      </c>
      <c r="Q9" s="346">
        <f aca="true" t="shared" si="0" ref="Q9:Q23">O9-P9</f>
        <v>61341</v>
      </c>
    </row>
    <row r="10" spans="1:17" ht="30" customHeight="1">
      <c r="A10" s="218" t="s">
        <v>1003</v>
      </c>
      <c r="B10" s="219">
        <v>1</v>
      </c>
      <c r="C10" s="248">
        <v>756987</v>
      </c>
      <c r="D10" s="347">
        <f>'[15]Septembris'!$P$7</f>
        <v>93401</v>
      </c>
      <c r="E10" s="343">
        <f>D10/C10*100</f>
        <v>12.338521004984234</v>
      </c>
      <c r="F10" s="342">
        <f>D10-'[14]Augusts'!D10</f>
        <v>8549</v>
      </c>
      <c r="G10" s="218" t="s">
        <v>1003</v>
      </c>
      <c r="H10" s="219">
        <v>1</v>
      </c>
      <c r="I10" s="257">
        <f>ROUND(C10/1000,0)</f>
        <v>757</v>
      </c>
      <c r="J10" s="759">
        <f>ROUND(D10/1000,0)</f>
        <v>93</v>
      </c>
      <c r="K10" s="348">
        <f>J10/I10*100</f>
        <v>12.285336856010568</v>
      </c>
      <c r="L10" s="257">
        <f>J10-'[14]Augusts'!J10</f>
        <v>8</v>
      </c>
      <c r="O10">
        <v>85</v>
      </c>
      <c r="P10">
        <v>71</v>
      </c>
      <c r="Q10" s="346">
        <f t="shared" si="0"/>
        <v>14</v>
      </c>
    </row>
    <row r="11" spans="1:17" ht="30" customHeight="1">
      <c r="A11" s="60" t="s">
        <v>1004</v>
      </c>
      <c r="B11" s="219">
        <v>2</v>
      </c>
      <c r="C11" s="248"/>
      <c r="D11" s="347"/>
      <c r="E11" s="343"/>
      <c r="F11" s="342">
        <f>D11-'[14]Augusts'!D11</f>
        <v>0</v>
      </c>
      <c r="G11" s="60" t="s">
        <v>1004</v>
      </c>
      <c r="H11" s="219">
        <v>2</v>
      </c>
      <c r="I11" s="257"/>
      <c r="J11" s="759"/>
      <c r="K11" s="348"/>
      <c r="L11" s="257"/>
      <c r="Q11" s="346">
        <f t="shared" si="0"/>
        <v>0</v>
      </c>
    </row>
    <row r="12" spans="1:17" ht="30" customHeight="1">
      <c r="A12" s="69" t="s">
        <v>1005</v>
      </c>
      <c r="B12" s="219">
        <v>3</v>
      </c>
      <c r="C12" s="248"/>
      <c r="D12" s="347"/>
      <c r="E12" s="343"/>
      <c r="F12" s="342">
        <f>D12-'[14]Augusts'!D12</f>
        <v>0</v>
      </c>
      <c r="G12" s="69" t="s">
        <v>1005</v>
      </c>
      <c r="H12" s="219">
        <v>3</v>
      </c>
      <c r="I12" s="257"/>
      <c r="J12" s="759"/>
      <c r="K12" s="348"/>
      <c r="L12" s="257"/>
      <c r="Q12" s="346">
        <f t="shared" si="0"/>
        <v>0</v>
      </c>
    </row>
    <row r="13" spans="1:17" ht="30" customHeight="1">
      <c r="A13" s="60" t="s">
        <v>168</v>
      </c>
      <c r="B13" s="219">
        <v>4</v>
      </c>
      <c r="C13" s="248">
        <f>1585878+C14</f>
        <v>7955930</v>
      </c>
      <c r="D13" s="347">
        <f>'[15]Septembris'!$O$7+D14</f>
        <v>5162525</v>
      </c>
      <c r="E13" s="343">
        <f>D13/C13*100</f>
        <v>64.88901988830973</v>
      </c>
      <c r="F13" s="342">
        <f>D13-'[14]Augusts'!D13</f>
        <v>562999</v>
      </c>
      <c r="G13" s="60" t="s">
        <v>169</v>
      </c>
      <c r="H13" s="219">
        <v>4</v>
      </c>
      <c r="I13" s="257">
        <f>ROUND(C13/1000,0)-1</f>
        <v>7955</v>
      </c>
      <c r="J13" s="759">
        <f>ROUND(D13/1000,0)-1</f>
        <v>5162</v>
      </c>
      <c r="K13" s="348">
        <f aca="true" t="shared" si="1" ref="K13:K18">J13/I13*100</f>
        <v>64.89000628535511</v>
      </c>
      <c r="L13" s="257">
        <f>J13-'[14]Augusts'!J13</f>
        <v>562</v>
      </c>
      <c r="O13">
        <v>4600</v>
      </c>
      <c r="P13" s="349">
        <v>4506</v>
      </c>
      <c r="Q13" s="346">
        <f t="shared" si="0"/>
        <v>94</v>
      </c>
    </row>
    <row r="14" spans="1:17" ht="30" customHeight="1">
      <c r="A14" s="350" t="s">
        <v>170</v>
      </c>
      <c r="B14" s="219"/>
      <c r="C14" s="248">
        <v>6370052</v>
      </c>
      <c r="D14" s="347">
        <f>'[15]Septembris'!$Z$34</f>
        <v>4112528</v>
      </c>
      <c r="E14" s="343"/>
      <c r="F14" s="342">
        <f>D14-'[14]Augusts'!D14</f>
        <v>534652</v>
      </c>
      <c r="G14" s="350" t="s">
        <v>170</v>
      </c>
      <c r="H14" s="219"/>
      <c r="I14" s="257">
        <f>ROUND(C14/1000,0)</f>
        <v>6370</v>
      </c>
      <c r="J14" s="759">
        <f>ROUND(D14/1000,0)-1</f>
        <v>4112</v>
      </c>
      <c r="K14" s="348">
        <f t="shared" si="1"/>
        <v>64.55259026687598</v>
      </c>
      <c r="L14" s="257">
        <f>J14-'[14]Augusts'!J14</f>
        <v>534</v>
      </c>
      <c r="O14" s="351">
        <v>3578</v>
      </c>
      <c r="P14">
        <v>3572</v>
      </c>
      <c r="Q14" s="346">
        <f t="shared" si="0"/>
        <v>6</v>
      </c>
    </row>
    <row r="15" spans="1:17" ht="30" customHeight="1">
      <c r="A15" s="60" t="s">
        <v>1007</v>
      </c>
      <c r="B15" s="219">
        <v>5</v>
      </c>
      <c r="C15" s="248">
        <v>144348387</v>
      </c>
      <c r="D15" s="352">
        <f>'[15]Septembris'!$D$7</f>
        <v>104114054</v>
      </c>
      <c r="E15" s="343">
        <f>D15/C15*100</f>
        <v>72.12692581040065</v>
      </c>
      <c r="F15" s="342">
        <f>D15-'[14]Augusts'!D15</f>
        <v>10652637</v>
      </c>
      <c r="G15" s="60" t="s">
        <v>1007</v>
      </c>
      <c r="H15" s="219">
        <v>5</v>
      </c>
      <c r="I15" s="257">
        <f>ROUND(C15/1000,0)</f>
        <v>144348</v>
      </c>
      <c r="J15" s="759">
        <f>ROUND(D15/1000,0)</f>
        <v>104114</v>
      </c>
      <c r="K15" s="348">
        <f t="shared" si="1"/>
        <v>72.12708177460027</v>
      </c>
      <c r="L15" s="257">
        <f>J15-'[14]Augusts'!J15</f>
        <v>10653</v>
      </c>
      <c r="O15">
        <v>93461</v>
      </c>
      <c r="P15">
        <v>81664</v>
      </c>
      <c r="Q15" s="346">
        <f t="shared" si="0"/>
        <v>11797</v>
      </c>
    </row>
    <row r="16" spans="1:17" ht="30" customHeight="1">
      <c r="A16" s="69" t="s">
        <v>1008</v>
      </c>
      <c r="B16" s="219">
        <v>6</v>
      </c>
      <c r="C16" s="248">
        <v>531459579</v>
      </c>
      <c r="D16" s="352">
        <f>'[15]Septembris'!$C$7</f>
        <v>371766527</v>
      </c>
      <c r="E16" s="343">
        <f>D16/C16*100</f>
        <v>69.95198537949393</v>
      </c>
      <c r="F16" s="342">
        <f>D16-'[14]Augusts'!D16</f>
        <v>36912568</v>
      </c>
      <c r="G16" s="69" t="s">
        <v>1008</v>
      </c>
      <c r="H16" s="219">
        <v>6</v>
      </c>
      <c r="I16" s="257">
        <f>ROUND(C16/1000,0)</f>
        <v>531460</v>
      </c>
      <c r="J16" s="759">
        <f>ROUND(D16/1000,0)</f>
        <v>371767</v>
      </c>
      <c r="K16" s="348">
        <f t="shared" si="1"/>
        <v>69.95201896662026</v>
      </c>
      <c r="L16" s="257">
        <f>J16-'[14]Augusts'!J16</f>
        <v>36913</v>
      </c>
      <c r="O16">
        <v>334854</v>
      </c>
      <c r="P16">
        <v>292618</v>
      </c>
      <c r="Q16" s="346">
        <f t="shared" si="0"/>
        <v>42236</v>
      </c>
    </row>
    <row r="17" spans="1:17" ht="30" customHeight="1">
      <c r="A17" s="69" t="s">
        <v>1009</v>
      </c>
      <c r="B17" s="219">
        <v>7</v>
      </c>
      <c r="C17" s="248">
        <f>9370924-215596</f>
        <v>9155328</v>
      </c>
      <c r="D17" s="352">
        <f>'[15]Septembris'!$E$7</f>
        <v>4014186</v>
      </c>
      <c r="E17" s="343">
        <f>D17/C17*100</f>
        <v>43.845354311718815</v>
      </c>
      <c r="F17" s="342">
        <f>D17-'[14]Augusts'!D17</f>
        <v>824201</v>
      </c>
      <c r="G17" s="69" t="s">
        <v>1009</v>
      </c>
      <c r="H17" s="219">
        <v>7</v>
      </c>
      <c r="I17" s="257">
        <f>ROUND(C17/1000,0)</f>
        <v>9155</v>
      </c>
      <c r="J17" s="759">
        <f>ROUND(D17/1000,0)</f>
        <v>4014</v>
      </c>
      <c r="K17" s="348">
        <f t="shared" si="1"/>
        <v>43.844893500819225</v>
      </c>
      <c r="L17" s="257">
        <f>J17-'[14]Augusts'!J17</f>
        <v>824</v>
      </c>
      <c r="O17">
        <v>3190</v>
      </c>
      <c r="P17">
        <v>2419</v>
      </c>
      <c r="Q17" s="346">
        <f t="shared" si="0"/>
        <v>771</v>
      </c>
    </row>
    <row r="18" spans="1:17" ht="30" customHeight="1">
      <c r="A18" s="60" t="s">
        <v>1010</v>
      </c>
      <c r="B18" s="219">
        <v>8</v>
      </c>
      <c r="C18" s="248">
        <f>1508663+215596+2272860</f>
        <v>3997119</v>
      </c>
      <c r="D18" s="352">
        <f>'[15]Septembris'!$N$7+'[15]Septembris'!$Q$7</f>
        <v>2521697</v>
      </c>
      <c r="E18" s="343">
        <f>D18/C18*100</f>
        <v>63.08786403407054</v>
      </c>
      <c r="F18" s="342">
        <f>D18-'[14]Augusts'!D18</f>
        <v>293535</v>
      </c>
      <c r="G18" s="60" t="s">
        <v>1010</v>
      </c>
      <c r="H18" s="219">
        <v>8</v>
      </c>
      <c r="I18" s="257">
        <f>ROUND(C18/1000,0)</f>
        <v>3997</v>
      </c>
      <c r="J18" s="759">
        <f>ROUND(D18/1000,0)</f>
        <v>2522</v>
      </c>
      <c r="K18" s="348">
        <f t="shared" si="1"/>
        <v>63.09732299224419</v>
      </c>
      <c r="L18" s="257">
        <f>J18-'[14]Augusts'!J18</f>
        <v>294</v>
      </c>
      <c r="O18">
        <v>2228</v>
      </c>
      <c r="P18">
        <v>2012</v>
      </c>
      <c r="Q18" s="346">
        <f t="shared" si="0"/>
        <v>216</v>
      </c>
    </row>
    <row r="19" spans="1:17" ht="30" customHeight="1">
      <c r="A19" s="60" t="s">
        <v>1011</v>
      </c>
      <c r="B19" s="219">
        <v>9</v>
      </c>
      <c r="C19" s="248"/>
      <c r="D19" s="352"/>
      <c r="E19" s="343"/>
      <c r="F19" s="342">
        <f>D19-'[14]Augusts'!D19</f>
        <v>0</v>
      </c>
      <c r="G19" s="60" t="s">
        <v>1011</v>
      </c>
      <c r="H19" s="219">
        <v>9</v>
      </c>
      <c r="I19" s="257"/>
      <c r="J19" s="759"/>
      <c r="K19" s="348"/>
      <c r="L19" s="257"/>
      <c r="Q19" s="346">
        <f t="shared" si="0"/>
        <v>0</v>
      </c>
    </row>
    <row r="20" spans="1:17" ht="30" customHeight="1">
      <c r="A20" s="69" t="s">
        <v>1012</v>
      </c>
      <c r="B20" s="353">
        <v>10</v>
      </c>
      <c r="C20" s="248">
        <v>500000</v>
      </c>
      <c r="D20" s="352">
        <f>'[15]Septembris'!$L$7</f>
        <v>392024</v>
      </c>
      <c r="E20" s="343">
        <f>D20/C20*100</f>
        <v>78.4048</v>
      </c>
      <c r="F20" s="342">
        <f>D20-'[14]Augusts'!D20</f>
        <v>23999</v>
      </c>
      <c r="G20" s="69" t="s">
        <v>1012</v>
      </c>
      <c r="H20" s="353">
        <v>10</v>
      </c>
      <c r="I20" s="257">
        <f>ROUND(C20/1000,0)</f>
        <v>500</v>
      </c>
      <c r="J20" s="759">
        <f>ROUND(D20/1000,0)</f>
        <v>392</v>
      </c>
      <c r="K20" s="348">
        <f>J20/I20*100</f>
        <v>78.4</v>
      </c>
      <c r="L20" s="257">
        <f>J20-'[14]Augusts'!J20</f>
        <v>24</v>
      </c>
      <c r="O20">
        <v>368</v>
      </c>
      <c r="P20">
        <v>330</v>
      </c>
      <c r="Q20" s="346">
        <f t="shared" si="0"/>
        <v>38</v>
      </c>
    </row>
    <row r="21" spans="1:17" ht="30" customHeight="1">
      <c r="A21" s="69" t="s">
        <v>1013</v>
      </c>
      <c r="B21" s="353">
        <v>11</v>
      </c>
      <c r="C21" s="248"/>
      <c r="D21" s="352"/>
      <c r="E21" s="343"/>
      <c r="F21" s="342">
        <f>D21-'[14]Augusts'!D21</f>
        <v>0</v>
      </c>
      <c r="G21" s="69" t="s">
        <v>1013</v>
      </c>
      <c r="H21" s="353">
        <v>11</v>
      </c>
      <c r="I21" s="257"/>
      <c r="J21" s="759"/>
      <c r="K21" s="348"/>
      <c r="L21" s="257"/>
      <c r="Q21" s="346">
        <f t="shared" si="0"/>
        <v>0</v>
      </c>
    </row>
    <row r="22" spans="1:17" ht="30" customHeight="1">
      <c r="A22" s="60" t="s">
        <v>1014</v>
      </c>
      <c r="B22" s="219">
        <v>12</v>
      </c>
      <c r="C22" s="248">
        <v>73861871</v>
      </c>
      <c r="D22" s="352">
        <f>'[15]Septembris'!$F$7+'[15]Septembris'!$G$7+'[15]Septembris'!$I$7</f>
        <v>46466485</v>
      </c>
      <c r="E22" s="343">
        <f>D22/C22*100</f>
        <v>62.90997556777298</v>
      </c>
      <c r="F22" s="342">
        <f>D22-'[14]Augusts'!D22</f>
        <v>4099775</v>
      </c>
      <c r="G22" s="60" t="s">
        <v>1014</v>
      </c>
      <c r="H22" s="219">
        <v>12</v>
      </c>
      <c r="I22" s="257">
        <f>ROUND(C22/1000,0)+1</f>
        <v>73863</v>
      </c>
      <c r="J22" s="759">
        <f>ROUND(D22/1000,0)</f>
        <v>46466</v>
      </c>
      <c r="K22" s="348">
        <f>J22/I22*100</f>
        <v>62.908357364309595</v>
      </c>
      <c r="L22" s="257">
        <f>J22-'[14]Augusts'!J22</f>
        <v>4099</v>
      </c>
      <c r="O22">
        <v>42368</v>
      </c>
      <c r="P22">
        <v>36376</v>
      </c>
      <c r="Q22" s="346">
        <f t="shared" si="0"/>
        <v>5992</v>
      </c>
    </row>
    <row r="23" spans="1:17" ht="30" customHeight="1">
      <c r="A23" s="60" t="s">
        <v>1015</v>
      </c>
      <c r="B23" s="219">
        <v>13</v>
      </c>
      <c r="C23" s="248">
        <f>2874300+1306300</f>
        <v>4180600</v>
      </c>
      <c r="D23" s="347">
        <f>'[15]Septembris'!$W$7+'[15]Septembris'!$X$7+'[15]Septembris'!$K$7</f>
        <v>1856030</v>
      </c>
      <c r="E23" s="343">
        <f>D23/C23*100</f>
        <v>44.39625891020428</v>
      </c>
      <c r="F23" s="342">
        <f>D23-'[14]Augusts'!D23</f>
        <v>200832</v>
      </c>
      <c r="G23" s="60" t="s">
        <v>1015</v>
      </c>
      <c r="H23" s="219">
        <v>13</v>
      </c>
      <c r="I23" s="257">
        <f>ROUND(C23/1000,0)-1</f>
        <v>4180</v>
      </c>
      <c r="J23" s="759">
        <f>ROUND(D23/1000,0)</f>
        <v>1856</v>
      </c>
      <c r="K23" s="348">
        <f>J23/I23*100</f>
        <v>44.40191387559808</v>
      </c>
      <c r="L23" s="257">
        <f>J23-'[14]Augusts'!J23</f>
        <v>201</v>
      </c>
      <c r="O23">
        <v>1655</v>
      </c>
      <c r="P23">
        <v>1472</v>
      </c>
      <c r="Q23" s="346">
        <f t="shared" si="0"/>
        <v>183</v>
      </c>
    </row>
    <row r="24" spans="1:12" ht="30" customHeight="1">
      <c r="A24" s="69" t="s">
        <v>171</v>
      </c>
      <c r="B24" s="219">
        <v>14</v>
      </c>
      <c r="C24" s="347"/>
      <c r="D24" s="347"/>
      <c r="E24" s="343"/>
      <c r="F24" s="342">
        <f>D24-'[14]Augusts'!D24</f>
        <v>0</v>
      </c>
      <c r="G24" s="69" t="s">
        <v>171</v>
      </c>
      <c r="H24" s="219">
        <v>14</v>
      </c>
      <c r="I24" s="257"/>
      <c r="J24" s="759"/>
      <c r="K24" s="348"/>
      <c r="L24" s="257"/>
    </row>
    <row r="25" spans="2:17" ht="17.25" customHeight="1">
      <c r="B25" s="354"/>
      <c r="C25" s="323"/>
      <c r="D25" s="323"/>
      <c r="E25" s="355"/>
      <c r="H25" s="354"/>
      <c r="I25" s="323"/>
      <c r="J25" s="760"/>
      <c r="K25" s="355"/>
      <c r="Q25" t="s">
        <v>457</v>
      </c>
    </row>
    <row r="26" spans="2:11" ht="17.25" customHeight="1">
      <c r="B26" s="354"/>
      <c r="C26" s="323"/>
      <c r="D26" s="323"/>
      <c r="E26" s="355"/>
      <c r="H26" s="354"/>
      <c r="I26" s="323"/>
      <c r="J26" s="760"/>
      <c r="K26" s="355"/>
    </row>
    <row r="27" spans="2:11" ht="17.25" customHeight="1">
      <c r="B27" s="354"/>
      <c r="C27" s="323"/>
      <c r="D27" s="323"/>
      <c r="E27" s="355"/>
      <c r="G27" s="41" t="s">
        <v>458</v>
      </c>
      <c r="H27" s="39"/>
      <c r="I27" s="39"/>
      <c r="J27" s="39" t="s">
        <v>859</v>
      </c>
      <c r="K27" s="355"/>
    </row>
    <row r="28" spans="2:11" ht="17.25" customHeight="1">
      <c r="B28" s="354"/>
      <c r="C28" s="323"/>
      <c r="D28" s="323"/>
      <c r="E28" s="355"/>
      <c r="H28" s="354"/>
      <c r="I28" s="323"/>
      <c r="J28" s="323"/>
      <c r="K28" s="355"/>
    </row>
    <row r="29" spans="2:11" ht="17.25" customHeight="1">
      <c r="B29" s="354"/>
      <c r="C29" s="323"/>
      <c r="D29" s="323"/>
      <c r="E29" s="355"/>
      <c r="H29" s="354"/>
      <c r="I29" s="323"/>
      <c r="J29" s="323"/>
      <c r="K29" s="355"/>
    </row>
    <row r="30" spans="2:11" ht="17.25" customHeight="1">
      <c r="B30" s="354"/>
      <c r="C30" s="323"/>
      <c r="D30" s="323"/>
      <c r="E30" s="355"/>
      <c r="H30" s="354"/>
      <c r="I30" s="323"/>
      <c r="J30" s="323"/>
      <c r="K30" s="355"/>
    </row>
    <row r="31" spans="4:11" ht="17.25" customHeight="1">
      <c r="D31" s="323"/>
      <c r="E31" s="355"/>
      <c r="J31" s="323"/>
      <c r="K31" s="355"/>
    </row>
    <row r="32" spans="2:11" ht="17.25" customHeight="1">
      <c r="B32" s="354"/>
      <c r="C32" s="323"/>
      <c r="D32" s="323"/>
      <c r="E32" s="355"/>
      <c r="H32" s="354"/>
      <c r="I32" s="323"/>
      <c r="J32" s="323"/>
      <c r="K32" s="355"/>
    </row>
    <row r="33" spans="2:11" ht="17.25" customHeight="1">
      <c r="B33" s="354"/>
      <c r="C33" s="323"/>
      <c r="D33" s="323"/>
      <c r="E33" s="355"/>
      <c r="H33" s="354"/>
      <c r="I33" s="323"/>
      <c r="J33" s="323"/>
      <c r="K33" s="355"/>
    </row>
    <row r="34" spans="2:11" ht="17.25" customHeight="1">
      <c r="B34" s="354"/>
      <c r="C34" s="323"/>
      <c r="D34" s="323"/>
      <c r="E34" s="355"/>
      <c r="G34" s="83" t="s">
        <v>61</v>
      </c>
      <c r="H34" s="354"/>
      <c r="I34" s="323"/>
      <c r="J34" s="323"/>
      <c r="K34" s="355"/>
    </row>
    <row r="35" spans="1:11" ht="17.25" customHeight="1">
      <c r="A35" s="41" t="s">
        <v>938</v>
      </c>
      <c r="B35" s="39"/>
      <c r="C35" s="39"/>
      <c r="D35" s="39" t="s">
        <v>939</v>
      </c>
      <c r="E35" s="1"/>
      <c r="G35" s="83" t="s">
        <v>116</v>
      </c>
      <c r="I35" s="323"/>
      <c r="J35" s="323"/>
      <c r="K35" s="355"/>
    </row>
    <row r="36" spans="6:12" ht="17.25" customHeight="1">
      <c r="F36" s="323"/>
      <c r="K36" s="1"/>
      <c r="L36" s="323"/>
    </row>
    <row r="37" spans="3:11" ht="17.25" customHeight="1">
      <c r="C37" s="323"/>
      <c r="D37" s="323"/>
      <c r="E37" s="355"/>
      <c r="I37" s="323"/>
      <c r="J37" s="323"/>
      <c r="K37" s="355"/>
    </row>
    <row r="38" spans="3:11" ht="17.25" customHeight="1">
      <c r="C38" s="323"/>
      <c r="D38" s="323"/>
      <c r="E38" s="355"/>
      <c r="I38" s="323"/>
      <c r="J38" s="323"/>
      <c r="K38" s="355"/>
    </row>
    <row r="39" spans="3:11" ht="17.25" customHeight="1">
      <c r="C39" s="323"/>
      <c r="D39" s="323"/>
      <c r="E39" s="355"/>
      <c r="I39" s="323"/>
      <c r="J39" s="323"/>
      <c r="K39" s="355"/>
    </row>
    <row r="40" spans="3:11" ht="17.25" customHeight="1">
      <c r="C40" s="323"/>
      <c r="D40" s="323"/>
      <c r="E40" s="355"/>
      <c r="I40" s="323"/>
      <c r="J40" s="323"/>
      <c r="K40" s="355"/>
    </row>
    <row r="41" spans="3:11" ht="17.25" customHeight="1">
      <c r="C41" s="323"/>
      <c r="D41" s="323"/>
      <c r="E41" s="355"/>
      <c r="I41" s="323"/>
      <c r="J41" s="323"/>
      <c r="K41" s="355"/>
    </row>
    <row r="42" spans="3:11" ht="17.25" customHeight="1">
      <c r="C42" s="323"/>
      <c r="D42" s="323"/>
      <c r="E42" s="355"/>
      <c r="I42" s="323"/>
      <c r="J42" s="323"/>
      <c r="K42" s="355"/>
    </row>
    <row r="43" spans="3:11" ht="17.25" customHeight="1">
      <c r="C43" s="323"/>
      <c r="D43" s="323"/>
      <c r="E43" s="355"/>
      <c r="I43" s="323"/>
      <c r="J43" s="323"/>
      <c r="K43" s="355"/>
    </row>
    <row r="44" spans="3:11" ht="17.25" customHeight="1">
      <c r="C44" s="323"/>
      <c r="D44" s="323"/>
      <c r="E44" s="355"/>
      <c r="I44" s="323"/>
      <c r="J44" s="323"/>
      <c r="K44" s="355"/>
    </row>
    <row r="45" spans="3:11" ht="17.25" customHeight="1">
      <c r="C45" s="323"/>
      <c r="D45" s="323"/>
      <c r="E45" s="355"/>
      <c r="I45" s="323"/>
      <c r="J45" s="323"/>
      <c r="K45" s="355"/>
    </row>
    <row r="46" spans="3:11" ht="17.25" customHeight="1">
      <c r="C46" s="323"/>
      <c r="D46" s="323"/>
      <c r="E46" s="355"/>
      <c r="I46" s="323"/>
      <c r="J46" s="323"/>
      <c r="K46" s="355"/>
    </row>
    <row r="47" spans="1:11" ht="17.25" customHeight="1">
      <c r="A47" s="49"/>
      <c r="C47" s="323"/>
      <c r="D47" s="323"/>
      <c r="E47" s="355"/>
      <c r="G47" s="49"/>
      <c r="I47" s="323"/>
      <c r="J47" s="323"/>
      <c r="K47" s="355"/>
    </row>
    <row r="48" spans="1:11" ht="17.25" customHeight="1">
      <c r="A48" s="49"/>
      <c r="C48" s="323"/>
      <c r="D48" s="323"/>
      <c r="E48" s="355"/>
      <c r="G48" s="49"/>
      <c r="I48" s="323"/>
      <c r="J48" s="323"/>
      <c r="K48" s="355"/>
    </row>
    <row r="49" spans="3:11" ht="17.25" customHeight="1">
      <c r="C49" s="323"/>
      <c r="D49" s="323"/>
      <c r="E49" s="355"/>
      <c r="I49" s="323"/>
      <c r="J49" s="323"/>
      <c r="K49" s="355"/>
    </row>
    <row r="50" spans="3:11" ht="17.25" customHeight="1">
      <c r="C50" s="323"/>
      <c r="D50" s="323"/>
      <c r="E50" s="355"/>
      <c r="I50" s="323"/>
      <c r="J50" s="323"/>
      <c r="K50" s="355"/>
    </row>
    <row r="51" spans="3:11" ht="17.25" customHeight="1">
      <c r="C51" s="323"/>
      <c r="D51" s="323"/>
      <c r="E51" s="355"/>
      <c r="I51" s="323"/>
      <c r="J51" s="323"/>
      <c r="K51" s="355"/>
    </row>
    <row r="52" spans="3:11" ht="17.25" customHeight="1">
      <c r="C52" s="323"/>
      <c r="D52" s="323"/>
      <c r="E52" s="355"/>
      <c r="I52" s="323"/>
      <c r="J52" s="323"/>
      <c r="K52" s="355"/>
    </row>
    <row r="53" spans="3:11" ht="17.25" customHeight="1">
      <c r="C53" s="323"/>
      <c r="E53" s="355"/>
      <c r="I53" s="323"/>
      <c r="K53" s="355"/>
    </row>
    <row r="54" spans="3:11" ht="17.25" customHeight="1">
      <c r="C54" s="323"/>
      <c r="E54" s="355"/>
      <c r="I54" s="323"/>
      <c r="K54" s="355"/>
    </row>
    <row r="55" spans="3:11" ht="17.25" customHeight="1">
      <c r="C55" s="323"/>
      <c r="E55" s="355"/>
      <c r="I55" s="323"/>
      <c r="K55" s="355"/>
    </row>
    <row r="56" spans="3:11" ht="17.25" customHeight="1">
      <c r="C56" s="323"/>
      <c r="E56" s="355"/>
      <c r="I56" s="323"/>
      <c r="K56" s="355"/>
    </row>
    <row r="57" spans="3:11" ht="17.25" customHeight="1">
      <c r="C57" s="323"/>
      <c r="E57" s="355"/>
      <c r="I57" s="323"/>
      <c r="K57" s="355"/>
    </row>
    <row r="58" spans="3:11" ht="17.25" customHeight="1">
      <c r="C58" s="323"/>
      <c r="E58" s="355"/>
      <c r="I58" s="323"/>
      <c r="K58" s="355"/>
    </row>
    <row r="59" spans="3:11" ht="17.25" customHeight="1">
      <c r="C59" s="323"/>
      <c r="E59" s="355"/>
      <c r="I59" s="323"/>
      <c r="K59" s="355"/>
    </row>
    <row r="60" spans="3:11" ht="17.25" customHeight="1">
      <c r="C60" s="323"/>
      <c r="E60" s="355"/>
      <c r="I60" s="323"/>
      <c r="K60" s="355"/>
    </row>
    <row r="61" spans="3:11" ht="17.25" customHeight="1">
      <c r="C61" s="323"/>
      <c r="E61" s="355"/>
      <c r="I61" s="323"/>
      <c r="K61" s="355"/>
    </row>
    <row r="62" spans="3:11" ht="17.25" customHeight="1">
      <c r="C62" s="323"/>
      <c r="E62" s="355"/>
      <c r="I62" s="323"/>
      <c r="K62" s="355"/>
    </row>
    <row r="63" spans="3:11" ht="17.25" customHeight="1">
      <c r="C63" s="323"/>
      <c r="E63" s="355"/>
      <c r="I63" s="323"/>
      <c r="K63" s="355"/>
    </row>
    <row r="64" spans="3:11" ht="17.25" customHeight="1">
      <c r="C64" s="323"/>
      <c r="E64" s="355"/>
      <c r="I64" s="323"/>
      <c r="K64" s="355"/>
    </row>
    <row r="65" spans="3:11" ht="17.25" customHeight="1">
      <c r="C65" s="323"/>
      <c r="E65" s="355"/>
      <c r="I65" s="323"/>
      <c r="K65" s="355"/>
    </row>
    <row r="66" spans="3:11" ht="17.25" customHeight="1">
      <c r="C66" s="323"/>
      <c r="E66" s="355"/>
      <c r="I66" s="323"/>
      <c r="K66" s="355"/>
    </row>
    <row r="67" spans="3:11" ht="17.25" customHeight="1">
      <c r="C67" s="323"/>
      <c r="E67" s="355"/>
      <c r="I67" s="323"/>
      <c r="K67" s="355"/>
    </row>
    <row r="68" spans="3:11" ht="17.25" customHeight="1">
      <c r="C68" s="323"/>
      <c r="E68" s="355"/>
      <c r="I68" s="323"/>
      <c r="K68" s="355"/>
    </row>
    <row r="69" spans="3:11" ht="17.25" customHeight="1">
      <c r="C69" s="323"/>
      <c r="E69" s="355"/>
      <c r="I69" s="323"/>
      <c r="K69" s="355"/>
    </row>
    <row r="70" spans="3:11" ht="17.25" customHeight="1">
      <c r="C70" s="323"/>
      <c r="E70" s="355"/>
      <c r="I70" s="323"/>
      <c r="K70" s="355"/>
    </row>
    <row r="71" spans="3:11" ht="17.25" customHeight="1">
      <c r="C71" s="323"/>
      <c r="E71" s="355"/>
      <c r="I71" s="323"/>
      <c r="K71" s="355"/>
    </row>
    <row r="72" spans="3:11" ht="17.25" customHeight="1">
      <c r="C72" s="323"/>
      <c r="E72" s="355"/>
      <c r="I72" s="323"/>
      <c r="K72" s="355"/>
    </row>
    <row r="73" spans="3:11" ht="17.25" customHeight="1">
      <c r="C73" s="323"/>
      <c r="E73" s="355"/>
      <c r="I73" s="323"/>
      <c r="K73" s="355"/>
    </row>
    <row r="74" spans="3:11" ht="17.25" customHeight="1">
      <c r="C74" s="323"/>
      <c r="E74" s="355"/>
      <c r="I74" s="323"/>
      <c r="K74" s="355"/>
    </row>
    <row r="75" spans="3:11" ht="17.25" customHeight="1">
      <c r="C75" s="323"/>
      <c r="E75" s="355"/>
      <c r="I75" s="323"/>
      <c r="K75" s="355"/>
    </row>
    <row r="76" spans="3:11" ht="17.25" customHeight="1">
      <c r="C76" s="323"/>
      <c r="E76" s="355"/>
      <c r="I76" s="323"/>
      <c r="K76" s="355"/>
    </row>
    <row r="77" spans="3:11" ht="17.25" customHeight="1">
      <c r="C77" s="323"/>
      <c r="E77" s="355"/>
      <c r="I77" s="323"/>
      <c r="K77" s="355"/>
    </row>
    <row r="78" spans="3:11" ht="17.25" customHeight="1">
      <c r="C78" s="323"/>
      <c r="E78" s="355"/>
      <c r="I78" s="323"/>
      <c r="K78" s="355"/>
    </row>
    <row r="79" spans="3:11" ht="17.25" customHeight="1">
      <c r="C79" s="323"/>
      <c r="E79" s="355"/>
      <c r="I79" s="323"/>
      <c r="K79" s="355"/>
    </row>
    <row r="80" spans="2:10" ht="17.25" customHeight="1">
      <c r="B80" s="323"/>
      <c r="D80" s="355"/>
      <c r="H80" s="323"/>
      <c r="J80" s="355"/>
    </row>
    <row r="81" spans="2:10" ht="17.25" customHeight="1">
      <c r="B81" s="323"/>
      <c r="D81" s="355"/>
      <c r="H81" s="323"/>
      <c r="J81" s="355"/>
    </row>
    <row r="82" spans="2:10" ht="17.25" customHeight="1">
      <c r="B82" s="323"/>
      <c r="D82" s="355"/>
      <c r="H82" s="323"/>
      <c r="J82" s="355"/>
    </row>
    <row r="83" spans="2:10" ht="17.25" customHeight="1">
      <c r="B83" s="323"/>
      <c r="D83" s="355"/>
      <c r="H83" s="323"/>
      <c r="J83" s="355"/>
    </row>
    <row r="84" spans="2:10" ht="17.25" customHeight="1">
      <c r="B84" s="323"/>
      <c r="D84" s="355"/>
      <c r="H84" s="323"/>
      <c r="J84" s="355"/>
    </row>
    <row r="85" spans="2:10" ht="17.25" customHeight="1">
      <c r="B85" s="323"/>
      <c r="D85" s="355"/>
      <c r="H85" s="323"/>
      <c r="J85" s="355"/>
    </row>
    <row r="86" spans="2:10" ht="17.25" customHeight="1">
      <c r="B86" s="323"/>
      <c r="D86" s="355"/>
      <c r="H86" s="323"/>
      <c r="J86" s="355"/>
    </row>
    <row r="87" spans="2:10" ht="17.25" customHeight="1">
      <c r="B87" s="323"/>
      <c r="D87" s="355"/>
      <c r="H87" s="323"/>
      <c r="J87" s="355"/>
    </row>
    <row r="88" spans="2:10" ht="17.25" customHeight="1">
      <c r="B88" s="323"/>
      <c r="D88" s="355"/>
      <c r="H88" s="323"/>
      <c r="J88" s="355"/>
    </row>
    <row r="89" spans="2:10" ht="17.25" customHeight="1">
      <c r="B89" s="323"/>
      <c r="D89" s="355"/>
      <c r="H89" s="323"/>
      <c r="J89" s="355"/>
    </row>
    <row r="90" spans="2:10" ht="17.25" customHeight="1">
      <c r="B90" s="323"/>
      <c r="D90" s="355"/>
      <c r="H90" s="323"/>
      <c r="J90" s="355"/>
    </row>
    <row r="91" spans="2:10" ht="17.25" customHeight="1">
      <c r="B91" s="323"/>
      <c r="D91" s="355"/>
      <c r="H91" s="323"/>
      <c r="J91" s="355"/>
    </row>
    <row r="92" spans="2:10" ht="17.25" customHeight="1">
      <c r="B92" s="323"/>
      <c r="D92" s="355"/>
      <c r="H92" s="323"/>
      <c r="J92" s="355"/>
    </row>
    <row r="93" spans="2:10" ht="17.25" customHeight="1">
      <c r="B93" s="323"/>
      <c r="D93" s="355"/>
      <c r="H93" s="323"/>
      <c r="J93" s="355"/>
    </row>
    <row r="94" spans="2:10" ht="17.25" customHeight="1">
      <c r="B94" s="323"/>
      <c r="D94" s="355"/>
      <c r="H94" s="323"/>
      <c r="J94" s="355"/>
    </row>
    <row r="95" spans="2:10" ht="17.25" customHeight="1">
      <c r="B95" s="323"/>
      <c r="D95" s="355"/>
      <c r="H95" s="323"/>
      <c r="J95" s="355"/>
    </row>
    <row r="96" spans="2:10" ht="17.25" customHeight="1">
      <c r="B96" s="323"/>
      <c r="D96" s="355"/>
      <c r="H96" s="323"/>
      <c r="J96" s="355"/>
    </row>
    <row r="97" spans="2:10" ht="17.25" customHeight="1">
      <c r="B97" s="323"/>
      <c r="D97" s="355"/>
      <c r="H97" s="323"/>
      <c r="J97" s="355"/>
    </row>
    <row r="98" spans="2:10" ht="17.25" customHeight="1">
      <c r="B98" s="323"/>
      <c r="D98" s="355"/>
      <c r="H98" s="323"/>
      <c r="J98" s="355"/>
    </row>
    <row r="99" spans="2:10" ht="17.25" customHeight="1">
      <c r="B99" s="323"/>
      <c r="D99" s="355"/>
      <c r="H99" s="323"/>
      <c r="J99" s="355"/>
    </row>
    <row r="100" spans="2:8" ht="17.25" customHeight="1">
      <c r="B100" s="323"/>
      <c r="H100" s="323"/>
    </row>
    <row r="101" spans="2:8" ht="17.25" customHeight="1">
      <c r="B101" s="323"/>
      <c r="H101" s="323"/>
    </row>
    <row r="102" spans="2:8" ht="17.25" customHeight="1">
      <c r="B102" s="323"/>
      <c r="H102" s="323"/>
    </row>
    <row r="103" spans="2:8" ht="17.25" customHeight="1">
      <c r="B103" s="323"/>
      <c r="H103" s="323"/>
    </row>
    <row r="104" spans="2:8" ht="17.25" customHeight="1">
      <c r="B104" s="323"/>
      <c r="H104" s="323"/>
    </row>
    <row r="105" spans="2:8" ht="17.25" customHeight="1">
      <c r="B105" s="323"/>
      <c r="H105" s="323"/>
    </row>
    <row r="106" spans="2:8" ht="17.25" customHeight="1">
      <c r="B106" s="323"/>
      <c r="H106" s="323"/>
    </row>
    <row r="107" spans="2:8" ht="17.25" customHeight="1">
      <c r="B107" s="323"/>
      <c r="H107" s="323"/>
    </row>
    <row r="108" spans="2:8" ht="17.25" customHeight="1">
      <c r="B108" s="323"/>
      <c r="H108" s="323"/>
    </row>
  </sheetData>
  <mergeCells count="4">
    <mergeCell ref="A4:F4"/>
    <mergeCell ref="G4:L4"/>
    <mergeCell ref="A5:F5"/>
    <mergeCell ref="G5:L5"/>
  </mergeCells>
  <printOptions horizontalCentered="1"/>
  <pageMargins left="0.9448818897637796" right="0.35433070866141736" top="0.984251968503937" bottom="0.984251968503937" header="0.5118110236220472" footer="0.5118110236220472"/>
  <pageSetup firstPageNumber="22" useFirstPageNumber="1" horizontalDpi="600" verticalDpi="600" orientation="portrait" paperSize="9" scale="84" r:id="rId1"/>
  <headerFooter alignWithMargins="0">
    <oddFooter>&amp;R&amp;9&amp;P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GuntarsM</cp:lastModifiedBy>
  <cp:lastPrinted>2001-10-16T07:13:05Z</cp:lastPrinted>
  <dcterms:created xsi:type="dcterms:W3CDTF">2001-06-15T10:50:04Z</dcterms:created>
  <dcterms:modified xsi:type="dcterms:W3CDTF">2002-09-26T10:20:19Z</dcterms:modified>
  <cp:category/>
  <cp:version/>
  <cp:contentType/>
  <cp:contentStatus/>
</cp:coreProperties>
</file>