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Default Extension="vml" ContentType="application/vnd.openxmlformats-officedocument.vmlDrawing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activeTab="0"/>
  </bookViews>
  <sheets>
    <sheet name="kopbudzets" sheetId="1" r:id="rId1"/>
    <sheet name="1.tab." sheetId="2" r:id="rId2"/>
    <sheet name="2.tab." sheetId="3" r:id="rId3"/>
    <sheet name="3.tab." sheetId="4" r:id="rId4"/>
    <sheet name="4.tab." sheetId="5" r:id="rId5"/>
    <sheet name="5.tab." sheetId="6" r:id="rId6"/>
    <sheet name="6.tab." sheetId="7" r:id="rId7"/>
    <sheet name="7.tab." sheetId="8" r:id="rId8"/>
    <sheet name="8.tab." sheetId="9" r:id="rId9"/>
    <sheet name="9.tab." sheetId="10" r:id="rId10"/>
    <sheet name="10.tab." sheetId="11" r:id="rId11"/>
    <sheet name="11.tab." sheetId="12" r:id="rId12"/>
    <sheet name="12.tab." sheetId="13" r:id="rId13"/>
    <sheet name="13.tab." sheetId="14" r:id="rId14"/>
    <sheet name="14.tab." sheetId="15" r:id="rId15"/>
    <sheet name="15.tab." sheetId="16" r:id="rId16"/>
    <sheet name="16.tab." sheetId="17" r:id="rId17"/>
    <sheet name="17.tab." sheetId="18" r:id="rId18"/>
    <sheet name="18.tab." sheetId="19" r:id="rId19"/>
    <sheet name="19.tab." sheetId="20" r:id="rId20"/>
    <sheet name="20.tab." sheetId="21" r:id="rId21"/>
    <sheet name="21.tab." sheetId="22" r:id="rId22"/>
    <sheet name="22.tab." sheetId="23" r:id="rId23"/>
    <sheet name="23.tab." sheetId="24" r:id="rId24"/>
    <sheet name="24.tab." sheetId="25" r:id="rId25"/>
    <sheet name="25.tab." sheetId="26" r:id="rId26"/>
    <sheet name="26.tab." sheetId="27" r:id="rId27"/>
    <sheet name="27.tab." sheetId="28" r:id="rId28"/>
    <sheet name="28.tab." sheetId="29" r:id="rId29"/>
    <sheet name="29.tab." sheetId="30" r:id="rId30"/>
    <sheet name="31.tab." sheetId="31" r:id="rId31"/>
    <sheet name="32.tab." sheetId="32" r:id="rId32"/>
  </sheets>
  <externalReferences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</externalReferences>
  <definedNames>
    <definedName name="_xlnm.Print_Area" localSheetId="1">'1.tab.'!$A$1:$J$99</definedName>
    <definedName name="_xlnm.Print_Area" localSheetId="10">'10.tab.'!$F:$J</definedName>
    <definedName name="_xlnm.Print_Area" localSheetId="11">'11.tab.'!$H:$M</definedName>
    <definedName name="_xlnm.Print_Area" localSheetId="12">'12.tab.'!$H:$N</definedName>
    <definedName name="_xlnm.Print_Area" localSheetId="2">'2.tab.'!$A$1:$M$46</definedName>
    <definedName name="_xlnm.Print_Area" localSheetId="20">'20.tab.'!$A:$R</definedName>
    <definedName name="_xlnm.Print_Area" localSheetId="21">'21.tab.'!$A:$P</definedName>
    <definedName name="_xlnm.Print_Area" localSheetId="22">'22.tab.'!$A:$E</definedName>
    <definedName name="_xlnm.Print_Area" localSheetId="25">'25.tab.'!$A:$I</definedName>
    <definedName name="_xlnm.Print_Area" localSheetId="26">'26.tab.'!$A$1:$D$58</definedName>
    <definedName name="_xlnm.Print_Area" localSheetId="27">'27.tab.'!$K:$T</definedName>
    <definedName name="_xlnm.Print_Area" localSheetId="28">'28.tab.'!$K:$T</definedName>
    <definedName name="_xlnm.Print_Area" localSheetId="29">'29.tab.'!$F:$J</definedName>
    <definedName name="_xlnm.Print_Area" localSheetId="3">'3.tab.'!$A$1:$O$249</definedName>
    <definedName name="_xlnm.Print_Area" localSheetId="30">'31.tab.'!$A$1:$G$84</definedName>
    <definedName name="_xlnm.Print_Area" localSheetId="4">'4.tab.'!$H:$N</definedName>
    <definedName name="_xlnm.Print_Area" localSheetId="5">'5.tab.'!$H$1:$M$47</definedName>
    <definedName name="_xlnm.Print_Area" localSheetId="6">'6.tab.'!$G:$L</definedName>
    <definedName name="_xlnm.Print_Area" localSheetId="7">'7.tab.'!$H:$N</definedName>
    <definedName name="_xlnm.Print_Area" localSheetId="8">'8.tab.'!$G:$L</definedName>
    <definedName name="_xlnm.Print_Area" localSheetId="9">'9.tab.'!$F:$J</definedName>
    <definedName name="_xlnm.Print_Titles" localSheetId="1">'1.tab.'!$7:$9</definedName>
    <definedName name="_xlnm.Print_Titles" localSheetId="12">'12.tab.'!$5:$7</definedName>
    <definedName name="_xlnm.Print_Titles" localSheetId="13">'13.tab.'!$7:$8</definedName>
    <definedName name="_xlnm.Print_Titles" localSheetId="19">'19.tab.'!$7:$11</definedName>
    <definedName name="_xlnm.Print_Titles" localSheetId="20">'20.tab.'!$6:$10</definedName>
    <definedName name="_xlnm.Print_Titles" localSheetId="21">'21.tab.'!$6:$10</definedName>
    <definedName name="_xlnm.Print_Titles" localSheetId="22">'22.tab.'!$6:$8</definedName>
    <definedName name="_xlnm.Print_Titles" localSheetId="25">'25.tab.'!$7:$10</definedName>
    <definedName name="_xlnm.Print_Titles" localSheetId="27">'27.tab.'!$8:$11</definedName>
    <definedName name="_xlnm.Print_Titles" localSheetId="28">'28.tab.'!$8:$11</definedName>
    <definedName name="_xlnm.Print_Titles" localSheetId="3">'3.tab.'!$8:$9</definedName>
    <definedName name="_xlnm.Print_Titles" localSheetId="30">'31.tab.'!$6:$8</definedName>
    <definedName name="_xlnm.Print_Titles" localSheetId="4">'4.tab.'!$7:$9</definedName>
    <definedName name="_xlnm.Print_Titles" localSheetId="6">'6.tab.'!$7:$9</definedName>
    <definedName name="_xlnm.Print_Titles" localSheetId="7">'7.tab.'!$7:$9</definedName>
    <definedName name="_xlnm.Print_Titles" localSheetId="9">'9.tab.'!$6:$8</definedName>
    <definedName name="Z_615B3042_FCFF_11D4_9C47_00902745261A_.wvu.PrintArea" localSheetId="30" hidden="1">'31.tab.'!$A$1:$G$87</definedName>
    <definedName name="Z_615B3042_FCFF_11D4_9C47_00902745261A_.wvu.PrintTitles" localSheetId="30" hidden="1">'31.tab.'!$6:$8</definedName>
    <definedName name="Z_640C99E1_FCCB_11D4_856D_00105A71C5B5_.wvu.PrintArea" localSheetId="30" hidden="1">'31.tab.'!$A$1:$G$87</definedName>
    <definedName name="Z_640C99E1_FCCB_11D4_856D_00105A71C5B5_.wvu.PrintTitles" localSheetId="30" hidden="1">'31.tab.'!$6:$8</definedName>
    <definedName name="Z_640C99E1_FCCB_11D4_856D_00105A71C5B5_.wvu.Rows" localSheetId="30" hidden="1">'31.tab.'!$86:$65536,'31.tab.'!$1:$85</definedName>
    <definedName name="Z_BC5FEA1E_5696_4CF4_B8B2_A5CF94385785_.wvu.PrintArea" localSheetId="30" hidden="1">'31.tab.'!$A$1:$G$87</definedName>
    <definedName name="Z_BC5FEA1E_5696_4CF4_B8B2_A5CF94385785_.wvu.PrintTitles" localSheetId="30" hidden="1">'31.tab.'!$6:$8</definedName>
  </definedNames>
  <calcPr fullCalcOnLoad="1"/>
</workbook>
</file>

<file path=xl/comments15.xml><?xml version="1.0" encoding="utf-8"?>
<comments xmlns="http://schemas.openxmlformats.org/spreadsheetml/2006/main">
  <authors>
    <author>VinetaP</author>
  </authors>
  <commentList>
    <comment ref="G7" authorId="0">
      <text>
        <r>
          <rPr>
            <b/>
            <sz val="8"/>
            <rFont val="Tahoma"/>
            <family val="0"/>
          </rPr>
          <t>VinetaP:</t>
        </r>
        <r>
          <rPr>
            <sz val="8"/>
            <rFont val="Tahoma"/>
            <family val="0"/>
          </rPr>
          <t xml:space="preserve">
neaizmirsti nomainīt gada plānu</t>
        </r>
      </text>
    </comment>
    <comment ref="H13" authorId="0">
      <text>
        <r>
          <rPr>
            <b/>
            <sz val="8"/>
            <rFont val="Tahoma"/>
            <family val="0"/>
          </rPr>
          <t>VinetaP:</t>
        </r>
        <r>
          <rPr>
            <sz val="8"/>
            <rFont val="Tahoma"/>
            <family val="0"/>
          </rPr>
          <t xml:space="preserve">
Neaizmirsti pieskaitīt iedz.no-ļa atlikumu uz mēneša beigām
</t>
        </r>
      </text>
    </comment>
    <comment ref="F44" authorId="0">
      <text>
        <r>
          <rPr>
            <b/>
            <sz val="8"/>
            <rFont val="Tahoma"/>
            <family val="0"/>
          </rPr>
          <t>VinetaP:</t>
        </r>
        <r>
          <rPr>
            <sz val="8"/>
            <rFont val="Tahoma"/>
            <family val="0"/>
          </rPr>
          <t xml:space="preserve">
No garās Agneses tabulas , tikai viens cipars
</t>
        </r>
      </text>
    </comment>
  </commentList>
</comments>
</file>

<file path=xl/sharedStrings.xml><?xml version="1.0" encoding="utf-8"?>
<sst xmlns="http://schemas.openxmlformats.org/spreadsheetml/2006/main" count="4038" uniqueCount="1060">
  <si>
    <t xml:space="preserve">   procentu nomaksa par iekšējiem aizņēmumiem</t>
  </si>
  <si>
    <t xml:space="preserve">    procentu nomaksa ārvalstu institūcijām</t>
  </si>
  <si>
    <t xml:space="preserve">   Finansu ministrijas maksājumi par valsts parāda apkalpošanu</t>
  </si>
  <si>
    <t>Subsīdijas un dotācijas</t>
  </si>
  <si>
    <t xml:space="preserve">    subsīdijas</t>
  </si>
  <si>
    <t xml:space="preserve">    mērķdotācijas pašvaldību budžetiem</t>
  </si>
  <si>
    <t xml:space="preserve">    dotācijas pašvaldību budžetiem</t>
  </si>
  <si>
    <t xml:space="preserve">    dotācijas iestādēm un organizācijām</t>
  </si>
  <si>
    <t xml:space="preserve">                t.sk. dotācijas lauksaimniecībai</t>
  </si>
  <si>
    <t xml:space="preserve">     dotācijas iedzīvotājiem</t>
  </si>
  <si>
    <t xml:space="preserve">                t.sk.            pensijas </t>
  </si>
  <si>
    <t xml:space="preserve"> pabalsti</t>
  </si>
  <si>
    <t xml:space="preserve">    stipendijas</t>
  </si>
  <si>
    <t xml:space="preserve"> pārējie</t>
  </si>
  <si>
    <t xml:space="preserve">   iemaksas starptautiskajās organizācijās</t>
  </si>
  <si>
    <t xml:space="preserve">   pārējās subsīdijas un dotācijas</t>
  </si>
  <si>
    <t xml:space="preserve">        t.sk.        speciālajam budžetam</t>
  </si>
  <si>
    <t xml:space="preserve">                               SAPARD maksājumi </t>
  </si>
  <si>
    <t>2.2. Izdevumi kapitālieguldījumiem</t>
  </si>
  <si>
    <t>Kapitālie izdevumi kopā</t>
  </si>
  <si>
    <t>Investīcijas kopā</t>
  </si>
  <si>
    <t xml:space="preserve">   t.sk. speciālajam budžetam</t>
  </si>
  <si>
    <t xml:space="preserve">            pašvaldību budžetam</t>
  </si>
  <si>
    <t>3. Valsts budžeta tīrie aizdevumi (3.1.-3.2.)</t>
  </si>
  <si>
    <t>3.1.Valsts budžeta aizdevumi</t>
  </si>
  <si>
    <t xml:space="preserve">   t.sk.speciālajam budžetam</t>
  </si>
  <si>
    <t>3.2.Valsts budžeta aizdevumu atmaksas</t>
  </si>
  <si>
    <t xml:space="preserve">   t.sk. no speciālā budžeta</t>
  </si>
  <si>
    <t xml:space="preserve">Fiskālā bilance </t>
  </si>
  <si>
    <t>Finansēšana</t>
  </si>
  <si>
    <t xml:space="preserve">    ieņēmumi no valsts un pašvaldību īpašuma privatizācijas</t>
  </si>
  <si>
    <t xml:space="preserve">    aizņēmumi</t>
  </si>
  <si>
    <t xml:space="preserve">Valsts kases pārvaldnieks                                                                          </t>
  </si>
  <si>
    <t>2001.gada 15.februāris</t>
  </si>
  <si>
    <r>
      <t xml:space="preserve">ieņēmumi no valsts nekustamā </t>
    </r>
    <r>
      <rPr>
        <u val="single"/>
        <sz val="9"/>
        <rFont val="Arial"/>
        <family val="2"/>
      </rPr>
      <t>ī</t>
    </r>
    <r>
      <rPr>
        <sz val="9"/>
        <rFont val="Arial"/>
        <family val="2"/>
      </rPr>
      <t xml:space="preserve">pašuma pārdošanas </t>
    </r>
  </si>
  <si>
    <t>5.tabula</t>
  </si>
  <si>
    <t xml:space="preserve">                 Valsts pamatbudžeta izdevumi un tīrie aizdevumi pēc valdības funkcijām</t>
  </si>
  <si>
    <t xml:space="preserve">    (saimnieciskais gads, pārskata periods)</t>
  </si>
  <si>
    <t>(tūkst. latu)</t>
  </si>
  <si>
    <t>Valdības funkcijas kods</t>
  </si>
  <si>
    <t>Izpilde % pret gada plānu          (3/2)</t>
  </si>
  <si>
    <t>Izpilde % pret gada plānu          (4/3)</t>
  </si>
  <si>
    <t>Izdevumi - kopā</t>
  </si>
  <si>
    <t>Vispārējie valdības dienesti</t>
  </si>
  <si>
    <t>Aizsardzība</t>
  </si>
  <si>
    <t>Sabiedriskā kārtība un drošība, tiesību aizsardzība</t>
  </si>
  <si>
    <t>Izglītība</t>
  </si>
  <si>
    <t>Veselības aprūpe</t>
  </si>
  <si>
    <t>Sociālā apdrošināšana un sociālā nodrošināšana</t>
  </si>
  <si>
    <t>Dzīvokļu un komunālā saimniecība, vides aizsardzība</t>
  </si>
  <si>
    <t xml:space="preserve">Brīvais laiks, sports,kultūra un reliģija </t>
  </si>
  <si>
    <t>Kurināmā un enerģētikas dienesti un pasākumi</t>
  </si>
  <si>
    <t xml:space="preserve">Lauksaimniecība (zemkopība), mežkopība un zvejniecība </t>
  </si>
  <si>
    <t>Iegūstošā rūpniecība, rūpniecība, celtniecība, derīgie izrakteņi</t>
  </si>
  <si>
    <t>Transports, sakari</t>
  </si>
  <si>
    <t>Pārējā ekonomiskā darbība un dienesti</t>
  </si>
  <si>
    <t xml:space="preserve">Pārējie izdevumi, kas nav atspoguļoti pamatgrupās </t>
  </si>
  <si>
    <t>t.sk. tīrie aizdevumi</t>
  </si>
  <si>
    <t xml:space="preserve">Valsts kases pārvaldnieks                                                 </t>
  </si>
  <si>
    <t>A. Veiss</t>
  </si>
  <si>
    <t>6.tabula</t>
  </si>
  <si>
    <t xml:space="preserve"> Valsts kases oDiciālais mēneša pārskats</t>
  </si>
  <si>
    <t xml:space="preserve">Valsts speciālā budžeta ieņēmumi un izdevumi pa ministrijām </t>
  </si>
  <si>
    <t>latos</t>
  </si>
  <si>
    <t xml:space="preserve"> (tūkst.latu)</t>
  </si>
  <si>
    <t>Finansēšanas plāns</t>
  </si>
  <si>
    <t>Izpilde % pret gada plānu 
   (4/2)</t>
  </si>
  <si>
    <t xml:space="preserve">Ieņēmumi - kopā  </t>
  </si>
  <si>
    <t xml:space="preserve">        Uzturēšanas izdevumi  </t>
  </si>
  <si>
    <t xml:space="preserve">        t.sk. aizņēmuma atmaksa pamatbudžetā</t>
  </si>
  <si>
    <t xml:space="preserve">        Izdevumi kapitālieguldījumiem</t>
  </si>
  <si>
    <t xml:space="preserve">Aizņēmums no pamatbudžeta </t>
  </si>
  <si>
    <t>Centrālā dzīvojamo māju privatizācijas komisija</t>
  </si>
  <si>
    <t>Ieņēmumi</t>
  </si>
  <si>
    <t xml:space="preserve">       Ieņēmumi no dzīvojamo māju privatizācijas</t>
  </si>
  <si>
    <t>Izdevumi</t>
  </si>
  <si>
    <t xml:space="preserve">        Uzturēšanas izdevumi</t>
  </si>
  <si>
    <t>Transportlīdzekļu īpašnieku civiltiesiskās atbildības obligātās apdrošināšanas sistēma</t>
  </si>
  <si>
    <t xml:space="preserve">    Atskaitījumi no apdrošināšanas prēmijām:</t>
  </si>
  <si>
    <t xml:space="preserve">      t.sk. transportlīdzekļu īpašnieku
              iekšzemes apdrošināšanas garantijas
             fonds</t>
  </si>
  <si>
    <t xml:space="preserve">              transportlīdzekļu īpašnieku
              apdrošināšanas apdrošinājuma
              ņēmēju interešu aizsardzības fonds</t>
  </si>
  <si>
    <t xml:space="preserve">              ceļu satiksmes negadījumu
              novēršanai un profilaksei</t>
  </si>
  <si>
    <t xml:space="preserve">              transportlīdzekļu īpašnieku Zaļo
              karšu apdrošināšanas garantijas
              fonds</t>
  </si>
  <si>
    <t xml:space="preserve">    Pārapdrošināšanas maksājumi</t>
  </si>
  <si>
    <t xml:space="preserve">    Regresa prasības</t>
  </si>
  <si>
    <t xml:space="preserve">    Pārējie ieņēmumi</t>
  </si>
  <si>
    <t>Noguldījumu garantiju fonda veidošana, pārvaldīšana un izlietošana</t>
  </si>
  <si>
    <t xml:space="preserve">   Atskaitījumi no bankām</t>
  </si>
  <si>
    <t xml:space="preserve">   Uzturēšanas izdevumi</t>
  </si>
  <si>
    <t>Apdrošināto aizsardzības fondi</t>
  </si>
  <si>
    <t xml:space="preserve">      t.sk.dzīvības apdrošināšanai</t>
  </si>
  <si>
    <t xml:space="preserve">             pārējai apdrošināšanai</t>
  </si>
  <si>
    <t>Augstas klases sasniegumu sports</t>
  </si>
  <si>
    <t xml:space="preserve">    Valsts pamatbudžeta dotācija</t>
  </si>
  <si>
    <t xml:space="preserve">    Uzturēšanas izdevumi</t>
  </si>
  <si>
    <t xml:space="preserve">     t.sk. aizņēmuma atmaksa pamatbudžetā</t>
  </si>
  <si>
    <t xml:space="preserve">    Izdevumi kapitālieguldījumiem</t>
  </si>
  <si>
    <t xml:space="preserve"> Studējošo un studiju kreditēšana</t>
  </si>
  <si>
    <t xml:space="preserve">    Mācību maksa</t>
  </si>
  <si>
    <t xml:space="preserve">     Mācību maksa</t>
  </si>
  <si>
    <t>Aizņēmums no pamatbudžeta</t>
  </si>
  <si>
    <t xml:space="preserve"> Zivju fonds</t>
  </si>
  <si>
    <t xml:space="preserve">    Maksa par rūpnieciskās zvejas tiesību nomu </t>
  </si>
  <si>
    <t xml:space="preserve">    Pārējie maksājumi</t>
  </si>
  <si>
    <t>Valsts autoceļu fonds</t>
  </si>
  <si>
    <t xml:space="preserve">    Transportlīdzekļu ikgadējā nodeva</t>
  </si>
  <si>
    <t xml:space="preserve">    50%  akcīzes nodoklis par naftas produktiem</t>
  </si>
  <si>
    <t xml:space="preserve">         t.sk. aizņēmuma atmaksa pamatbudžetā</t>
  </si>
  <si>
    <t>Latvijas ostu attīstības fonds</t>
  </si>
  <si>
    <t>Lidostas "Rīga" infrastruktūras attīstībai</t>
  </si>
  <si>
    <t xml:space="preserve">   Izlidošanas nodeva</t>
  </si>
  <si>
    <t>Valsts speciālais veselības aprūpes budžets</t>
  </si>
  <si>
    <t xml:space="preserve">   Iedzīvotāju ienākuma nodoklis</t>
  </si>
  <si>
    <t xml:space="preserve">   Valsts pamatbudžeta dotācija</t>
  </si>
  <si>
    <t>Sociālā apdrošināšana</t>
  </si>
  <si>
    <t xml:space="preserve">           Sociālās apdrošināšanas iemaksas </t>
  </si>
  <si>
    <t xml:space="preserve">           Valsts pamatbudžeta dotācija</t>
  </si>
  <si>
    <t xml:space="preserve">          Citi īpašiem mērķiem iezīmēti ieņēmumi</t>
  </si>
  <si>
    <t xml:space="preserve">Izdevumi  </t>
  </si>
  <si>
    <t xml:space="preserve">     Valsts pensiju speciālais budžets</t>
  </si>
  <si>
    <t xml:space="preserve">           Uzturēšanas izdevumi</t>
  </si>
  <si>
    <t xml:space="preserve">     Nodarbinātības speciālais budžets</t>
  </si>
  <si>
    <t xml:space="preserve">     Darba negadījumu speciālais budžets</t>
  </si>
  <si>
    <t xml:space="preserve">    Invaliditātes, maternitātes un slimības speciālais budžets </t>
  </si>
  <si>
    <t>BOVAS "Valsts sociālās apdrošināšanas aģentūra"</t>
  </si>
  <si>
    <t xml:space="preserve">           Izdevumi kapitālieguldījumiem</t>
  </si>
  <si>
    <t>Vides aizsardzības fonds</t>
  </si>
  <si>
    <t xml:space="preserve">    Dabas resursu nodoklis</t>
  </si>
  <si>
    <t xml:space="preserve">    Akcīzes nodoklis par kurināmajiem naftas produktiem</t>
  </si>
  <si>
    <t>Kultūrkapitāla fonds</t>
  </si>
  <si>
    <t xml:space="preserve">   Ieņēmumi no akcīzes nodokļa par alkoholiskajiem dzērieniem</t>
  </si>
  <si>
    <t xml:space="preserve">   Ieņēmumi no akcīzes nodokļa par tabakas izstrādājumiem</t>
  </si>
  <si>
    <t>Īpašu uzdevumu ministra sadarbībai ar starptautiskajām finansu institūcijām sekretariāts</t>
  </si>
  <si>
    <t>tūkst.latu</t>
  </si>
  <si>
    <t>Valsts kase/ Pārskatu departaments</t>
  </si>
  <si>
    <t xml:space="preserve">                                  Valsts kases oficiālais mēneša pārskats</t>
  </si>
  <si>
    <t>7.tabula</t>
  </si>
  <si>
    <t xml:space="preserve">Valsts speciālā budžeta ieņēmumi un izdevumi </t>
  </si>
  <si>
    <t>pēc ekonomiskās klasifikācijas</t>
  </si>
  <si>
    <t>Izpilde % pret finansēšanas plānu pārskata periodam           (4/3)</t>
  </si>
  <si>
    <t>1.Ieņēmumi - kopā</t>
  </si>
  <si>
    <t>Īpašiem mērķiem iezīmēti ieņēmumi</t>
  </si>
  <si>
    <t xml:space="preserve">   t.sk.valsts pamatbudžeta dotācijas</t>
  </si>
  <si>
    <t>2.1.Uzturēšanas izdevumi</t>
  </si>
  <si>
    <t xml:space="preserve"> t.sk. atalgojumi</t>
  </si>
  <si>
    <t xml:space="preserve">        valsts sociālās apdrošināšanas obligātās iemaksas</t>
  </si>
  <si>
    <t xml:space="preserve">        pārējie kārtējie izdevumi</t>
  </si>
  <si>
    <t xml:space="preserve">        aizņēmumu atmaksa </t>
  </si>
  <si>
    <t xml:space="preserve">       procentu nomaksa par iekšējiem aizņēmumiem</t>
  </si>
  <si>
    <t xml:space="preserve">       procentu nomaksa par ārvalstu aizņēmumiem</t>
  </si>
  <si>
    <t xml:space="preserve">       subsīdijas</t>
  </si>
  <si>
    <t xml:space="preserve">        t.sk. dzelzceļam 3130</t>
  </si>
  <si>
    <t xml:space="preserve">        t.sk. dzelzceļam</t>
  </si>
  <si>
    <t xml:space="preserve">       mērķdotācijas pašvaldību budžetiem</t>
  </si>
  <si>
    <t xml:space="preserve">        t.sk. autoceļu(ielu) fondiem 3250</t>
  </si>
  <si>
    <t xml:space="preserve">        t.sk. autoceļu(ielu) fondiem</t>
  </si>
  <si>
    <t xml:space="preserve">               pasažieru regulārajiem pārvadātājiem ar autobusiem:3280</t>
  </si>
  <si>
    <t xml:space="preserve">               pasažieru regulārajiem pārvadātājiem ar autobusiem:</t>
  </si>
  <si>
    <t xml:space="preserve">                     no tiem: pašvaldībām 3281</t>
  </si>
  <si>
    <t xml:space="preserve">                     no tiem: pašvaldībām</t>
  </si>
  <si>
    <t xml:space="preserve">                                     pārējiem pārvadātājiem 3282</t>
  </si>
  <si>
    <t xml:space="preserve">                                     pārējiem pārvadātājiem</t>
  </si>
  <si>
    <t xml:space="preserve">       dotācijas pašvaldību budžetiem</t>
  </si>
  <si>
    <t xml:space="preserve">       dotācijas iestādēm, organizācijām un uzņēmumiem</t>
  </si>
  <si>
    <t xml:space="preserve">       dotācijas iedzīvotājiem</t>
  </si>
  <si>
    <t xml:space="preserve">    t.sk. pensijas</t>
  </si>
  <si>
    <t xml:space="preserve">           pabalsti</t>
  </si>
  <si>
    <t xml:space="preserve">              stipendijas</t>
  </si>
  <si>
    <t xml:space="preserve">          pārējie</t>
  </si>
  <si>
    <t xml:space="preserve">       iemaksas starptautiskajās organizācijās</t>
  </si>
  <si>
    <t>03.00</t>
  </si>
  <si>
    <t>04.00</t>
  </si>
  <si>
    <t>05.00</t>
  </si>
  <si>
    <t>06.00</t>
  </si>
  <si>
    <t>07.00</t>
  </si>
  <si>
    <t>08.00</t>
  </si>
  <si>
    <t>09.00</t>
  </si>
  <si>
    <t>10.00</t>
  </si>
  <si>
    <t>11.00</t>
  </si>
  <si>
    <t>12.00</t>
  </si>
  <si>
    <t>13.00</t>
  </si>
  <si>
    <t>Pārējie izdevumi, kas nav atspoguļoti pamatgrupās (ieskaitot tīros aizdevumus)*</t>
  </si>
  <si>
    <t>14.00</t>
  </si>
  <si>
    <t xml:space="preserve">Valsts kases pārvaldnieks                                                              </t>
  </si>
  <si>
    <t>Informatīvi: valsts fondēto pensiju shēmas līdzekļi</t>
  </si>
  <si>
    <t>tūkst.ls</t>
  </si>
  <si>
    <t xml:space="preserve">* t.sk.aizņēmums no pamatbudžeta saskaņā ar FM rīkojumu  </t>
  </si>
  <si>
    <t>Fiskālais deficīts 
(-), 
pārpalikums (+)      (2-5)</t>
  </si>
  <si>
    <t>Finansē-
šana                   -(5-9)</t>
  </si>
  <si>
    <t xml:space="preserve">     Centralizētā bruņojuma un munīcijas 
     nodrošināsanas izdevumi</t>
  </si>
  <si>
    <t xml:space="preserve">fiskālajam deficītam * :  </t>
  </si>
  <si>
    <t>* t.s. VAS "Privatizācijas aģentūra" izdevumi - 3 milj.latu</t>
  </si>
  <si>
    <t xml:space="preserve">       dotācija valsts pamatbudžetam sociālās      apdrošināšanas iemaksu administrēšanai</t>
  </si>
  <si>
    <t>2.2.Izdevumi kapitālieguldījumiem</t>
  </si>
  <si>
    <t xml:space="preserve">   Kapitālie izdevumi</t>
  </si>
  <si>
    <t xml:space="preserve">   Investīcijas</t>
  </si>
  <si>
    <t>3.Valsts budžeta tīrie aizdevumi (3.1.-3.2.)</t>
  </si>
  <si>
    <t xml:space="preserve">   3.1.Valsts budžeta aizdevumi</t>
  </si>
  <si>
    <t xml:space="preserve">   3.2.Valsts budžeta aizdevumu atmaksas</t>
  </si>
  <si>
    <t>Fiskālā bilance (1.-2.-3.)</t>
  </si>
  <si>
    <t xml:space="preserve">Aizņēmums no pamatbudžeta                          </t>
  </si>
  <si>
    <t>Valsts speciālā budžeta naudas līdzekļu atlikumu izmaiņas palielinājums (-) vai samazinājums (+)</t>
  </si>
  <si>
    <t>Informatīvi:</t>
  </si>
  <si>
    <t xml:space="preserve">  Indikatīvie mērķi valsts budžeta </t>
  </si>
  <si>
    <t>Fondēto pensiju shēmas līdzekļi</t>
  </si>
  <si>
    <t xml:space="preserve">   t.sk. sociālās apdrošināšanas obligātās iemaksas</t>
  </si>
  <si>
    <t>2001.gada 15.februārī</t>
  </si>
  <si>
    <t xml:space="preserve">                                                      Valsts kases oficiālais mēneša pārskats</t>
  </si>
  <si>
    <t>8.tabula</t>
  </si>
  <si>
    <t xml:space="preserve"> Valsts speciālā budžeta izdevumi  un tīrie aizdevumi pēc valdības funkcijām</t>
  </si>
  <si>
    <t xml:space="preserve">Izglītība </t>
  </si>
  <si>
    <t xml:space="preserve">Izglītība  </t>
  </si>
  <si>
    <t>t.sk. tīrie  aizdevumi</t>
  </si>
  <si>
    <t>Pārējie izdevumi, kas nav atspoguļoti pamatgrupās  (ieskaitot tīros aizdevumus)</t>
  </si>
  <si>
    <t>9.tabula</t>
  </si>
  <si>
    <t xml:space="preserve">Valsts  budžeta  ziedojumu un dāvinājumu ieņēmumi un izdevumi pa ministrijām un citām centrālām valsts iestādēm </t>
  </si>
  <si>
    <t>Izpilde % pret finansēšanas plānu (3/2)</t>
  </si>
  <si>
    <t xml:space="preserve">Izdevumi - kopā </t>
  </si>
  <si>
    <t>10.tabula</t>
  </si>
  <si>
    <t xml:space="preserve">                                              Valsts kases oficiālais mēneša pārskats</t>
  </si>
  <si>
    <t>Valsts  budžeta ziedojumu un dāvinājumu ieņēmumi un izdevumi pēc ekonomiskās klasifikācijas</t>
  </si>
  <si>
    <t xml:space="preserve">Izpilde no gada sākuma </t>
  </si>
  <si>
    <t>Izpilde % pret finansēšanas plānu  (3/2)</t>
  </si>
  <si>
    <t>1.Saņemtie dāvinājumi un ziedojumi - kopā</t>
  </si>
  <si>
    <t xml:space="preserve">   no iekšzemes juridiskajām un fiziskajām personām</t>
  </si>
  <si>
    <t xml:space="preserve">   no ārvalstu juridiskajām un fiziskajām personām  </t>
  </si>
  <si>
    <t xml:space="preserve">   budžetā neiekļautā ārvalstu finansu palīdzība</t>
  </si>
  <si>
    <t xml:space="preserve">2.Izdevumi - kopā (2.1.+2.2.) </t>
  </si>
  <si>
    <t xml:space="preserve">    valsts sociālās apdrošināšanas obligātās iemaksas</t>
  </si>
  <si>
    <t xml:space="preserve">     t.sk. preču un pakalpojumu izdevumi  </t>
  </si>
  <si>
    <t xml:space="preserve">            pārējie izdevumi</t>
  </si>
  <si>
    <t xml:space="preserve">     aizņēmumu atmaksa</t>
  </si>
  <si>
    <t xml:space="preserve">     procentu nomaksa par iekšējiem aizņēmumiem</t>
  </si>
  <si>
    <t xml:space="preserve">     procentu nomaksa par ārvalstu aizņēmumiem</t>
  </si>
  <si>
    <t xml:space="preserve">     dotācijas iestādēm un organizācijām</t>
  </si>
  <si>
    <t>2.2.Izdevumi  kapitālieguldījumiem</t>
  </si>
  <si>
    <t xml:space="preserve">Kapitālie izdevumi  </t>
  </si>
  <si>
    <t>Investīcijas</t>
  </si>
  <si>
    <t>Fiskālā bilance (1.-2.)</t>
  </si>
  <si>
    <t>Naudas līdzekļu atlikumu izmaiņas palielinājums (-) vai samazinājums (+)</t>
  </si>
  <si>
    <t xml:space="preserve">Valsts kases pārvaldnieks                                                                      </t>
  </si>
  <si>
    <t>11.tabula</t>
  </si>
  <si>
    <t>Valsts budžeta ziedojumu un dāvinājumu izdevumi pēc valdības funkcijām</t>
  </si>
  <si>
    <t xml:space="preserve">Valdības funkciju kods </t>
  </si>
  <si>
    <t>Izpilde % pret finansēšanas plānu  (4/3)</t>
  </si>
  <si>
    <t>01.000</t>
  </si>
  <si>
    <t>02.000</t>
  </si>
  <si>
    <t>Brīvais laiks, sports, kultūra un reliģija</t>
  </si>
  <si>
    <t>Lauksaimniecība (zemkopība), mežkopība un zvejniecība</t>
  </si>
  <si>
    <t>10. tabula</t>
  </si>
  <si>
    <t>12.tabula</t>
  </si>
  <si>
    <t xml:space="preserve">Ārvalstu finansu palīdzības un valsts budžeta līdzdalības maksājumi </t>
  </si>
  <si>
    <t>(latos)</t>
  </si>
  <si>
    <t>Izpilde % pret finansēša-nas plānu pārskata periodam 
  (4/3)</t>
  </si>
  <si>
    <t>Mēneša izpilde</t>
  </si>
  <si>
    <t xml:space="preserve">   1. Ārvalstu finansu palīdzība
un valsts pamatbudžeta 
līdzdalības maksājumi kopā</t>
  </si>
  <si>
    <t xml:space="preserve">     Uzturēšanas izdevumi</t>
  </si>
  <si>
    <t xml:space="preserve">     Izdevumi kapitālieguldījumiem</t>
  </si>
  <si>
    <t>Valsts pamatbudžets</t>
  </si>
  <si>
    <t xml:space="preserve">  Ārvalstu finansu palīdzība</t>
  </si>
  <si>
    <t xml:space="preserve">  Valsts pamatbudžets</t>
  </si>
  <si>
    <t xml:space="preserve">Tieslietu ministrija </t>
  </si>
  <si>
    <t>Vides aizsardzības un reģionālās 
attīstības ministrija</t>
  </si>
  <si>
    <t>Īpašu uzdevumu ministra valsts reformu lietās sekretariāts</t>
  </si>
  <si>
    <t xml:space="preserve">   2. Ārvalstu finansu palīdzība
un valsts speciālā budžeta
līdzdalības maksājumi kopā</t>
  </si>
  <si>
    <t>Valsts speciālais budžets</t>
  </si>
  <si>
    <t xml:space="preserve">  Valsts speciālais budžets</t>
  </si>
  <si>
    <t>3. Pārējā ārvalstu finansu palīdzība</t>
  </si>
  <si>
    <t>X</t>
  </si>
  <si>
    <t>13. tabula</t>
  </si>
  <si>
    <t>Pašvaldību konsolidētā budžeta izpilde  (neieskaitot ziedojumus un dāvinājumus)</t>
  </si>
  <si>
    <t>Gada plāns</t>
  </si>
  <si>
    <t>A.1. Kopējie ieņēmumi (B.1.+ C.1)</t>
  </si>
  <si>
    <t xml:space="preserve">    Pašvaldību pamatbudžeta ieņēmumi (bruto)</t>
  </si>
  <si>
    <t xml:space="preserve">          Nodokļu ieņēmumi</t>
  </si>
  <si>
    <t xml:space="preserve">          Nenodokļu ieņēmumi</t>
  </si>
  <si>
    <t xml:space="preserve">          Maksas pakalpojumi un citi pašu ieņēmumi</t>
  </si>
  <si>
    <t xml:space="preserve">          Saņemtie maksājumi</t>
  </si>
  <si>
    <t xml:space="preserve">       mīnus saņemtie maksājumi savstarpējo norēķinu kārtībā</t>
  </si>
  <si>
    <t>mīnus saņemtie maksājumi no Pašvaldību finansu izlīdzināšanas fonda, ko iemaksā citas pašvaldības</t>
  </si>
  <si>
    <t>B.1. Pašvaldību pamatbudžeta ieņēmumi (neto)</t>
  </si>
  <si>
    <t xml:space="preserve">     Pašvaldību speciālā budžeta ieņēmumi (bruto)</t>
  </si>
  <si>
    <t xml:space="preserve">               Ieņēmumi no īpašiem mērķiem iezīmētu  līdzekļu  avotiem</t>
  </si>
  <si>
    <t>mīnus ieņēmumi no pašvaldību īpašuma privatizācijas</t>
  </si>
  <si>
    <t>C.1. Pašvaldību speciālā budžeta ieņēmumi (neto)</t>
  </si>
  <si>
    <t>A.2. Kopējie pašvaldību budžeta izdevumi (A.2.1.+ A.2.2. + A.2.3.)</t>
  </si>
  <si>
    <t>A.2.1. Kopējie pašvaldību uzturēšanas izdevumi (B.2.1.+ C.2.1.)</t>
  </si>
  <si>
    <t>A.2.2.Kopējie pašvaldību kapitālie izdevumi (B.2.2.+ C.2.2.)</t>
  </si>
  <si>
    <t>A.2.3.Kopējie pašvaldību izdevumi investīcijām (B.2.3.+ C.2.3.)</t>
  </si>
  <si>
    <t>A.3.Pašvaldību budžeta finansālais deficīts (-), pārpalikums (+), (A.1.-A.2.)</t>
  </si>
  <si>
    <t>A.4. Kopējie pašvaldību budžeta tīrie aizdevumi (B.4.+ C.4.)</t>
  </si>
  <si>
    <t>Kopējie pašvaldību budžeta izdevumi, ieskaitot tīros aizdevumus (A.2.+ A.4.)</t>
  </si>
  <si>
    <t>A.5.Pašvaldību budžeta fiskālais deficīts (-), pārpalikums (+), (A.3.-A.4.)</t>
  </si>
  <si>
    <t>Finansēšana: t.sk.</t>
  </si>
  <si>
    <t xml:space="preserve">                      ieņēmumi no pašvaldību īpašuma     privatizācijas</t>
  </si>
  <si>
    <t xml:space="preserve">                      aizņēmumi no Valsts kases</t>
  </si>
  <si>
    <t xml:space="preserve">                      pārējā finansēšana</t>
  </si>
  <si>
    <t xml:space="preserve"> Pašvaldību pamatbudžeta  izdevumi (bruto)</t>
  </si>
  <si>
    <t>mīnus  savstarpējo norēķinu kārtībā veiktie maksājumi</t>
  </si>
  <si>
    <t>B.2. Pašvaldību pamatbudžeta  izdevumi (neto)</t>
  </si>
  <si>
    <t xml:space="preserve"> Pašvaldību pamatbudžeta uzturēšanas izdevumi (bruto)</t>
  </si>
  <si>
    <t xml:space="preserve"> mīnus  savstarpējo norēķinu kārtībā veiktie maksājumi</t>
  </si>
  <si>
    <t xml:space="preserve"> B.2.1.Pašvaldību pamatbudžeta  uzturēšanas izdevumi (neto)</t>
  </si>
  <si>
    <t xml:space="preserve"> B.2.2.Pašvaldību pamatbudžeta  kapitālie izdevumi </t>
  </si>
  <si>
    <t xml:space="preserve"> B.2.3.Pašvaldību pamatbudžeta  investīcijas </t>
  </si>
  <si>
    <t>B.3.Pašvaldību pamatbudžeta finansiālais deficīts
 (-), pārpalikums (+)</t>
  </si>
  <si>
    <t>B.4.Pašvaldību pamatbudžeta  tīrie aizdevumi</t>
  </si>
  <si>
    <t>(2001. gada janvāris - novembris)</t>
  </si>
  <si>
    <t>Novembra mēneša izpilde</t>
  </si>
  <si>
    <t>2001.gada 17. decembris</t>
  </si>
  <si>
    <t xml:space="preserve">Novembra mēneša izpilde </t>
  </si>
  <si>
    <t xml:space="preserve">             (2001.gada janvāris - novembris)</t>
  </si>
  <si>
    <t xml:space="preserve">Novembra mēneša  izpilde </t>
  </si>
  <si>
    <t>1.3. Pašu ieņēmumi *</t>
  </si>
  <si>
    <t>1.4. Ārvalstu finansu palīdzība *</t>
  </si>
  <si>
    <t>*-LR Finansu ministrijas Rīkojums Nr.652, 712, 725,  727, 732, 896.</t>
  </si>
  <si>
    <t>2001.gada 17.decembris</t>
  </si>
  <si>
    <t>(2001.gada janvāris-novembris)</t>
  </si>
  <si>
    <t>(2001.gada janvāris - novembris)</t>
  </si>
  <si>
    <t xml:space="preserve">Novembra  mēneša  izpilde </t>
  </si>
  <si>
    <t>Resursi izdevumu segšanai *</t>
  </si>
  <si>
    <t xml:space="preserve">   Izdevumi - kopā *</t>
  </si>
  <si>
    <t xml:space="preserve">              (2001.gada janvāris-novembris)</t>
  </si>
  <si>
    <t>1. Ieņēmumi - kopā *</t>
  </si>
  <si>
    <t>2. Izdevumi - kopā (2.1.+2.2.) *</t>
  </si>
  <si>
    <t xml:space="preserve">    (2001.gada janvāris-novembris)</t>
  </si>
  <si>
    <t>Izdevumi - kopā *</t>
  </si>
  <si>
    <t xml:space="preserve">Novembra
 mēneša  izpilde </t>
  </si>
  <si>
    <t>(2001. gada janvāris-novembris)</t>
  </si>
  <si>
    <t>2001. gada 17.decembris</t>
  </si>
  <si>
    <t>novembris</t>
  </si>
  <si>
    <t>(2001.gada novembris)</t>
  </si>
  <si>
    <t>Ekonomikas ministrija *</t>
  </si>
  <si>
    <t>Finansu ministrija *</t>
  </si>
  <si>
    <t>Iekšlietu ministrija *</t>
  </si>
  <si>
    <t xml:space="preserve">Tieslietu ministrija * </t>
  </si>
  <si>
    <t>Vides aizsardzības un reģionālās 
attīstības ministrija *</t>
  </si>
  <si>
    <t>Īpašu uzdevumu ministra sadarbībai  ar starptautiskajām finansu institūcijām sekretariāts *</t>
  </si>
  <si>
    <t>Vides un reģionālās attīstības ministrija *</t>
  </si>
  <si>
    <t>* Gada plāns palielināts saskaņā ar Finansu ministra rīkojumiem Nr. 652, 712, 725, 727, 732, 896</t>
  </si>
  <si>
    <t>2001. gada 17. decembris</t>
  </si>
  <si>
    <t>(2001.gada janvāris -novembris)</t>
  </si>
  <si>
    <t xml:space="preserve"> No valsts pamatbudžeta saņemtā dotācija PFIF 6 605 tūkst. latu</t>
  </si>
  <si>
    <t>* nesadalītais atlikums uz perioda beigām  0 tūkst.latu</t>
  </si>
  <si>
    <t>(2001.gada  janvāris - novembris)</t>
  </si>
  <si>
    <t>(2001.gada janvāris- novembris)</t>
  </si>
  <si>
    <t>1. janvāris - 30. novembris, 2001 : kontroles rādītājs</t>
  </si>
  <si>
    <t>30. novembrim, 2001 : kontroles rādītājs</t>
  </si>
  <si>
    <t xml:space="preserve">  209               0</t>
  </si>
  <si>
    <t>1. janvāris - 30. novembris, 2001 (indikatīvā robeža)</t>
  </si>
  <si>
    <t xml:space="preserve">Nodokļu ieņēmumus (1 099 574 tūkst.latu) sastāda pamatbudžeta nodokļu </t>
  </si>
  <si>
    <t xml:space="preserve">ieņēmumi (544 498 tūkst.latu) plus speciālā budžeta nodokļu ieņēmumi (555 076 tūkst.latu) </t>
  </si>
  <si>
    <t>(2001. gada novembris)</t>
  </si>
  <si>
    <r>
      <t xml:space="preserve">Programmas "Valsts aizsardzība, drošība un integrācija NATO" izpilde 
</t>
    </r>
    <r>
      <rPr>
        <sz val="11"/>
        <rFont val="Arial"/>
        <family val="2"/>
      </rPr>
      <t>(2001. gada janvāris - novembris)</t>
    </r>
  </si>
  <si>
    <t xml:space="preserve">     Pašvaldību pamatbudžeta aizdevumi</t>
  </si>
  <si>
    <t xml:space="preserve">     Pašvaldību pamatbudžeta aizdevumu atmaksas </t>
  </si>
  <si>
    <t>B.5.Pašvaldību pamatbudžeta fiskālais deficīts (-), pārpalikums (+)</t>
  </si>
  <si>
    <t>C.2. Pašvaldību speciālā budžeta  izdevumi (bruto)</t>
  </si>
  <si>
    <t xml:space="preserve">C.2.1.Pašvaldību speciālā budžeta uzturēšanas izdevumi </t>
  </si>
  <si>
    <t xml:space="preserve">C.2.2.Pašvaldību speciālā budžeta  kapitālie izdevumi </t>
  </si>
  <si>
    <t xml:space="preserve">C.2.3.Pašvaldību speciālā budžeta  investīcijas </t>
  </si>
  <si>
    <t>C.3.Pašvaldību speciālā budžeta finansiālais deficīts (-), pārpalikums (+)</t>
  </si>
  <si>
    <t xml:space="preserve">C.4.Pašvaldību speciālā budžeta  tīrie aizdevumi </t>
  </si>
  <si>
    <t xml:space="preserve">     Pašvaldību speciālā budžeta aizdevumi </t>
  </si>
  <si>
    <t xml:space="preserve">     Pašvaldību speciālā budžeta aizdevumu atmaksas </t>
  </si>
  <si>
    <t>C.5.Pašvaldību speciālā budžeta fiskālais deficīts
(-), pārpalikums (+)</t>
  </si>
  <si>
    <t>14.tabula</t>
  </si>
  <si>
    <t xml:space="preserve">                                       Valsts kases oficiālais mēneša pārskats</t>
  </si>
  <si>
    <t>Pašvaldību pamatbudžeta ieņēmumi</t>
  </si>
  <si>
    <t>Marts</t>
  </si>
  <si>
    <t>Izpilde % pret gada plānu (3/2)</t>
  </si>
  <si>
    <t>1</t>
  </si>
  <si>
    <t>5</t>
  </si>
  <si>
    <t>1. Ieņēmumi  kopā (1.1. + 1.2.)</t>
  </si>
  <si>
    <t>1.1. Nodokļu un nenodokļu ieņēmumi (1.1.1.+1.1.2.+1.1.3.)</t>
  </si>
  <si>
    <t xml:space="preserve">1.1.1. Nodokļu ieņēmumi </t>
  </si>
  <si>
    <t xml:space="preserve">  Iedzīvotāju ienākuma nodoklis</t>
  </si>
  <si>
    <t xml:space="preserve">  Iedzīvotāju ienākuma nodoklis*</t>
  </si>
  <si>
    <t xml:space="preserve">   t.sk. atlikums uz gada sākumu </t>
  </si>
  <si>
    <t xml:space="preserve">  Nekustamā īpašuma nodoklis</t>
  </si>
  <si>
    <t xml:space="preserve">   t.sk. nekustamā īpašuma nodoklis par zemi</t>
  </si>
  <si>
    <t xml:space="preserve">          nekustamā īpašuma nodoklis par ēkām
          un būvēm</t>
  </si>
  <si>
    <t xml:space="preserve">  Īpašuma nodokļa maksājumi</t>
  </si>
  <si>
    <t xml:space="preserve">  Zemes nodokļa parādu maksājumi</t>
  </si>
  <si>
    <t xml:space="preserve">  Iekšējie nodokļi par pakalpojumiem un precēm</t>
  </si>
  <si>
    <t>1.1.2. Nenodokļu ieņēmumi</t>
  </si>
  <si>
    <t xml:space="preserve">  Ieņēmumi no uzņēmējdarbības un īpašuma</t>
  </si>
  <si>
    <t xml:space="preserve">  Valsts (pašvaldību) nodevas un maksājumi</t>
  </si>
  <si>
    <t xml:space="preserve">  Sodi un sankcijas</t>
  </si>
  <si>
    <t xml:space="preserve">  Pārējie nenodokļu ieņēmumi</t>
  </si>
  <si>
    <t xml:space="preserve">  Ieņēmumi no valsts (pašvaldības) nekustamā  īpašuma pārdošanas</t>
  </si>
  <si>
    <t xml:space="preserve">  Ieņēmumi no zemes īpašuma pārdošanas</t>
  </si>
  <si>
    <t>1.1.3. Maksājumi par budžeta iestāžu sniegtajiem maksas pakalpojumiem un citi pašu ieņēmumi</t>
  </si>
  <si>
    <t>1.2. Saņemtie maksājumi</t>
  </si>
  <si>
    <t>Norēķini ar pašvaldību budžetiem</t>
  </si>
  <si>
    <t>Norēķini ar citām  pašvaldībām  par izglītības iestāžu sniegtajiem pakalpojumiem</t>
  </si>
  <si>
    <t>Norēķini ar citām pašvaldībām par sociālās palīdzības iestāžu sniegtajiem pakalpojumiem</t>
  </si>
  <si>
    <t>Pārējie norēķini</t>
  </si>
  <si>
    <t>Maksājumi no valsts budžeta</t>
  </si>
  <si>
    <t>Dotācijas</t>
  </si>
  <si>
    <t>Mērķdotācijas</t>
  </si>
  <si>
    <t>Valsts budžeta dotācija iedzīvotāju ienākuma nodokļa ieņēmumu prognozes neizpildes kompensācijai</t>
  </si>
  <si>
    <t>Maksājumi no pašvaldību  finansu izlīdzināšanas fonda pašvaldību budžetiem</t>
  </si>
  <si>
    <t>Iepriekšējā gada nesaņemtā dotācija</t>
  </si>
  <si>
    <t>Pērējie maksājumi</t>
  </si>
  <si>
    <t>Pārējie maksājumi</t>
  </si>
  <si>
    <t>Maksājumi no citiem budžetiem</t>
  </si>
  <si>
    <t xml:space="preserve">* no valsts pamatbudžeta saņemtā dotācija PFIF </t>
  </si>
  <si>
    <t>tūkst. latu</t>
  </si>
  <si>
    <t>15.tabula</t>
  </si>
  <si>
    <t xml:space="preserve">                                           Valsts kases oficiālais mēneša pārskats</t>
  </si>
  <si>
    <t>Pašvaldību pamatbudžeta izdevumi un tīrie aizdevumi pēc valdības funkcijām</t>
  </si>
  <si>
    <t>(2001.gada janvāris - marts)</t>
  </si>
  <si>
    <t xml:space="preserve">                               (tūkst.latu)</t>
  </si>
  <si>
    <t>2</t>
  </si>
  <si>
    <t>3</t>
  </si>
  <si>
    <t>4</t>
  </si>
  <si>
    <t xml:space="preserve">1. Izdevumi kopā (1.1. + 1.2.) </t>
  </si>
  <si>
    <t>1.1. Izdevumi pēc valdības funkcijām</t>
  </si>
  <si>
    <t>Izpildvaras un likumdošanas varas institūcijas</t>
  </si>
  <si>
    <t>Transports,sakari</t>
  </si>
  <si>
    <t xml:space="preserve">Pašvaldību iekšējā parāda procentu nomaksa </t>
  </si>
  <si>
    <t xml:space="preserve">Pašvaldību ārējo parādu procentu nomaksa </t>
  </si>
  <si>
    <t>Izdevumi neparedzētiem  gadījumiem</t>
  </si>
  <si>
    <t>1.2. Norēķini</t>
  </si>
  <si>
    <t>Norēķini par citu pašvaldību izglītības iestāžu sniegtiem pakalpojumiem</t>
  </si>
  <si>
    <t>Norēķini par citu pašvaldību sociālās palīdzības iestāžu sniegtiem pakalpojumiem</t>
  </si>
  <si>
    <t>Maksājumi pašvaldību finansu izlīdzināšanas fondam</t>
  </si>
  <si>
    <t>Pašvaldību  pārskata gada maksājumi</t>
  </si>
  <si>
    <t>Pašvaldību iepriekšējā gada parādu maksājumi</t>
  </si>
  <si>
    <t>16.tabula</t>
  </si>
  <si>
    <t xml:space="preserve">                     Valsts kases oficiālais mēneša pārskats</t>
  </si>
  <si>
    <t>Pašvaldību pamatbudžeta izdevumi pēc ekonomiskās klasifikācijas</t>
  </si>
  <si>
    <t>(2001.gada  janvāris - februāris)</t>
  </si>
  <si>
    <t xml:space="preserve">                                                             (tūkst.latu)</t>
  </si>
  <si>
    <t xml:space="preserve">Februāra mēneša  izpilde </t>
  </si>
  <si>
    <t>2.Izdevumi  kopā (2.1. +2.2.)</t>
  </si>
  <si>
    <t xml:space="preserve">  atalgojumi </t>
  </si>
  <si>
    <t xml:space="preserve">  valsts sociālāis apdrošināšanas obligātās iemaksas </t>
  </si>
  <si>
    <t xml:space="preserve">  pārējie kārtējie izdevumi</t>
  </si>
  <si>
    <t xml:space="preserve">                    t.sk. preču un pakalpojumu izdevumi</t>
  </si>
  <si>
    <t xml:space="preserve">                                   pārējie izdevumi</t>
  </si>
  <si>
    <t xml:space="preserve">Maksājumi par aizņēmumiem un kredītiem </t>
  </si>
  <si>
    <t xml:space="preserve">  subsīdijas</t>
  </si>
  <si>
    <t xml:space="preserve">  mērķdotācijas pašvaldību budžetiem</t>
  </si>
  <si>
    <t xml:space="preserve">  dotācijas pašvaldību budžetiem</t>
  </si>
  <si>
    <t xml:space="preserve">  dotācijas iestādēm, organizācijām un uzņēmumiem</t>
  </si>
  <si>
    <t xml:space="preserve">  dotācijas iedzīvotājiem</t>
  </si>
  <si>
    <t xml:space="preserve">  transferti budžetu savstarpējiem maksājumiem</t>
  </si>
  <si>
    <t>Kapitālie izdevumi</t>
  </si>
  <si>
    <t xml:space="preserve">3. Pašvaldību budžeta tīrie aizdevumi </t>
  </si>
  <si>
    <t xml:space="preserve">3.1. Pašvaldību budžeta aizdevumi </t>
  </si>
  <si>
    <t xml:space="preserve">3.2. Pašvaldību budžeta aizdevumu atmaksas </t>
  </si>
  <si>
    <t>17. tabula</t>
  </si>
  <si>
    <t>Pašvaldību speciālā budžeta ieņēmumi un izdevumi (ieskaitot tīros aizdevumus)</t>
  </si>
  <si>
    <t>Ieņēmumi no īpašiem mērķiem iezīmētiem līdzekļu avotiem</t>
  </si>
  <si>
    <t>Privatizācijas fonda iemaksas</t>
  </si>
  <si>
    <t>Dabas resursu nodoklis</t>
  </si>
  <si>
    <t>Autoceļu (ielu) fonds (pārskatījumi no Valsts autoceļu fonda)</t>
  </si>
  <si>
    <t>Mērķdotācijas pasažieru regulārajiem pārvadājumiem ar autobusiem (pārskaitījumi no Valsts autoceļu fonda)</t>
  </si>
  <si>
    <t>Pārējie ieņēmumi</t>
  </si>
  <si>
    <t>Izdevumi pa speciālajiem budžetiem</t>
  </si>
  <si>
    <t>Privatizācijas fonds</t>
  </si>
  <si>
    <t>Autoceļu (ielu) fonds</t>
  </si>
  <si>
    <t>Pasažieru regulārajiem pārvadājumiem</t>
  </si>
  <si>
    <t>Pārējie speciālie budžeti</t>
  </si>
  <si>
    <t>18. tabula</t>
  </si>
  <si>
    <t xml:space="preserve">                            Valsts kases oficiālais mēneša pārskats </t>
  </si>
  <si>
    <t>Pašvaldību speciālā budžeta izdevumi pēc ekonomiskās klasifikācijas</t>
  </si>
  <si>
    <t>Izdevumi kopā:</t>
  </si>
  <si>
    <t xml:space="preserve">Ieņēmumi - kopā *  </t>
  </si>
  <si>
    <t>Vides aizsardzības un reģionālās attīstības ministrija *</t>
  </si>
  <si>
    <t>Ieņēmumi *</t>
  </si>
  <si>
    <t xml:space="preserve">   Ārvalstu finansu palīdzība *</t>
  </si>
  <si>
    <t>Izdevumi *</t>
  </si>
  <si>
    <t xml:space="preserve">        Uzturēšanas izdevumi *</t>
  </si>
  <si>
    <t>* - LR Finansu ministrijas 01.08.2001.g. rīkojums Nr.652.</t>
  </si>
  <si>
    <t>1.Ieņēmumi - kopā *</t>
  </si>
  <si>
    <t>Subsīdijas un dotācijas *</t>
  </si>
  <si>
    <t>Likumā apstiprinātais gada plāns *</t>
  </si>
  <si>
    <t xml:space="preserve">                                  pārējie izdevumi</t>
  </si>
  <si>
    <t xml:space="preserve">  pašvaldību budžetu transferti</t>
  </si>
  <si>
    <t>19. tabula</t>
  </si>
  <si>
    <t xml:space="preserve">      Valsts kases oficiālais mēneša pārskats</t>
  </si>
  <si>
    <t xml:space="preserve">Pašvaldību pamatbudžeta izpildes rādītāji </t>
  </si>
  <si>
    <t>Pilsētas, rajona nosaukums</t>
  </si>
  <si>
    <t>Izdevumi (ieskaitot tīros aizdevumus)</t>
  </si>
  <si>
    <t>Fiskālais deficīts (-), pārpalikums (+) (5-9)</t>
  </si>
  <si>
    <t xml:space="preserve">   Iekšējā finansēšana</t>
  </si>
  <si>
    <t>Ārējā  finansēšana</t>
  </si>
  <si>
    <t xml:space="preserve">Nodokļu un nenodokļu ieņēmumi * </t>
  </si>
  <si>
    <t>Saņemtie maksājumi</t>
  </si>
  <si>
    <t>t.sk. maksājumi no PFIFa</t>
  </si>
  <si>
    <t>Ieņēmumi kopā (2+3)</t>
  </si>
  <si>
    <t xml:space="preserve">Izdevumi </t>
  </si>
  <si>
    <t>Norēķini</t>
  </si>
  <si>
    <t>t.sk. norēķini ar  PFIFu</t>
  </si>
  <si>
    <t>Izdevumi kopā (6+7)</t>
  </si>
  <si>
    <t>tai skaitā</t>
  </si>
  <si>
    <t>Budžeta līdzekļu izmaiņas (14-15)</t>
  </si>
  <si>
    <t>Līdzekļu atlikums gada sākumā</t>
  </si>
  <si>
    <t>Līdzekļu atlikums perioda beigās</t>
  </si>
  <si>
    <t>No komerc-
bankām</t>
  </si>
  <si>
    <t>PILSĒTAS</t>
  </si>
  <si>
    <t>RĪGA</t>
  </si>
  <si>
    <t>DAUGAVPILS</t>
  </si>
  <si>
    <t>JELGAVA</t>
  </si>
  <si>
    <t>JŪRMALA</t>
  </si>
  <si>
    <t>LIEPĀJA</t>
  </si>
  <si>
    <t>RĒZEKNE</t>
  </si>
  <si>
    <t>VENTSPILS</t>
  </si>
  <si>
    <t>KOPĀ PILSĒTĀS</t>
  </si>
  <si>
    <t>RAJONI</t>
  </si>
  <si>
    <t>AIZKRAUKLES RAJONS</t>
  </si>
  <si>
    <t>ALŪKSNES RAJONS</t>
  </si>
  <si>
    <t>BALVU RAJONS</t>
  </si>
  <si>
    <t>BAUSKAS RAJONS</t>
  </si>
  <si>
    <t>CĒSU RAJONS</t>
  </si>
  <si>
    <t>DAUGAVPILS RAJONS</t>
  </si>
  <si>
    <t>DOBELES RAJONS</t>
  </si>
  <si>
    <t>GULBENES RAJONS</t>
  </si>
  <si>
    <t>JELGAVAS RAJONS</t>
  </si>
  <si>
    <t>JĒKABPILS RAJONS</t>
  </si>
  <si>
    <t>KRĀSLAVAS RAJONS</t>
  </si>
  <si>
    <t>KULDĪGAS RAJONS</t>
  </si>
  <si>
    <t>LIEPĀJAS RAJONS</t>
  </si>
  <si>
    <t>LIMBAŽU RAJONS</t>
  </si>
  <si>
    <t>LUDZAS RAJONS</t>
  </si>
  <si>
    <t>MADONAS RAJONS</t>
  </si>
  <si>
    <t>OGRES RAJONS</t>
  </si>
  <si>
    <t>PREIĻU RAJONS</t>
  </si>
  <si>
    <t>RĒZEKNES RAJONS</t>
  </si>
  <si>
    <t>RĪGAS RAJONS</t>
  </si>
  <si>
    <t>SALDUS RAJONS</t>
  </si>
  <si>
    <t>TALSU RAJONS</t>
  </si>
  <si>
    <t>TUKUMA RAJONS</t>
  </si>
  <si>
    <t>VALKAS RAJONS</t>
  </si>
  <si>
    <t>VALMIERAS RAJONS</t>
  </si>
  <si>
    <t>VENTSPILS RAJONS</t>
  </si>
  <si>
    <t>KOPĀ RAJONOS</t>
  </si>
  <si>
    <t>KOPĀ</t>
  </si>
  <si>
    <t>*  -  neieskaitot iedzīvotāju ienākuma nodokļa atlikumu sadales kontā</t>
  </si>
  <si>
    <t xml:space="preserve"> </t>
  </si>
  <si>
    <t>Valsts kase/ Pārksatu departaments</t>
  </si>
  <si>
    <t>20.tabula</t>
  </si>
  <si>
    <t>Valsts kases pārvaldnieks                                                                                                A. Veiss</t>
  </si>
  <si>
    <t xml:space="preserve">Valsts kases pārvaldnieks                                                                         </t>
  </si>
  <si>
    <t xml:space="preserve">Valsts kases pārvaldnieks                                                                 A.Veiss                                                </t>
  </si>
  <si>
    <t xml:space="preserve">    aizņēmumi </t>
  </si>
  <si>
    <t>Maksas pakalpojumu un citu pašu ieņēmumu  naudas līdzekļu atlikumu izmaiņas palielinājums (-) vai samazinājums (+)*</t>
  </si>
  <si>
    <t xml:space="preserve">   Ārvasltu finansu palīdzība</t>
  </si>
  <si>
    <t xml:space="preserve">Valsts kases pārvaldnieks                                                </t>
  </si>
  <si>
    <t xml:space="preserve">Valsts kases pārvaldnieks                                 </t>
  </si>
  <si>
    <t>y</t>
  </si>
  <si>
    <t xml:space="preserve">Valsts kases pārvaldnieks                               </t>
  </si>
  <si>
    <t xml:space="preserve">Valsts kases pārvaldnieks                                                             </t>
  </si>
  <si>
    <t>mēnesis</t>
  </si>
  <si>
    <t xml:space="preserve">Valsts kases pārvaldnieks                                                                </t>
  </si>
  <si>
    <t>Pārējie izdevumi, kas nav atspoguļoti pamatgrupās*</t>
  </si>
  <si>
    <t>* iekļauta Šveices valdības palīdzība 54 tūkst.latu</t>
  </si>
  <si>
    <t>Vides un reģionālās attīstības ministrija</t>
  </si>
  <si>
    <t>Valsts kases pārvaldnieks                                                                                               A. Veiss</t>
  </si>
  <si>
    <t xml:space="preserve">Valsts kases pārvaldnieks                          </t>
  </si>
  <si>
    <t xml:space="preserve">Valsts kases pārvaldnieks                                          </t>
  </si>
  <si>
    <t>Valsts kases pārvaldnieks                                                                                                    A. Veiss</t>
  </si>
  <si>
    <t xml:space="preserve">Valsts kases pārvaldnieks                                                                                                                                                        A. Veiss                               </t>
  </si>
  <si>
    <t>Valsts kases pārvaldnieks                                                                                                                                       A. Veiss</t>
  </si>
  <si>
    <t xml:space="preserve">Valsts kases pārvaldnieks                                                                     A. Veiss                                        </t>
  </si>
  <si>
    <t xml:space="preserve">Valsts kases pārvaldnieks                                                           </t>
  </si>
  <si>
    <t xml:space="preserve">                Valsts kases oficiālais pārskats</t>
  </si>
  <si>
    <t>Pašvaldību speciālā budžeta izpildes rādītāji (neieskaitot ziedojumus un dāvinājumus)</t>
  </si>
  <si>
    <t>Rajona, pilsētas nosaukums</t>
  </si>
  <si>
    <t>Fiskālais deficīts (-), pārpalikums (+) 
 (2-5)</t>
  </si>
  <si>
    <t>Aizdevumi (+) / atmaksas (-)</t>
  </si>
  <si>
    <t>Finansiālais deficīts (-), pārpalikums (+)       (6-7)</t>
  </si>
  <si>
    <t>Finansē-šana  
 -(6-7)</t>
  </si>
  <si>
    <t>Iekšējā finansēšana</t>
  </si>
  <si>
    <t>Ārējā finansēšana</t>
  </si>
  <si>
    <t>Uzturē-
šanas</t>
  </si>
  <si>
    <t>Kapitālie</t>
  </si>
  <si>
    <t>Tīrie
aizdevumi</t>
  </si>
  <si>
    <t>Kopā</t>
  </si>
  <si>
    <t>Budžeta līdzekļu izmaiņas         (12-13)</t>
  </si>
  <si>
    <t>No komercbankām</t>
  </si>
  <si>
    <t>21.tabula</t>
  </si>
  <si>
    <t>Pašvaldību  budžeta ziedojumu un dāvinājumu  izpildes rādītāji</t>
  </si>
  <si>
    <t>Aizdevumi/ atmaksas</t>
  </si>
  <si>
    <t>Finansiālais deficīts (-), pārpalikums (+)   
    (6-7)</t>
  </si>
  <si>
    <t>Finansē-šana        -(6-7)</t>
  </si>
  <si>
    <t>Uzturēšanas</t>
  </si>
  <si>
    <t>No komerc-bankām</t>
  </si>
  <si>
    <t>22.tabula</t>
  </si>
  <si>
    <t>Pašvaldību  budžeta ziedojumu un dāvinājumu ieņēmumi un izdevumi pēc ekonomiskās klasifikācijas</t>
  </si>
  <si>
    <t>Izpilde % pret gada plānu  (3/2)</t>
  </si>
  <si>
    <t>Fiskālā bilance (1.-2.-3)</t>
  </si>
  <si>
    <t>23.tabula</t>
  </si>
  <si>
    <t>Pašvaldību budžeta ziedojumu un dāvinājumu izdevumi pēc valdības funkcijām</t>
  </si>
  <si>
    <t xml:space="preserve">Izdevumi kopā </t>
  </si>
  <si>
    <t>Izdevumi pēc valdības funkcijām</t>
  </si>
  <si>
    <t>Pārējie izdevumi, kas nav klasificēti citās pamatfunkcijās</t>
  </si>
  <si>
    <t xml:space="preserve">                24. tabula</t>
  </si>
  <si>
    <t>Pašvaldību finansu izlīdzināšanas  fonda līdzekļi</t>
  </si>
  <si>
    <t>Izpilde</t>
  </si>
  <si>
    <t xml:space="preserve">1. Ieņēmumi - kopā   </t>
  </si>
  <si>
    <t>Ieņēmumu prognozes neizpildes kompensācija - aizdevums no valsts pamatbudžeta</t>
  </si>
  <si>
    <t>Ieskaitīts dotācija no valsts pamatbudžeta</t>
  </si>
  <si>
    <t>Ieskaitīts iedzīvotāju ienākuma nodoklis no pašvaldībām</t>
  </si>
  <si>
    <t>Ieņēmumi no nekustamā īpašuma nodokļa</t>
  </si>
  <si>
    <t>2. Izdevumi - kopā</t>
  </si>
  <si>
    <t>Dotācijas pašvaldību budžetiem</t>
  </si>
  <si>
    <t>3. Atlikums uz pārskata perioda beigām  (1.- 2.)</t>
  </si>
  <si>
    <t xml:space="preserve">Atlikums uz 2001.gada  1. janvāri </t>
  </si>
  <si>
    <t>25. tabula</t>
  </si>
  <si>
    <t>No valsts budžeta pārskaitītās mērķdotācijas pašvaldībām</t>
  </si>
  <si>
    <t xml:space="preserve">                (latos)</t>
  </si>
  <si>
    <t>Rajona vai pilsētas nosaukums</t>
  </si>
  <si>
    <t>Mērķdotācijas investīcijām   (13.pielikums)</t>
  </si>
  <si>
    <t xml:space="preserve">Mērķdotācijas specializētiem izglītības pasākumiem (11.pielikums) </t>
  </si>
  <si>
    <t xml:space="preserve">Mērķdotācijas pašvaldību pašdarbības kolektīviem (12.pielikums) </t>
  </si>
  <si>
    <t>Mērķdotācijas izglītības pasākumiem
(6.-10.pielikums)</t>
  </si>
  <si>
    <t xml:space="preserve">Pārējās
 mērķdotācijas </t>
  </si>
  <si>
    <t>Mērķdotācijas teritoriālplānošanai</t>
  </si>
  <si>
    <t>Mērķdotācijas
 kopā              (2+3+4+5+6+7+8)</t>
  </si>
  <si>
    <t>2000.g.</t>
  </si>
  <si>
    <t>2001.g.</t>
  </si>
  <si>
    <t>26.tabula</t>
  </si>
  <si>
    <t>Starptautiskā Valūtas Fonda izpildes kritēriji</t>
  </si>
  <si>
    <t>Mainīgie lielumi un periodi</t>
  </si>
  <si>
    <t>Mērķis</t>
  </si>
  <si>
    <t>Rezultāts</t>
  </si>
  <si>
    <t>I.</t>
  </si>
  <si>
    <t xml:space="preserve">Ierobežojumi kopbudžeta </t>
  </si>
  <si>
    <t>(milj. latu)</t>
  </si>
  <si>
    <t>1. janvāris - 31. marts, 2001 (indikatīvā robeža)</t>
  </si>
  <si>
    <t>1. janvāris - 30. septembris, 2001 : kontroles rādītājs</t>
  </si>
  <si>
    <t>1. janvāris - 31. decembris, 2001 : kontroles rādītājs</t>
  </si>
  <si>
    <t>II.</t>
  </si>
  <si>
    <t xml:space="preserve">Ierobežojumi ārējā parāda līgumiem un </t>
  </si>
  <si>
    <t>(milj. USD)</t>
  </si>
  <si>
    <t>galvojumiem uz neatvieglotiem nosacījumiem</t>
  </si>
  <si>
    <t xml:space="preserve">         Tai skaitā:  </t>
  </si>
  <si>
    <t xml:space="preserve">            Tai skaitā:  </t>
  </si>
  <si>
    <t>No 31. decembra, 2000 līdz:</t>
  </si>
  <si>
    <t xml:space="preserve"> Kopā       1-5 gadi</t>
  </si>
  <si>
    <t>31. martam, 2001 (indikatīvi)</t>
  </si>
  <si>
    <t xml:space="preserve">   52                52</t>
  </si>
  <si>
    <t xml:space="preserve">    0                 0</t>
  </si>
  <si>
    <t>30. jūnijam, 2001 : kontroles rādītājs</t>
  </si>
  <si>
    <t xml:space="preserve">  242               52</t>
  </si>
  <si>
    <t>30. septembrim, 2001 : kontroles rādītājs</t>
  </si>
  <si>
    <t xml:space="preserve">  300               52</t>
  </si>
  <si>
    <t>31. decembrim, 2001 : kontroles rādītājs</t>
  </si>
  <si>
    <t xml:space="preserve">  320               72</t>
  </si>
  <si>
    <t>III.</t>
  </si>
  <si>
    <t xml:space="preserve">  Ierobežojumi valdības ārējam parādam </t>
  </si>
  <si>
    <t xml:space="preserve">  ar termiņu līdz 1 gadam:</t>
  </si>
  <si>
    <t>IV.</t>
  </si>
  <si>
    <t>1. janvāris - 30. septembris, 2001 (indikatīvā robeža)</t>
  </si>
  <si>
    <t>1. janvāris - 31. decembris, 2001 (indikatīvā robeža)</t>
  </si>
  <si>
    <t>27.tabula</t>
  </si>
  <si>
    <t>Ministriju un centrālo valsts iestāžu ilgtermiņa valsts saistību limiti</t>
  </si>
  <si>
    <t>Ministriju un centrālo valsts iestāžu valsts ilgtermiņa saistību limiti</t>
  </si>
  <si>
    <t>2002., 2003. gadam un turpmākajiem gadiem valsts pamatbudžetā</t>
  </si>
  <si>
    <t>2002. gada pieprasījums</t>
  </si>
  <si>
    <t>2003. gada pieprasījums</t>
  </si>
  <si>
    <t>Tālākā laika posma līdz projekta
 īstenošanai pieprasījums</t>
  </si>
  <si>
    <t>Likumā apstiprinātais plāns</t>
  </si>
  <si>
    <t>Reģistrētās saistības</t>
  </si>
  <si>
    <t>Izpilde % pret gada plānu (6/5)</t>
  </si>
  <si>
    <t>Izpilde % pret gada plānu (9/8)</t>
  </si>
  <si>
    <t>Kārtējie izdevumi (aizņēmumu pamatsummu atmaksa)</t>
  </si>
  <si>
    <t>Maksājumi starptautiskajās organizācijās, programmās</t>
  </si>
  <si>
    <t>Līzings</t>
  </si>
  <si>
    <t>Pārējās ilgtermiņa saistības</t>
  </si>
  <si>
    <t xml:space="preserve">Kultūras ministrija </t>
  </si>
  <si>
    <t>Īpašu uzdevumu ministra valsts
reformu lietās sekretariāts</t>
  </si>
  <si>
    <t>28.tabula</t>
  </si>
  <si>
    <t>2002., 2003. gadam un turpmākajiem gadiem valsts speciālajā budžetā</t>
  </si>
  <si>
    <t>Valsts kases pārvaldnieks ________________________________________ (A.Veiss)</t>
  </si>
  <si>
    <t>29.tabula</t>
  </si>
  <si>
    <t>Programmas "Valsts aizsardzība, drošība un integrācija NATO" izpilde 
(saimnieciskais gads, pārskata periods)</t>
  </si>
  <si>
    <t>Izpilde  % pret gada plānu         (4/2)</t>
  </si>
  <si>
    <t>Kopā:</t>
  </si>
  <si>
    <t>Ministru kabinets</t>
  </si>
  <si>
    <t xml:space="preserve">     Krīzes kontroles centrs</t>
  </si>
  <si>
    <t xml:space="preserve">     Tulkošanas un terminoloģijas centrs</t>
  </si>
  <si>
    <t xml:space="preserve">     Rīcības plāna dalībai NATO izpilde 
     (MK sēdes protokols)</t>
  </si>
  <si>
    <t xml:space="preserve">     Ministrijas centrālā aparāta 
     informācijas sistēma</t>
  </si>
  <si>
    <t xml:space="preserve">     Iemaksas ANO Miera spēku uzturēšanai</t>
  </si>
  <si>
    <t xml:space="preserve">     NATO pārstāvniecības 
     uzturēšanas izdevumi</t>
  </si>
  <si>
    <t xml:space="preserve">     Kartogrāfija</t>
  </si>
  <si>
    <t xml:space="preserve">     Jūras administrācijas meklēšanas un glābšanas dienesta sakaru sistēmas izveidošana</t>
  </si>
  <si>
    <t xml:space="preserve">     Jūras administrācijas meklēšanas un 
     glābšanas dienesta sakaru sistēmas 
     izveidošana</t>
  </si>
  <si>
    <t xml:space="preserve">     Sardzes pulks</t>
  </si>
  <si>
    <t xml:space="preserve">     Valsts ugunsdzēsības un glābšanas 
     dienesta ārkārtējo situāciju gatavības 
     plānošanas un valsts materiālo
     rezervju sistēmas darbības 
     nodrošinājums</t>
  </si>
  <si>
    <t xml:space="preserve">     Policijas akadēmijas izdevumi, kas 
     attiecas uz militārās
     apmācības programmas realizāciju</t>
  </si>
  <si>
    <t xml:space="preserve">     Valsts robežsardzes 
     Rēzeknes skolas izdevumi</t>
  </si>
  <si>
    <r>
      <t xml:space="preserve">     Motorollas </t>
    </r>
    <r>
      <rPr>
        <i/>
        <sz val="9"/>
        <rFont val="Arial"/>
        <family val="2"/>
      </rPr>
      <t>SmartZone</t>
    </r>
    <r>
      <rPr>
        <sz val="9"/>
        <rFont val="Arial"/>
        <family val="2"/>
      </rPr>
      <t xml:space="preserve"> "Astro" izveides 
     un uzturēšanas izdevumi</t>
    </r>
  </si>
  <si>
    <t>32.tabula</t>
  </si>
  <si>
    <t xml:space="preserve">Valsts kases kontu atlikumi kredītiestādēs </t>
  </si>
  <si>
    <t>Iepriekšējā gada beigās</t>
  </si>
  <si>
    <t>Aizņēmums no pamatbudžeta *</t>
  </si>
  <si>
    <t>Izdevumi**</t>
  </si>
  <si>
    <t>]</t>
  </si>
  <si>
    <t xml:space="preserve">Ieņēmumi </t>
  </si>
  <si>
    <t xml:space="preserve">Uzturēšanas izdevumi </t>
  </si>
  <si>
    <t>Pārbaude</t>
  </si>
  <si>
    <t>Saimnieciskā gada pārskata mēneša beigas</t>
  </si>
  <si>
    <t>Izmaiņas</t>
  </si>
  <si>
    <t>3-2</t>
  </si>
  <si>
    <t>Finansu resursi kopā (1.+2.)</t>
  </si>
  <si>
    <t>1. Latvijā (1.1.+1.2.)</t>
  </si>
  <si>
    <t>1.1. Norēķinu konti</t>
  </si>
  <si>
    <t>A/s ''Latvijas Unibanka''</t>
  </si>
  <si>
    <t>A/s ''Parekss Banka''</t>
  </si>
  <si>
    <t>A/s ''Baltijas Tranzītu Banka''</t>
  </si>
  <si>
    <t>VA/s "Latvijas hipotēku un zemes banka"</t>
  </si>
  <si>
    <t>VA/s "Latvijas hipotēku banka"</t>
  </si>
  <si>
    <t>A/s ''Pirmā Latvijas Komercbanka''</t>
  </si>
  <si>
    <t>Hansabank-Latvija</t>
  </si>
  <si>
    <t>Nauda ceļā</t>
  </si>
  <si>
    <t>1.2. Depozītu konti</t>
  </si>
  <si>
    <t>A/s ''Ogres komercbanka''</t>
  </si>
  <si>
    <t>Merita Bank Plc</t>
  </si>
  <si>
    <t>A/s ''Aizkraukles banka''</t>
  </si>
  <si>
    <t>A/s"Vereinsbank Rīga"</t>
  </si>
  <si>
    <t>2. Ārvalstīs (2.1.)</t>
  </si>
  <si>
    <t>2.1. Norēķinu konti</t>
  </si>
  <si>
    <t>Svenska Handelsbank</t>
  </si>
  <si>
    <t>Bank of America</t>
  </si>
  <si>
    <t>Deutche Bank AG</t>
  </si>
  <si>
    <t>Bankers Trust Co</t>
  </si>
  <si>
    <t>HSBC Bank USA</t>
  </si>
  <si>
    <t>Valsts kases pārvaldnieks</t>
  </si>
  <si>
    <t xml:space="preserve">** konsolidēts par sociālās apdrošināšanas iekšējiem maksājumiem </t>
  </si>
  <si>
    <t xml:space="preserve">                                                                     Valsts kases oficiālais mēneša pārskats</t>
  </si>
  <si>
    <t xml:space="preserve">Valsts konsolidētā kopbudžeta izpilde (ieskaitot ziedojumus un dāvinājumus) 
</t>
  </si>
  <si>
    <t xml:space="preserve">                (tūkst.latu)</t>
  </si>
  <si>
    <t>Rādītāji</t>
  </si>
  <si>
    <t>Konsolidētais
valsts budžets</t>
  </si>
  <si>
    <t>Konsolidētais
pašvaldību budžets</t>
  </si>
  <si>
    <t>Konsolidētais kopbudžets</t>
  </si>
  <si>
    <t>1. Ieņēmumi (bruto)</t>
  </si>
  <si>
    <t>mīnus transferts no valsts pamatbudžeta pašvaldību budžetos</t>
  </si>
  <si>
    <t>x</t>
  </si>
  <si>
    <t xml:space="preserve">mīnus transferts no valsts speciālā budžeta pašvaldību budžetos </t>
  </si>
  <si>
    <t>1.1. Kopbudžeta ieņēmumi (neto)</t>
  </si>
  <si>
    <t>2. Izdevumi (bruto)</t>
  </si>
  <si>
    <t>mīnus valsts pamatbudžeta dotācijas, mērķdotācijas pašvaldību budžetiem</t>
  </si>
  <si>
    <t>mīnus valsts speciālā budžeta dotācijas, mērķdotācijas pašvaldību budžetiem</t>
  </si>
  <si>
    <t>2.1.Kopbudžeta izdevumi (neto)</t>
  </si>
  <si>
    <t>3.  Finansiālais deficīts(-) vai pārpalikums(+)</t>
  </si>
  <si>
    <t>4. Budžeta aizdevumi un atmaksas</t>
  </si>
  <si>
    <t>Budžeta aizdevumi (bruto)</t>
  </si>
  <si>
    <t>mīnus valsts pamatbudžeta aizdevumi pašvaldību budžetiem</t>
  </si>
  <si>
    <t>Budžeta aizdevumi (neto)</t>
  </si>
  <si>
    <t>Budžeta aizdevumu atmaksa (bruto)</t>
  </si>
  <si>
    <t xml:space="preserve">mīnus pašvaldību aizdevumu atmaksas valsts pamatbudžetam </t>
  </si>
  <si>
    <t>Budžeta aizdevumu atmaksas (neto)</t>
  </si>
  <si>
    <t>5. Fiskālais deficīts(-) vai pārpalikums(+)</t>
  </si>
  <si>
    <t>6. Finansēšana</t>
  </si>
  <si>
    <t>6.1.Iekšējā finansēšana</t>
  </si>
  <si>
    <t>No citām valsts pārvaldes struktūrām</t>
  </si>
  <si>
    <t xml:space="preserve">     no citām tā paša līmeņa valsts pārvaldes  struktūrām</t>
  </si>
  <si>
    <t xml:space="preserve">           no citiem valsts pārvaldes līmeņiem (bruto)</t>
  </si>
  <si>
    <t xml:space="preserve">   mīnus pašvaldību finansēšana no valsts pamatbudžeta</t>
  </si>
  <si>
    <t xml:space="preserve">       no citiem valsts pārvaldes līmeņiem (neto)</t>
  </si>
  <si>
    <t>Latvijas Banka</t>
  </si>
  <si>
    <t xml:space="preserve">     Depozītu apjoma izmaiņas</t>
  </si>
  <si>
    <t xml:space="preserve">     Norēķinu kontu atlikumu izmaiņas</t>
  </si>
  <si>
    <t xml:space="preserve">      Ārvalstu finansu palīdzības
      kontu atlikumu izmaiņas</t>
  </si>
  <si>
    <t xml:space="preserve">      Valsts iekšējā aizņēmuma vērtspapīri</t>
  </si>
  <si>
    <t>Komercbankas</t>
  </si>
  <si>
    <t xml:space="preserve">      Tīrais aizņēmumu apjoms</t>
  </si>
  <si>
    <t>Pārējā iekšējā finansēšana</t>
  </si>
  <si>
    <t xml:space="preserve">         ieņēmumi no valsts un pašvaldību 
          īpašuma privatizācijas</t>
  </si>
  <si>
    <t xml:space="preserve">         pārējie īpašumā esošie Valsts 
         iekšējā aizņēmuma vērtspapīri</t>
  </si>
  <si>
    <t xml:space="preserve">         pārējie līdzekļi</t>
  </si>
  <si>
    <t>6.2. Ārējā finansēšana</t>
  </si>
  <si>
    <t>Ārvalstu aizņēmumi</t>
  </si>
  <si>
    <t xml:space="preserve">               - Pārējie nodokļi</t>
  </si>
  <si>
    <t xml:space="preserve">               Azartspēļu un izložu nodoklis</t>
  </si>
  <si>
    <t xml:space="preserve">             Dabas resursu nodoklis</t>
  </si>
  <si>
    <t xml:space="preserve">       Nenodokļu ieņēmumi</t>
  </si>
  <si>
    <t xml:space="preserve">       Maksas pakalpojumi un citi pašu ieņēmumi</t>
  </si>
  <si>
    <t xml:space="preserve">       Ārvalstu finansu palīdzība</t>
  </si>
  <si>
    <t xml:space="preserve">          naudas līdzekļu atlikumu izmaiņas</t>
  </si>
  <si>
    <t xml:space="preserve">          aizņēmumi no valsts pamatbudžeta</t>
  </si>
  <si>
    <t>Pārējie nodokļi</t>
  </si>
  <si>
    <t xml:space="preserve">    Azartspēļu un izložu nodoklis</t>
  </si>
  <si>
    <t xml:space="preserve">     Izložu un azartspēļu valsts nodeva</t>
  </si>
  <si>
    <t xml:space="preserve">           Izložu un azartspēļu valsts nodeva </t>
  </si>
  <si>
    <t xml:space="preserve">     Valsts nodeva par azartspēļu iekārtu marķēšanu</t>
  </si>
  <si>
    <t xml:space="preserve">     Pārskaitījums valsts pamatbudžetā sociālās
     apdrošināšanas iemaksu administrēšanai                         </t>
  </si>
  <si>
    <t xml:space="preserve">     VAS "Latvijas meži" fiksētais maksājums</t>
  </si>
  <si>
    <t xml:space="preserve">      Iemaksas no Dzelzceļa infrastruktūras fonda</t>
  </si>
  <si>
    <t xml:space="preserve">      Apdrošināšanas uzraudzības inspekcijas vienreizējā  iemaksa Finansu un kapitāla tirgus komisijas izveidei</t>
  </si>
  <si>
    <t xml:space="preserve">      Ieņēmumi no  valsts rezervēs esošo materiālo vērtību realizācijas</t>
  </si>
  <si>
    <t xml:space="preserve">Valsts kases pārvaldnieka v.i.                                                             </t>
  </si>
  <si>
    <t>V.Lindemanis</t>
  </si>
  <si>
    <t>47 Nacionālā radio un televīzijas padome</t>
  </si>
  <si>
    <t>naudas līdzekļu atlikumu izmaiņas palielinājums (-) vai samazinājums (+)</t>
  </si>
  <si>
    <t xml:space="preserve">    Atskaitījumi no ostas maksām</t>
  </si>
  <si>
    <t xml:space="preserve">Valsts kases pārvaldnieks                                                                           </t>
  </si>
  <si>
    <t>1. janvāris - 30. jūnijs, 2001 : kontroles rādītājs</t>
  </si>
  <si>
    <t xml:space="preserve">  nodokļu ieņēmumiem: </t>
  </si>
  <si>
    <t xml:space="preserve">1. janvāris - 30. jūnijs, 2001 (indikatīvā robeža) </t>
  </si>
  <si>
    <t>31.tabula</t>
  </si>
  <si>
    <t>Projekta kods</t>
  </si>
  <si>
    <t xml:space="preserve">Projekts                                                                   Râdîtâji </t>
  </si>
  <si>
    <t>Finansēšanas plâns pârskata periodam</t>
  </si>
  <si>
    <t>Izpilde % pret gada plānu (5/3)</t>
  </si>
  <si>
    <t>Izdevumi - pavisam</t>
  </si>
  <si>
    <t xml:space="preserve"> Ārvalstu finansu palīdzība </t>
  </si>
  <si>
    <t>2000/LV/16/P/PT/004</t>
  </si>
  <si>
    <t>TRr04 Austrumu - Rietumu dzelzceļa koridora rekonstrukcija: Rēzeknes II pieņemšanas parka būvniecība</t>
  </si>
  <si>
    <t xml:space="preserve">Ārvalstu finansu palīdzība </t>
  </si>
  <si>
    <t>2000/LV/P/PT/003</t>
  </si>
  <si>
    <t>TRr12-01 Austrumu - Rietumu dzelzceļa koridora rekonstrukcija: pārmiju pārvadu nomaiņa</t>
  </si>
  <si>
    <t>2000/LV/16/P/PA/005</t>
  </si>
  <si>
    <t>Austrumu - Rietumu dzelzceļa koridora modernizācija: vilcienu kustības vadības sistēmas modernizācija (tehniskā palīdzība) un Austrumu - Rietumu dzelzceļa koridora modernizācija: sakarsušo bukšu atklāšanas sistēmas modernizācija (tehniskā palīdzība)</t>
  </si>
  <si>
    <t xml:space="preserve">TRm04 Uzlabojumi Via Baltica maršrutā un Rietumu - Austrumu koridorā </t>
  </si>
  <si>
    <t>2000/LV/16/P/PA/003</t>
  </si>
  <si>
    <t>Bīstamo atkritumu apsaimniekošanas sistēma - atkritumu apglabāšanas poligona izveide</t>
  </si>
  <si>
    <t>Eiropas Savienības finansētie pašvaldību projekti</t>
  </si>
  <si>
    <t>2000/LV/16/P/PE/003</t>
  </si>
  <si>
    <t>Ventspils ūdensaimniecības projekts</t>
  </si>
  <si>
    <t>2000/LV/16/P/PE/002</t>
  </si>
  <si>
    <t>Jelgavas ūdensaimniecības attīstības projekts</t>
  </si>
  <si>
    <t>2000/LV/16/P/PE/001</t>
  </si>
  <si>
    <t xml:space="preserve">Rīgas ūdens un apkārtējās vides projekta II fāze </t>
  </si>
  <si>
    <t>ISPA</t>
  </si>
  <si>
    <t>Malienas reģionālais sadzīves atkritumu apsaimniekošanas projekts</t>
  </si>
  <si>
    <t xml:space="preserve">Liepājas reģiona sadzīves atkritumu  apsaimniekošanas projekts </t>
  </si>
  <si>
    <t>200/LV/16/P/PE/004</t>
  </si>
  <si>
    <t>Cieto sadzīves atkritumu apsaimniekošanas sistēmas izveidošana Ventspils reģionā</t>
  </si>
  <si>
    <t>Sadzīves atkritumu apsaimniekošanas sistēmas izveide Ziemeļvidzemes reģionā</t>
  </si>
  <si>
    <t>Norēķinu kontu atlikumu izmaiņas</t>
  </si>
  <si>
    <t>Valsts kase/Pārskatu departaments</t>
  </si>
  <si>
    <t>1.tabula</t>
  </si>
  <si>
    <t xml:space="preserve"> Valsts kases oficiālais mēneša pārskats</t>
  </si>
  <si>
    <t xml:space="preserve">Valsts konsolidētā budžeta izpilde  (neieskaitot ziedojumus un dāvinājumus) </t>
  </si>
  <si>
    <t>(tūkst.latu)</t>
  </si>
  <si>
    <t>Likumā apstiprinātais gada plāns</t>
  </si>
  <si>
    <t>Izpilde no gada sākuma</t>
  </si>
  <si>
    <t>Izpilde  % pret gada plānu         (3/2)</t>
  </si>
  <si>
    <t xml:space="preserve">Janvāra  izpilde </t>
  </si>
  <si>
    <t>A.1. Kopējie ieņēmumi (B.1.+C.1.)</t>
  </si>
  <si>
    <t xml:space="preserve">  Valsts pamatbudžeta ieņēmumi (bruto)</t>
  </si>
  <si>
    <t xml:space="preserve">     Nodokļu ieņēmumi</t>
  </si>
  <si>
    <t xml:space="preserve">               - Tiešie nodokļi</t>
  </si>
  <si>
    <t xml:space="preserve">                Uzņēmumu ienākuma nodoklis</t>
  </si>
  <si>
    <t xml:space="preserve">               -  Netiešie nodokļi</t>
  </si>
  <si>
    <t xml:space="preserve">               Pievienotās vērtības nodoklis</t>
  </si>
  <si>
    <t xml:space="preserve">               Akcīzes nodoklis</t>
  </si>
  <si>
    <t xml:space="preserve">               Muitas nodoklis</t>
  </si>
  <si>
    <t xml:space="preserve">              - Citiem budžetiem sadalāmie nodokļi</t>
  </si>
  <si>
    <t xml:space="preserve">     Nenodokļu ieņēmumi</t>
  </si>
  <si>
    <t xml:space="preserve">     Maksas pakalpojumi un citi pašu ieņēmumi</t>
  </si>
  <si>
    <t xml:space="preserve">     Ārvalstu finansu palīdzība</t>
  </si>
  <si>
    <t xml:space="preserve">     Ārvalstu finansu palīdzība </t>
  </si>
  <si>
    <t xml:space="preserve">                                        mīnus transferts no valsts speciālā budžeta</t>
  </si>
  <si>
    <t xml:space="preserve">  B.1. Valsts pamatbudžeta ieņēmumi (neto)</t>
  </si>
  <si>
    <t xml:space="preserve">   Valsts speciālā budžeta ieņēmumi (bruto)</t>
  </si>
  <si>
    <t xml:space="preserve">             Sociālās apdrošināšanas iemaksas</t>
  </si>
  <si>
    <t xml:space="preserve">             Akcīzes nodoklis</t>
  </si>
  <si>
    <t xml:space="preserve">             Iedzīvotāju ienākuma nodoklis</t>
  </si>
  <si>
    <t xml:space="preserve">                                         mīnus transferts no valsts pamatbudžeta</t>
  </si>
  <si>
    <t xml:space="preserve"> C.1. Valsts speciālā budžeta ieņēmumi (neto)</t>
  </si>
  <si>
    <t>A.2. Kopējie valsts budžeta izdevumi  (A.2.1.+A.2.2.+A.2.3.)</t>
  </si>
  <si>
    <t>A.2.1. Kopējie valsts budžeta uzturēšanas izdevumi (B.2.1.+C.2.1.)</t>
  </si>
  <si>
    <t>A.2.2. Kopējie valsts budžeta kapitālie izdevumi (B.2.2.+C.2.2.)</t>
  </si>
  <si>
    <t>A.2.3. Kopējie valsts budžeta izdevumi investīcijām (B.2.3.+C.2.3.)</t>
  </si>
  <si>
    <t>A.3. Valsts budžeta finansiālais deficīts (-), pārpalikums (+), (A.1.-A.2.)</t>
  </si>
  <si>
    <t>A.4. Kopējie valsts budžeta tīrie aizdevumi (B.4.+C.4.)</t>
  </si>
  <si>
    <t>Kopējie valsts budžeta izdevumi, ieskaitot tīros aizdevumus (A.2.+A.4.)</t>
  </si>
  <si>
    <t>A.5. Valsts budžeta fiskālais deficīts (-), pārpalikums (+), (A.3.-A.4.)</t>
  </si>
  <si>
    <t xml:space="preserve">       Finansēšana:</t>
  </si>
  <si>
    <t xml:space="preserve">          ieņēmumi no valsts un pašvaldību īpašuma privatizācijas </t>
  </si>
  <si>
    <t xml:space="preserve">          ieņēmumi no valsts nekustāmā īpašuma pārdošanas</t>
  </si>
  <si>
    <t xml:space="preserve">          aizņēmumi</t>
  </si>
  <si>
    <t xml:space="preserve">  Valsts pamatbudžeta izdevumi (bruto)</t>
  </si>
  <si>
    <t xml:space="preserve">                             mīnus transferts valsts speciālajam  budžetam</t>
  </si>
  <si>
    <t xml:space="preserve">  B.2. Valsts pamatbudžeta izdevumi (neto)</t>
  </si>
  <si>
    <t xml:space="preserve">     Valsts pamatbudžeta uzturēšanas izdevumi (bruto)</t>
  </si>
  <si>
    <t xml:space="preserve">                            mīnus transferts valsts speciālajam  budžetam</t>
  </si>
  <si>
    <t xml:space="preserve">  B.2.1. Valsts pamatbudžeta uzturēšanas izdevumi (neto)</t>
  </si>
  <si>
    <t xml:space="preserve">     Valsts pamatbudžeta kapitālie  izdevumi (bruto)</t>
  </si>
  <si>
    <t xml:space="preserve">  B.2.2. Valsts pamatbudžeta kapitālie izdevumi (neto)</t>
  </si>
  <si>
    <t xml:space="preserve">     Valsts pamatbudžeta investīcijas (bruto)</t>
  </si>
  <si>
    <t xml:space="preserve">                           mīnus transferts valsts speciālajam  budžetam</t>
  </si>
  <si>
    <t xml:space="preserve">  B.2.3. Valsts pamatbudžeta investīcijas (neto)</t>
  </si>
  <si>
    <t>B.3. Valsts pamatbudžeta finansiālais deficīts (-), pārpalikums (+)</t>
  </si>
  <si>
    <t xml:space="preserve">  B.4. Valsts pamatbudžeta tīrie aizdevumi </t>
  </si>
  <si>
    <t>Valsts pamatbudžeta tīrie aizdevumi (bruto)</t>
  </si>
  <si>
    <t>B.4.1. Valsts pamatbudžeta tīrie aizdevumi (bruto)</t>
  </si>
  <si>
    <t xml:space="preserve">     Valsts pamatbudžeta tīrie aizdevumi (neto)</t>
  </si>
  <si>
    <t>B.5. Valsts pamatbudžeta fiskālais deficīts (-), pārpalikums (+), (B.3.- B.4.)</t>
  </si>
  <si>
    <t>B.5. Valsts pamatbudžeta fiskālais deficīts (-), pārpalikums (+), (B.3.- B.4.1)</t>
  </si>
  <si>
    <t xml:space="preserve">  Valsts speciālā budžeta izdevumi (bruto)</t>
  </si>
  <si>
    <t xml:space="preserve">                           mīnus transferts valsts pamatbudžetam</t>
  </si>
  <si>
    <t xml:space="preserve">  C.2. Valsts speciālā budžeta izdevumi (neto)</t>
  </si>
  <si>
    <t xml:space="preserve">     Valsts speciālā budžeta uzturēšanas izdevumi (bruto)</t>
  </si>
  <si>
    <t xml:space="preserve">                          mīnus transferts valsts pamatbudžetam</t>
  </si>
  <si>
    <t xml:space="preserve">  C.2.1. Valsts speciālā budžeta uzturēšanas izdevumi (neto)</t>
  </si>
  <si>
    <t xml:space="preserve">     Valsts speciālā budžeta kapitālie izdevumi (bruto)</t>
  </si>
  <si>
    <t xml:space="preserve">  C.2.2. Valsts speciālā budžeta kapitālie izdevumi (neto)</t>
  </si>
  <si>
    <t xml:space="preserve">     Valsts speciālā budžeta investīcijas (bruto)</t>
  </si>
  <si>
    <t xml:space="preserve">  C.2.3. Valsts speciālā budžeta investīcijas (neto)</t>
  </si>
  <si>
    <t>C.3. Valsts speciālā budžeta finansiālais deficīts (-), pārpalikums (+)</t>
  </si>
  <si>
    <t xml:space="preserve">  C.4. Valsts speciālā budžeta tīrie aizdevumi </t>
  </si>
  <si>
    <t xml:space="preserve">     Valsts speciālā budžeta aizdevumi (bruto)</t>
  </si>
  <si>
    <t xml:space="preserve">     Valsts speciālā budžeta aizdevumi (neto)</t>
  </si>
  <si>
    <t xml:space="preserve">Oktobra mēneša  izpilde </t>
  </si>
  <si>
    <t>2001.gada 15.novembris</t>
  </si>
  <si>
    <t>(2001.gada janvāris - oktobris)</t>
  </si>
  <si>
    <t xml:space="preserve">                t.sk.      pensijas </t>
  </si>
  <si>
    <t xml:space="preserve">                             pabalsti</t>
  </si>
  <si>
    <t>stipendijas</t>
  </si>
  <si>
    <t>pārējie</t>
  </si>
  <si>
    <t>oktobris</t>
  </si>
  <si>
    <t>Ārvalstu finansu palīdzības (ISPA) un valsts budžeta līdzdalības maksājumi</t>
  </si>
  <si>
    <t>C.5. Valsts speciālā budžeta fiskālais deficīts (-), pārpalikums (+), (C.3.- C.4.)</t>
  </si>
  <si>
    <t>Valsts kase / Pārskatu departaments</t>
  </si>
  <si>
    <t>1999.gada 15.oktobris</t>
  </si>
  <si>
    <t>2.tabula</t>
  </si>
  <si>
    <t>Valsts kases oficiālais mēneša pārskats</t>
  </si>
  <si>
    <t xml:space="preserve">Valsts pamatbudžeta ieņēmumi </t>
  </si>
  <si>
    <t xml:space="preserve">Rādītāji </t>
  </si>
  <si>
    <t>Gada sagaidāmā izpilde %</t>
  </si>
  <si>
    <t>Izpilde % pret gada plānu            (4/2)</t>
  </si>
  <si>
    <t>1.Ieņēmumi - kopā  (1.1.+1.2.+1.3.+1.4)</t>
  </si>
  <si>
    <t>1.1. Nodokļu ieņēmumi</t>
  </si>
  <si>
    <t>Tiešie nodokļi</t>
  </si>
  <si>
    <t xml:space="preserve">   Uzņēmumu ienākuma nodoklis</t>
  </si>
  <si>
    <t>Netiešie nodokļi</t>
  </si>
  <si>
    <t xml:space="preserve">   Pievienotās vērtības nodoklis</t>
  </si>
  <si>
    <t xml:space="preserve">   Akcīzes nodoklis</t>
  </si>
  <si>
    <t xml:space="preserve">   Muitas nodoklis</t>
  </si>
  <si>
    <t xml:space="preserve">Citiem budžetiem sadalāmie nodokļi </t>
  </si>
  <si>
    <t xml:space="preserve">   t.sk. nodokļi no īpašuma</t>
  </si>
  <si>
    <t>1.2. Nenodokļu ieņēmumi</t>
  </si>
  <si>
    <t xml:space="preserve">   Maksājumi par valsts kapitāla izmantošanu</t>
  </si>
  <si>
    <t xml:space="preserve">   Procentu maksājumi par kredītiem </t>
  </si>
  <si>
    <t xml:space="preserve">   Valsts nodevas par juridiskajiem un citiem pakalpojumiem</t>
  </si>
  <si>
    <t xml:space="preserve">   Valsts nodeva par licenču izsniegšanu atsevišķu uzņēmējdarbības veidu veikšanai</t>
  </si>
  <si>
    <t xml:space="preserve">   Ienākumi no valsts īpašuma iznomāšanas</t>
  </si>
  <si>
    <t xml:space="preserve">   Pārējās valsts nodevas</t>
  </si>
  <si>
    <t xml:space="preserve">     Valsts nodeva par jūras navigācijas pakalpojumiem (bāku nodeva)</t>
  </si>
  <si>
    <t xml:space="preserve">           Valsts nodeva par azartspēļu iekārtu marķēšanu</t>
  </si>
  <si>
    <t xml:space="preserve">   Sodi un sankcijas</t>
  </si>
  <si>
    <t xml:space="preserve">   Pārējie nenodokļu ieņēmumi</t>
  </si>
  <si>
    <t xml:space="preserve">           Pārskaitījums valsts pamatbudžetā sociālās
           apdrošināšanas iemaksu administrēšanai                         </t>
  </si>
  <si>
    <t xml:space="preserve">        VAS "Latvijas meži" fiksētais maksājums</t>
  </si>
  <si>
    <t xml:space="preserve">        Iemaksas no Dzelzceļa infrastruktūras fonda</t>
  </si>
  <si>
    <t xml:space="preserve">          Apdrošināšanas uzraudzības inspekcijas vienreizējā  iemaksa Finansu un kapitāla tirgus komisijas izveidei</t>
  </si>
  <si>
    <t>1.3. Pašu ieņēmumi</t>
  </si>
  <si>
    <t xml:space="preserve">   Budžeta iestāžu ieņēmumi no maksas pakalpojumiem           un citi pašu ieņēmumi</t>
  </si>
  <si>
    <t>1.4. Ārvalstu finansu palīdzība</t>
  </si>
  <si>
    <t>A.Veiss</t>
  </si>
  <si>
    <t>Valsts kase /Pārskatu departaments</t>
  </si>
  <si>
    <t>3.tabula</t>
  </si>
  <si>
    <t xml:space="preserve">Valsts kases oficiālais mēneša pārskats </t>
  </si>
  <si>
    <t xml:space="preserve">     Valsts pamatbudżeta ieņēmumi un  izdevumi pa ministrijām un citām centrālām valsts iestādēm </t>
  </si>
  <si>
    <t>kopā ar ārvalstu  finansu palīdzību</t>
  </si>
  <si>
    <t xml:space="preserve">Finansēšanas plāns pārskata periodam </t>
  </si>
  <si>
    <t>Izpilde % pret gada plānu (4/2)</t>
  </si>
  <si>
    <t>Izpilde % pret finansēšanas plānu pārskata periodam 
  (4/3)</t>
  </si>
  <si>
    <t>Ieņēmumi kopā</t>
  </si>
  <si>
    <t>Resursi izdevumu segšanai</t>
  </si>
  <si>
    <t>Dotācijas no vispārējiem ieņēmumiem</t>
  </si>
  <si>
    <t>Dotācijas īpašiem mērķiem</t>
  </si>
  <si>
    <t>Maksas pakalpojumi un citi pašu ieņēmumi</t>
  </si>
  <si>
    <t>Ārvalstu finansu palīdzība</t>
  </si>
  <si>
    <t xml:space="preserve">   Izdevumi - kopā </t>
  </si>
  <si>
    <t>Uzturēšanas izdevumi</t>
  </si>
  <si>
    <t>Izdevumi kapitālieguldījumiem</t>
  </si>
  <si>
    <t>Tīrie aizdevumi</t>
  </si>
  <si>
    <t>Fiskālā bilance</t>
  </si>
  <si>
    <t>1 Valsts prezidenta kanceleja</t>
  </si>
  <si>
    <t>Valsts prezidenta kanceleja</t>
  </si>
  <si>
    <t>Izdevumi kopā</t>
  </si>
  <si>
    <t>2 Saeima</t>
  </si>
  <si>
    <t>Saeima</t>
  </si>
  <si>
    <t>3 Ministru Kabinets</t>
  </si>
  <si>
    <t>Ministru Kabinets</t>
  </si>
  <si>
    <t>10 Aizsardzības ministrija</t>
  </si>
  <si>
    <t>Aizsardzības ministrija</t>
  </si>
  <si>
    <t>11 Ārlietu ministrija</t>
  </si>
  <si>
    <t>Ārlietu ministrija</t>
  </si>
  <si>
    <t>12 Ekonomikas ministrija</t>
  </si>
  <si>
    <t>Ekonomikas ministrija</t>
  </si>
  <si>
    <t>13 Finansu ministrija</t>
  </si>
  <si>
    <t>Finansu ministrija</t>
  </si>
  <si>
    <t>14 Iekšlietu ministrija</t>
  </si>
  <si>
    <t>Iekšlietu ministrija</t>
  </si>
  <si>
    <t>15 Izglītības un zinātnes ministrija</t>
  </si>
  <si>
    <t>Izglītības un zinātnes ministrija</t>
  </si>
  <si>
    <t>16 Zemkopības ministrija</t>
  </si>
  <si>
    <t>Zemkopības ministrija</t>
  </si>
  <si>
    <t>17 Satiksmes ministrija</t>
  </si>
  <si>
    <t>Satiksmes ministrija</t>
  </si>
  <si>
    <t>18 Labklājības ministrija</t>
  </si>
  <si>
    <t>Labklājības ministrija</t>
  </si>
  <si>
    <t>19 Tieslietu ministrija</t>
  </si>
  <si>
    <t>Tieslietu ministrija</t>
  </si>
  <si>
    <t>21 Vides aizsardzības un reģionālās attīstības ministrija</t>
  </si>
  <si>
    <t>Vides aizsardzības un reģionālās attīstības ministrija</t>
  </si>
  <si>
    <t>22 Kultūras ministrija</t>
  </si>
  <si>
    <t>Kultūras ministrija</t>
  </si>
  <si>
    <t>23 Valsts zemes dienests</t>
  </si>
  <si>
    <t>Valsts zemes dienests</t>
  </si>
  <si>
    <t>24 Valsts kontrole</t>
  </si>
  <si>
    <t>Valsts kontrole</t>
  </si>
  <si>
    <t>28 Augstākā tiesa</t>
  </si>
  <si>
    <t>Augstākā tiesa</t>
  </si>
  <si>
    <t>30 Satversmes tiesa</t>
  </si>
  <si>
    <t>Satversmes tiesa</t>
  </si>
  <si>
    <t>32 Prokuratūra</t>
  </si>
  <si>
    <t>Prokuratūra</t>
  </si>
  <si>
    <t>35 Centrālā vēlēšanu komisija</t>
  </si>
  <si>
    <t>Centrālā vēlēšanu komisija</t>
  </si>
  <si>
    <t>37 Centrālā zemes komisija</t>
  </si>
  <si>
    <t>Centrālā zemes komisija</t>
  </si>
  <si>
    <t>44 Satversmes aizsardzības birojs</t>
  </si>
  <si>
    <t>Satversmes aizsardzības birojs</t>
  </si>
  <si>
    <t>Radio un televīzija</t>
  </si>
  <si>
    <t>48 Valsts cilvēktiesību birojs</t>
  </si>
  <si>
    <t>Valsts cilvēktiesību birojs</t>
  </si>
  <si>
    <t>50 Īpašu uzdevumu ministra sadarbībai  ar starptautiskajām finansu institūcijām sekretariāts</t>
  </si>
  <si>
    <t>Īpašu uzdevumu ministra sadarbībai  ar starptautiskajām finansu institūcijām sekretariāts</t>
  </si>
  <si>
    <t>51 Īpašu uzdevumu ministra valsts reformu lietās  sekretariāts</t>
  </si>
  <si>
    <t>Īpašu uzdevumu ministra valsts reformu lietās  sekretariāts</t>
  </si>
  <si>
    <t>Sabiedrisko pakalpojumu regulēšanas komisija</t>
  </si>
  <si>
    <t>62 Mērķdotācijas pašvaldībām</t>
  </si>
  <si>
    <t>Mērķdotācijas pašvaldībām</t>
  </si>
  <si>
    <t>64 Dotācija pašvaldībām</t>
  </si>
  <si>
    <t>Dotācija pašvaldībām</t>
  </si>
  <si>
    <t xml:space="preserve">Valsts kases pārvaldnieks                           (paraksts)                                                 </t>
  </si>
  <si>
    <t>(paraksta atšifrējums)</t>
  </si>
  <si>
    <t>4.tabula</t>
  </si>
  <si>
    <t xml:space="preserve">           Valsts kases oficiālais mēneša pārskats</t>
  </si>
  <si>
    <t>Valsts pamatbudžeta ieņēmumi un izdevumi pēc ekonomiskās klasifikācijas</t>
  </si>
  <si>
    <t>Finansēšanas plāns pārskata periodam</t>
  </si>
  <si>
    <t>Izpilde % pret gada plānu      (4/2)</t>
  </si>
  <si>
    <t>Izpilde % pret finansēša-nas plānu pārskata periodam       (4/3)</t>
  </si>
  <si>
    <t xml:space="preserve">Pārskata mēneša  izpilde </t>
  </si>
  <si>
    <t>1. Ieņēmumi - kopā</t>
  </si>
  <si>
    <t xml:space="preserve">Resursi izdevumu segšanai </t>
  </si>
  <si>
    <t xml:space="preserve">   Dotācija no vispārējiem ieņēmumiem</t>
  </si>
  <si>
    <t xml:space="preserve">   Dotācija īpašiem mērķiem</t>
  </si>
  <si>
    <t xml:space="preserve">   Maksas pakalpojumi un citi pašu ieņēmumi</t>
  </si>
  <si>
    <t xml:space="preserve">   Ārvalstu finansu palīdzība </t>
  </si>
  <si>
    <t>2. Izdevumi - kopā (2.1.+2.2.)</t>
  </si>
  <si>
    <t>2.1. Uzturēšanas izdevumi</t>
  </si>
  <si>
    <t>Kārtējie izdevumi</t>
  </si>
  <si>
    <t xml:space="preserve">    atalgojumi</t>
  </si>
  <si>
    <t xml:space="preserve">   valsts sociālās apdrošināšanas obligātās iemaksas</t>
  </si>
  <si>
    <t xml:space="preserve">    pārējie kārtējie izdevumi</t>
  </si>
  <si>
    <t>Maksājumi par aizņēmumiem un kredītiem</t>
  </si>
</sst>
</file>

<file path=xl/styles.xml><?xml version="1.0" encoding="utf-8"?>
<styleSheet xmlns="http://schemas.openxmlformats.org/spreadsheetml/2006/main">
  <numFmts count="6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#\ ##0"/>
    <numFmt numFmtId="173" formatCode="#\ ###\ ##0"/>
    <numFmt numFmtId="174" formatCode="#\ ###\ \ ##0"/>
    <numFmt numFmtId="175" formatCode="#,##0.0"/>
    <numFmt numFmtId="176" formatCode="0.0%"/>
    <numFmt numFmtId="177" formatCode="###,##0,"/>
    <numFmt numFmtId="178" formatCode="0.0"/>
    <numFmt numFmtId="179" formatCode="00.000"/>
    <numFmt numFmtId="180" formatCode="###,###,###"/>
    <numFmt numFmtId="181" formatCode="#,###%"/>
    <numFmt numFmtId="182" formatCode="###,###,##0"/>
    <numFmt numFmtId="183" formatCode="###0"/>
    <numFmt numFmtId="184" formatCode="0;[Red]0"/>
    <numFmt numFmtId="185" formatCode="#,##0.0\ _L_s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###.0%"/>
    <numFmt numFmtId="195" formatCode="##0,"/>
    <numFmt numFmtId="196" formatCode="&quot;Ls&quot;\ #,##0_);\(&quot;Ls&quot;\ #,##0\)"/>
    <numFmt numFmtId="197" formatCode="&quot;Ls&quot;\ #,##0_);[Red]\(&quot;Ls&quot;\ #,##0\)"/>
    <numFmt numFmtId="198" formatCode="&quot;Ls&quot;\ #,##0.00_);\(&quot;Ls&quot;\ #,##0.00\)"/>
    <numFmt numFmtId="199" formatCode="&quot;Ls&quot;\ #,##0.00_);[Red]\(&quot;Ls&quot;\ #,##0.00\)"/>
    <numFmt numFmtId="200" formatCode="_(&quot;Ls&quot;\ * #,##0_);_(&quot;Ls&quot;\ * \(#,##0\);_(&quot;Ls&quot;\ * &quot;-&quot;_);_(@_)"/>
    <numFmt numFmtId="201" formatCode="_(&quot;Ls&quot;\ * #,##0.00_);_(&quot;Ls&quot;\ * \(#,##0.00\);_(&quot;Ls&quot;\ * &quot;-&quot;??_);_(@_)"/>
    <numFmt numFmtId="202" formatCode="#,##0.000"/>
    <numFmt numFmtId="203" formatCode="###%"/>
    <numFmt numFmtId="204" formatCode="0.000"/>
    <numFmt numFmtId="205" formatCode="0.0000"/>
    <numFmt numFmtId="206" formatCode="0.000000"/>
    <numFmt numFmtId="207" formatCode="0.00000"/>
    <numFmt numFmtId="208" formatCode="0.0000000"/>
    <numFmt numFmtId="209" formatCode="#,###,###"/>
    <numFmt numFmtId="210" formatCode="#,###,###.0"/>
    <numFmt numFmtId="211" formatCode="0_ ;\-0\ "/>
    <numFmt numFmtId="212" formatCode="##,###,##0.00"/>
    <numFmt numFmtId="213" formatCode="#,##0&quot;р.&quot;;\-#,##0&quot;р.&quot;"/>
    <numFmt numFmtId="214" formatCode="#,##0&quot;р.&quot;;[Red]\-#,##0&quot;р.&quot;"/>
    <numFmt numFmtId="215" formatCode="#,##0.00&quot;р.&quot;;\-#,##0.00&quot;р.&quot;"/>
    <numFmt numFmtId="216" formatCode="#,##0.00&quot;р.&quot;;[Red]\-#,##0.00&quot;р.&quot;"/>
    <numFmt numFmtId="217" formatCode="_-* #,##0&quot;р.&quot;_-;\-* #,##0&quot;р.&quot;_-;_-* &quot;-&quot;&quot;р.&quot;_-;_-@_-"/>
    <numFmt numFmtId="218" formatCode="_-* #,##0_р_._-;\-* #,##0_р_._-;_-* &quot;-&quot;_р_._-;_-@_-"/>
    <numFmt numFmtId="219" formatCode="_-* #,##0.00&quot;р.&quot;_-;\-* #,##0.00&quot;р.&quot;_-;_-* &quot;-&quot;??&quot;р.&quot;_-;_-@_-"/>
    <numFmt numFmtId="220" formatCode="_-* #,##0.00_р_._-;\-* #,##0.00_р_._-;_-* &quot;-&quot;??_р_._-;_-@_-"/>
  </numFmts>
  <fonts count="31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9"/>
      <color indexed="63"/>
      <name val="Arial"/>
      <family val="2"/>
    </font>
    <font>
      <sz val="9"/>
      <color indexed="60"/>
      <name val="Arial"/>
      <family val="2"/>
    </font>
    <font>
      <sz val="12"/>
      <name val="Arial"/>
      <family val="2"/>
    </font>
    <font>
      <u val="single"/>
      <sz val="9"/>
      <name val="Arial"/>
      <family val="2"/>
    </font>
    <font>
      <sz val="14"/>
      <name val="Arial"/>
      <family val="2"/>
    </font>
    <font>
      <u val="single"/>
      <sz val="11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3"/>
      <name val="Arial"/>
      <family val="2"/>
    </font>
    <font>
      <sz val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12"/>
      <name val="Arial"/>
      <family val="2"/>
    </font>
    <font>
      <b/>
      <i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2" fontId="6" fillId="0" borderId="1" xfId="0" applyNumberFormat="1" applyFont="1" applyBorder="1" applyAlignment="1">
      <alignment/>
    </xf>
    <xf numFmtId="172" fontId="7" fillId="0" borderId="1" xfId="0" applyNumberFormat="1" applyFont="1" applyBorder="1" applyAlignment="1">
      <alignment horizontal="right"/>
    </xf>
    <xf numFmtId="172" fontId="7" fillId="0" borderId="1" xfId="0" applyNumberFormat="1" applyFont="1" applyBorder="1" applyAlignment="1">
      <alignment/>
    </xf>
    <xf numFmtId="172" fontId="8" fillId="0" borderId="1" xfId="0" applyNumberFormat="1" applyFont="1" applyBorder="1" applyAlignment="1">
      <alignment horizontal="center" wrapText="1"/>
    </xf>
    <xf numFmtId="172" fontId="8" fillId="0" borderId="1" xfId="0" applyNumberFormat="1" applyFont="1" applyBorder="1" applyAlignment="1">
      <alignment horizontal="center"/>
    </xf>
    <xf numFmtId="172" fontId="8" fillId="0" borderId="1" xfId="0" applyNumberFormat="1" applyFont="1" applyBorder="1" applyAlignment="1">
      <alignment horizontal="right"/>
    </xf>
    <xf numFmtId="172" fontId="6" fillId="0" borderId="1" xfId="0" applyNumberFormat="1" applyFont="1" applyBorder="1" applyAlignment="1">
      <alignment wrapText="1"/>
    </xf>
    <xf numFmtId="172" fontId="7" fillId="0" borderId="1" xfId="0" applyNumberFormat="1" applyFont="1" applyBorder="1" applyAlignment="1">
      <alignment horizontal="center"/>
    </xf>
    <xf numFmtId="172" fontId="7" fillId="0" borderId="1" xfId="0" applyNumberFormat="1" applyFont="1" applyBorder="1" applyAlignment="1">
      <alignment wrapText="1"/>
    </xf>
    <xf numFmtId="172" fontId="1" fillId="0" borderId="1" xfId="0" applyNumberFormat="1" applyFont="1" applyBorder="1" applyAlignment="1">
      <alignment wrapText="1"/>
    </xf>
    <xf numFmtId="172" fontId="1" fillId="0" borderId="1" xfId="0" applyNumberFormat="1" applyFont="1" applyBorder="1" applyAlignment="1">
      <alignment horizontal="right"/>
    </xf>
    <xf numFmtId="172" fontId="1" fillId="0" borderId="1" xfId="0" applyNumberFormat="1" applyFont="1" applyBorder="1" applyAlignment="1">
      <alignment/>
    </xf>
    <xf numFmtId="172" fontId="2" fillId="0" borderId="1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 horizontal="left" vertical="center"/>
    </xf>
    <xf numFmtId="172" fontId="2" fillId="0" borderId="1" xfId="0" applyNumberFormat="1" applyFont="1" applyBorder="1" applyAlignment="1">
      <alignment/>
    </xf>
    <xf numFmtId="172" fontId="8" fillId="0" borderId="1" xfId="0" applyNumberFormat="1" applyFont="1" applyBorder="1" applyAlignment="1">
      <alignment/>
    </xf>
    <xf numFmtId="172" fontId="2" fillId="0" borderId="1" xfId="0" applyNumberFormat="1" applyFont="1" applyBorder="1" applyAlignment="1">
      <alignment wrapText="1"/>
    </xf>
    <xf numFmtId="172" fontId="2" fillId="0" borderId="1" xfId="0" applyNumberFormat="1" applyFont="1" applyBorder="1" applyAlignment="1">
      <alignment horizontal="right"/>
    </xf>
    <xf numFmtId="172" fontId="0" fillId="0" borderId="1" xfId="0" applyNumberFormat="1" applyFont="1" applyBorder="1" applyAlignment="1">
      <alignment horizontal="left" vertical="center" wrapText="1"/>
    </xf>
    <xf numFmtId="172" fontId="8" fillId="0" borderId="1" xfId="0" applyNumberFormat="1" applyFont="1" applyBorder="1" applyAlignment="1">
      <alignment horizontal="left" wrapText="1"/>
    </xf>
    <xf numFmtId="172" fontId="0" fillId="0" borderId="1" xfId="0" applyNumberFormat="1" applyFont="1" applyBorder="1" applyAlignment="1">
      <alignment horizontal="left"/>
    </xf>
    <xf numFmtId="172" fontId="8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/>
    </xf>
    <xf numFmtId="0" fontId="2" fillId="0" borderId="0" xfId="0" applyFont="1" applyAlignment="1">
      <alignment horizontal="left"/>
    </xf>
    <xf numFmtId="183" fontId="2" fillId="0" borderId="0" xfId="0" applyNumberFormat="1" applyFont="1" applyAlignment="1">
      <alignment horizontal="centerContinuous"/>
    </xf>
    <xf numFmtId="172" fontId="2" fillId="0" borderId="0" xfId="0" applyNumberFormat="1" applyFont="1" applyAlignment="1">
      <alignment/>
    </xf>
    <xf numFmtId="172" fontId="2" fillId="0" borderId="0" xfId="0" applyNumberFormat="1" applyFont="1" applyAlignment="1">
      <alignment horizontal="centerContinuous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0" fontId="2" fillId="0" borderId="0" xfId="0" applyFont="1" applyAlignment="1">
      <alignment vertical="top"/>
    </xf>
    <xf numFmtId="3" fontId="2" fillId="0" borderId="0" xfId="0" applyNumberFormat="1" applyFont="1" applyAlignment="1">
      <alignment vertical="top"/>
    </xf>
    <xf numFmtId="183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180" fontId="2" fillId="0" borderId="0" xfId="0" applyNumberFormat="1" applyFont="1" applyAlignment="1">
      <alignment/>
    </xf>
    <xf numFmtId="0" fontId="0" fillId="0" borderId="0" xfId="0" applyFont="1" applyAlignment="1">
      <alignment horizontal="centerContinuous"/>
    </xf>
    <xf numFmtId="180" fontId="2" fillId="0" borderId="0" xfId="0" applyNumberFormat="1" applyFont="1" applyAlignment="1">
      <alignment horizontal="centerContinuous"/>
    </xf>
    <xf numFmtId="0" fontId="9" fillId="0" borderId="0" xfId="0" applyFont="1" applyAlignment="1">
      <alignment horizontal="centerContinuous"/>
    </xf>
    <xf numFmtId="180" fontId="2" fillId="0" borderId="1" xfId="0" applyNumberFormat="1" applyFont="1" applyBorder="1" applyAlignment="1">
      <alignment horizontal="center" vertical="center" wrapText="1"/>
    </xf>
    <xf numFmtId="180" fontId="6" fillId="0" borderId="1" xfId="0" applyNumberFormat="1" applyFont="1" applyBorder="1" applyAlignment="1">
      <alignment/>
    </xf>
    <xf numFmtId="181" fontId="7" fillId="0" borderId="1" xfId="21" applyNumberFormat="1" applyFont="1" applyBorder="1" applyAlignment="1">
      <alignment/>
    </xf>
    <xf numFmtId="180" fontId="10" fillId="0" borderId="1" xfId="0" applyNumberFormat="1" applyFont="1" applyBorder="1" applyAlignment="1">
      <alignment/>
    </xf>
    <xf numFmtId="178" fontId="10" fillId="0" borderId="1" xfId="21" applyNumberFormat="1" applyFont="1" applyBorder="1" applyAlignment="1">
      <alignment/>
    </xf>
    <xf numFmtId="0" fontId="1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180" fontId="2" fillId="0" borderId="1" xfId="0" applyNumberFormat="1" applyFont="1" applyBorder="1" applyAlignment="1">
      <alignment/>
    </xf>
    <xf numFmtId="181" fontId="2" fillId="0" borderId="1" xfId="21" applyNumberFormat="1" applyFont="1" applyBorder="1" applyAlignment="1">
      <alignment/>
    </xf>
    <xf numFmtId="180" fontId="1" fillId="0" borderId="1" xfId="0" applyNumberFormat="1" applyFont="1" applyBorder="1" applyAlignment="1">
      <alignment/>
    </xf>
    <xf numFmtId="178" fontId="1" fillId="0" borderId="1" xfId="21" applyNumberFormat="1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180" fontId="1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180" fontId="8" fillId="0" borderId="1" xfId="0" applyNumberFormat="1" applyFont="1" applyBorder="1" applyAlignment="1">
      <alignment/>
    </xf>
    <xf numFmtId="182" fontId="8" fillId="0" borderId="1" xfId="0" applyNumberFormat="1" applyFont="1" applyBorder="1" applyAlignment="1">
      <alignment/>
    </xf>
    <xf numFmtId="178" fontId="8" fillId="0" borderId="1" xfId="21" applyNumberFormat="1" applyFont="1" applyBorder="1" applyAlignment="1">
      <alignment/>
    </xf>
    <xf numFmtId="0" fontId="10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6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180" fontId="12" fillId="0" borderId="1" xfId="0" applyNumberFormat="1" applyFont="1" applyBorder="1" applyAlignment="1">
      <alignment/>
    </xf>
    <xf numFmtId="178" fontId="12" fillId="0" borderId="1" xfId="21" applyNumberFormat="1" applyFont="1" applyBorder="1" applyAlignment="1">
      <alignment/>
    </xf>
    <xf numFmtId="0" fontId="8" fillId="0" borderId="1" xfId="0" applyFont="1" applyBorder="1" applyAlignment="1">
      <alignment horizontal="left"/>
    </xf>
    <xf numFmtId="178" fontId="2" fillId="0" borderId="1" xfId="21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1" fontId="6" fillId="0" borderId="1" xfId="0" applyNumberFormat="1" applyFont="1" applyBorder="1" applyAlignment="1">
      <alignment/>
    </xf>
    <xf numFmtId="178" fontId="6" fillId="0" borderId="1" xfId="0" applyNumberFormat="1" applyFont="1" applyBorder="1" applyAlignment="1">
      <alignment/>
    </xf>
    <xf numFmtId="2" fontId="10" fillId="0" borderId="1" xfId="21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175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1" fontId="1" fillId="0" borderId="1" xfId="0" applyNumberFormat="1" applyFont="1" applyBorder="1" applyAlignment="1">
      <alignment/>
    </xf>
    <xf numFmtId="178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/>
    </xf>
    <xf numFmtId="2" fontId="1" fillId="0" borderId="1" xfId="21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0" fillId="0" borderId="1" xfId="0" applyNumberFormat="1" applyBorder="1" applyAlignment="1">
      <alignment/>
    </xf>
    <xf numFmtId="0" fontId="0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1" fontId="6" fillId="0" borderId="1" xfId="0" applyNumberFormat="1" applyFont="1" applyBorder="1" applyAlignment="1">
      <alignment horizontal="center"/>
    </xf>
    <xf numFmtId="178" fontId="6" fillId="0" borderId="1" xfId="0" applyNumberFormat="1" applyFont="1" applyBorder="1" applyAlignment="1">
      <alignment/>
    </xf>
    <xf numFmtId="1" fontId="6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3" fontId="10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1" fontId="1" fillId="2" borderId="1" xfId="0" applyNumberFormat="1" applyFont="1" applyFill="1" applyBorder="1" applyAlignment="1">
      <alignment/>
    </xf>
    <xf numFmtId="0" fontId="0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1" fontId="2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left" wrapText="1"/>
    </xf>
    <xf numFmtId="1" fontId="10" fillId="0" borderId="1" xfId="0" applyNumberFormat="1" applyFont="1" applyBorder="1" applyAlignment="1">
      <alignment/>
    </xf>
    <xf numFmtId="178" fontId="1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6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Border="1" applyAlignment="1">
      <alignment horizontal="left" wrapText="1"/>
    </xf>
    <xf numFmtId="3" fontId="10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 horizontal="center" vertical="center" wrapText="1"/>
    </xf>
    <xf numFmtId="178" fontId="10" fillId="0" borderId="1" xfId="21" applyNumberFormat="1" applyFont="1" applyFill="1" applyBorder="1" applyAlignment="1">
      <alignment/>
    </xf>
    <xf numFmtId="178" fontId="1" fillId="0" borderId="1" xfId="21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 horizontal="center"/>
    </xf>
    <xf numFmtId="178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178" fontId="10" fillId="0" borderId="1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178" fontId="1" fillId="0" borderId="1" xfId="0" applyNumberFormat="1" applyFont="1" applyFill="1" applyBorder="1" applyAlignment="1">
      <alignment/>
    </xf>
    <xf numFmtId="3" fontId="13" fillId="0" borderId="1" xfId="0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center"/>
    </xf>
    <xf numFmtId="3" fontId="10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3" fontId="1" fillId="0" borderId="1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/>
    </xf>
    <xf numFmtId="0" fontId="10" fillId="0" borderId="1" xfId="0" applyFont="1" applyFill="1" applyBorder="1" applyAlignment="1">
      <alignment horizontal="center" wrapText="1"/>
    </xf>
    <xf numFmtId="3" fontId="10" fillId="0" borderId="1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10" fillId="0" borderId="0" xfId="0" applyFont="1" applyFill="1" applyAlignment="1">
      <alignment/>
    </xf>
    <xf numFmtId="3" fontId="1" fillId="0" borderId="1" xfId="0" applyNumberFormat="1" applyFont="1" applyFill="1" applyBorder="1" applyAlignment="1">
      <alignment horizontal="right" wrapText="1" shrinkToFit="1"/>
    </xf>
    <xf numFmtId="3" fontId="10" fillId="0" borderId="1" xfId="0" applyNumberFormat="1" applyFont="1" applyFill="1" applyBorder="1" applyAlignment="1">
      <alignment horizontal="right" wrapText="1" shrinkToFit="1"/>
    </xf>
    <xf numFmtId="178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Continuous"/>
    </xf>
    <xf numFmtId="0" fontId="15" fillId="0" borderId="0" xfId="0" applyFont="1" applyAlignment="1">
      <alignment horizontal="center"/>
    </xf>
    <xf numFmtId="0" fontId="10" fillId="0" borderId="2" xfId="0" applyFont="1" applyBorder="1" applyAlignment="1">
      <alignment wrapText="1"/>
    </xf>
    <xf numFmtId="3" fontId="10" fillId="0" borderId="1" xfId="0" applyNumberFormat="1" applyFont="1" applyBorder="1" applyAlignment="1">
      <alignment/>
    </xf>
    <xf numFmtId="3" fontId="10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 horizontal="right"/>
    </xf>
    <xf numFmtId="0" fontId="1" fillId="0" borderId="2" xfId="0" applyFont="1" applyFill="1" applyBorder="1" applyAlignment="1">
      <alignment wrapText="1"/>
    </xf>
    <xf numFmtId="3" fontId="1" fillId="0" borderId="1" xfId="0" applyNumberFormat="1" applyFont="1" applyBorder="1" applyAlignment="1">
      <alignment/>
    </xf>
    <xf numFmtId="175" fontId="1" fillId="0" borderId="1" xfId="21" applyNumberFormat="1" applyFont="1" applyBorder="1" applyAlignment="1">
      <alignment horizontal="right"/>
    </xf>
    <xf numFmtId="175" fontId="1" fillId="0" borderId="1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3" fontId="0" fillId="0" borderId="1" xfId="0" applyNumberFormat="1" applyFont="1" applyBorder="1" applyAlignment="1">
      <alignment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1" fillId="0" borderId="2" xfId="0" applyFont="1" applyBorder="1" applyAlignment="1">
      <alignment/>
    </xf>
    <xf numFmtId="3" fontId="1" fillId="0" borderId="1" xfId="0" applyNumberFormat="1" applyFont="1" applyBorder="1" applyAlignment="1">
      <alignment horizontal="center"/>
    </xf>
    <xf numFmtId="175" fontId="1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wrapText="1"/>
    </xf>
    <xf numFmtId="175" fontId="0" fillId="0" borderId="1" xfId="0" applyNumberFormat="1" applyFont="1" applyBorder="1" applyAlignment="1">
      <alignment/>
    </xf>
    <xf numFmtId="175" fontId="10" fillId="0" borderId="1" xfId="21" applyNumberFormat="1" applyFont="1" applyBorder="1" applyAlignment="1">
      <alignment horizontal="right"/>
    </xf>
    <xf numFmtId="175" fontId="10" fillId="0" borderId="1" xfId="0" applyNumberFormat="1" applyFont="1" applyBorder="1" applyAlignment="1">
      <alignment/>
    </xf>
    <xf numFmtId="0" fontId="10" fillId="0" borderId="2" xfId="0" applyFont="1" applyBorder="1" applyAlignment="1">
      <alignment/>
    </xf>
    <xf numFmtId="0" fontId="12" fillId="0" borderId="2" xfId="0" applyFont="1" applyBorder="1" applyAlignment="1">
      <alignment horizontal="left" wrapText="1"/>
    </xf>
    <xf numFmtId="0" fontId="12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left" wrapText="1"/>
    </xf>
    <xf numFmtId="0" fontId="10" fillId="0" borderId="2" xfId="0" applyFont="1" applyBorder="1" applyAlignment="1">
      <alignment horizontal="center" wrapText="1"/>
    </xf>
    <xf numFmtId="175" fontId="10" fillId="0" borderId="1" xfId="0" applyNumberFormat="1" applyFont="1" applyBorder="1" applyAlignment="1">
      <alignment horizontal="right"/>
    </xf>
    <xf numFmtId="0" fontId="1" fillId="0" borderId="2" xfId="0" applyFont="1" applyBorder="1" applyAlignment="1">
      <alignment vertical="center" wrapText="1"/>
    </xf>
    <xf numFmtId="0" fontId="12" fillId="0" borderId="2" xfId="0" applyFont="1" applyBorder="1" applyAlignment="1">
      <alignment wrapText="1"/>
    </xf>
    <xf numFmtId="0" fontId="12" fillId="0" borderId="2" xfId="0" applyFont="1" applyBorder="1" applyAlignment="1">
      <alignment/>
    </xf>
    <xf numFmtId="0" fontId="1" fillId="0" borderId="1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3" fontId="6" fillId="0" borderId="1" xfId="0" applyNumberFormat="1" applyFont="1" applyBorder="1" applyAlignment="1">
      <alignment/>
    </xf>
    <xf numFmtId="178" fontId="6" fillId="0" borderId="1" xfId="21" applyNumberFormat="1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175" fontId="6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179" fontId="0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179" fontId="0" fillId="0" borderId="1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10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178" fontId="0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2" fontId="17" fillId="0" borderId="0" xfId="0" applyNumberFormat="1" applyFont="1" applyAlignment="1">
      <alignment horizontal="center"/>
    </xf>
    <xf numFmtId="178" fontId="17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178" fontId="1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2" fontId="6" fillId="0" borderId="1" xfId="0" applyNumberFormat="1" applyFont="1" applyBorder="1" applyAlignment="1">
      <alignment/>
    </xf>
    <xf numFmtId="178" fontId="6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180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 applyProtection="1">
      <alignment/>
      <protection locked="0"/>
    </xf>
    <xf numFmtId="178" fontId="0" fillId="0" borderId="1" xfId="0" applyNumberFormat="1" applyFont="1" applyBorder="1" applyAlignment="1">
      <alignment/>
    </xf>
    <xf numFmtId="0" fontId="11" fillId="0" borderId="1" xfId="0" applyFont="1" applyBorder="1" applyAlignment="1">
      <alignment/>
    </xf>
    <xf numFmtId="3" fontId="0" fillId="0" borderId="1" xfId="0" applyNumberFormat="1" applyFont="1" applyBorder="1" applyAlignment="1" applyProtection="1">
      <alignment/>
      <protection locked="0"/>
    </xf>
    <xf numFmtId="0" fontId="10" fillId="0" borderId="1" xfId="0" applyFont="1" applyBorder="1" applyAlignment="1">
      <alignment horizont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/>
    </xf>
    <xf numFmtId="3" fontId="0" fillId="0" borderId="1" xfId="0" applyNumberFormat="1" applyFont="1" applyBorder="1" applyAlignment="1">
      <alignment horizontal="right"/>
    </xf>
    <xf numFmtId="0" fontId="0" fillId="3" borderId="1" xfId="0" applyFont="1" applyFill="1" applyBorder="1" applyAlignment="1">
      <alignment/>
    </xf>
    <xf numFmtId="3" fontId="11" fillId="0" borderId="1" xfId="0" applyNumberFormat="1" applyFont="1" applyBorder="1" applyAlignment="1">
      <alignment/>
    </xf>
    <xf numFmtId="3" fontId="11" fillId="0" borderId="1" xfId="0" applyNumberFormat="1" applyFont="1" applyBorder="1" applyAlignment="1" applyProtection="1">
      <alignment/>
      <protection locked="0"/>
    </xf>
    <xf numFmtId="2" fontId="0" fillId="0" borderId="0" xfId="0" applyNumberFormat="1" applyFont="1" applyBorder="1" applyAlignment="1">
      <alignment/>
    </xf>
    <xf numFmtId="178" fontId="0" fillId="0" borderId="0" xfId="0" applyNumberFormat="1" applyFont="1" applyBorder="1" applyAlignment="1">
      <alignment/>
    </xf>
    <xf numFmtId="0" fontId="0" fillId="0" borderId="0" xfId="0" applyFont="1" applyAlignment="1">
      <alignment wrapText="1"/>
    </xf>
    <xf numFmtId="2" fontId="1" fillId="0" borderId="0" xfId="0" applyNumberFormat="1" applyFont="1" applyAlignment="1">
      <alignment/>
    </xf>
    <xf numFmtId="178" fontId="1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Continuous"/>
    </xf>
    <xf numFmtId="3" fontId="5" fillId="0" borderId="0" xfId="0" applyNumberFormat="1" applyFont="1" applyAlignment="1">
      <alignment horizontal="centerContinuous"/>
    </xf>
    <xf numFmtId="1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3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180" fontId="4" fillId="0" borderId="1" xfId="0" applyNumberFormat="1" applyFont="1" applyBorder="1" applyAlignment="1">
      <alignment horizontal="right" wrapText="1"/>
    </xf>
    <xf numFmtId="3" fontId="4" fillId="0" borderId="1" xfId="21" applyNumberFormat="1" applyFont="1" applyBorder="1" applyAlignment="1">
      <alignment/>
    </xf>
    <xf numFmtId="184" fontId="5" fillId="0" borderId="1" xfId="21" applyNumberFormat="1" applyFont="1" applyBorder="1" applyAlignment="1">
      <alignment/>
    </xf>
    <xf numFmtId="180" fontId="6" fillId="0" borderId="1" xfId="0" applyNumberFormat="1" applyFont="1" applyBorder="1" applyAlignment="1">
      <alignment horizontal="right" wrapText="1"/>
    </xf>
    <xf numFmtId="175" fontId="4" fillId="0" borderId="1" xfId="21" applyNumberFormat="1" applyFont="1" applyBorder="1" applyAlignment="1">
      <alignment/>
    </xf>
    <xf numFmtId="180" fontId="0" fillId="0" borderId="1" xfId="0" applyNumberFormat="1" applyFont="1" applyBorder="1" applyAlignment="1">
      <alignment horizontal="right" wrapText="1"/>
    </xf>
    <xf numFmtId="3" fontId="5" fillId="0" borderId="1" xfId="21" applyNumberFormat="1" applyFont="1" applyBorder="1" applyAlignment="1">
      <alignment/>
    </xf>
    <xf numFmtId="180" fontId="5" fillId="0" borderId="1" xfId="0" applyNumberFormat="1" applyFont="1" applyBorder="1" applyAlignment="1">
      <alignment horizontal="right" wrapText="1"/>
    </xf>
    <xf numFmtId="175" fontId="5" fillId="0" borderId="1" xfId="21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left"/>
    </xf>
    <xf numFmtId="3" fontId="4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180" fontId="0" fillId="0" borderId="1" xfId="0" applyNumberFormat="1" applyFont="1" applyBorder="1" applyAlignment="1">
      <alignment horizontal="right" vertical="center" wrapText="1"/>
    </xf>
    <xf numFmtId="180" fontId="0" fillId="0" borderId="1" xfId="0" applyNumberFormat="1" applyFont="1" applyBorder="1" applyAlignment="1">
      <alignment horizontal="center"/>
    </xf>
    <xf numFmtId="175" fontId="0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180" fontId="4" fillId="0" borderId="1" xfId="0" applyNumberFormat="1" applyFont="1" applyBorder="1" applyAlignment="1">
      <alignment/>
    </xf>
    <xf numFmtId="180" fontId="5" fillId="0" borderId="1" xfId="0" applyNumberFormat="1" applyFont="1" applyBorder="1" applyAlignment="1">
      <alignment/>
    </xf>
    <xf numFmtId="180" fontId="5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/>
    </xf>
    <xf numFmtId="172" fontId="0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180" fontId="11" fillId="0" borderId="1" xfId="0" applyNumberFormat="1" applyFont="1" applyBorder="1" applyAlignment="1">
      <alignment horizontal="center"/>
    </xf>
    <xf numFmtId="180" fontId="0" fillId="0" borderId="1" xfId="0" applyNumberFormat="1" applyFont="1" applyBorder="1" applyAlignment="1" applyProtection="1">
      <alignment horizontal="right" wrapText="1"/>
      <protection locked="0"/>
    </xf>
    <xf numFmtId="180" fontId="11" fillId="0" borderId="1" xfId="0" applyNumberFormat="1" applyFont="1" applyBorder="1" applyAlignment="1" applyProtection="1">
      <alignment horizontal="right" wrapText="1"/>
      <protection locked="0"/>
    </xf>
    <xf numFmtId="180" fontId="0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3" fontId="5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180" fontId="6" fillId="0" borderId="1" xfId="0" applyNumberFormat="1" applyFont="1" applyBorder="1" applyAlignment="1">
      <alignment horizontal="center"/>
    </xf>
    <xf numFmtId="0" fontId="0" fillId="0" borderId="0" xfId="0" applyFont="1" applyBorder="1" applyAlignment="1">
      <alignment wrapText="1"/>
    </xf>
    <xf numFmtId="172" fontId="0" fillId="0" borderId="0" xfId="0" applyNumberFormat="1" applyFont="1" applyBorder="1" applyAlignment="1">
      <alignment horizontal="center"/>
    </xf>
    <xf numFmtId="172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" wrapText="1"/>
    </xf>
    <xf numFmtId="1" fontId="0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3" fontId="0" fillId="0" borderId="1" xfId="0" applyNumberFormat="1" applyFont="1" applyBorder="1" applyAlignment="1">
      <alignment horizontal="center" wrapText="1"/>
    </xf>
    <xf numFmtId="17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5" fillId="0" borderId="0" xfId="0" applyFont="1" applyBorder="1" applyAlignment="1">
      <alignment wrapText="1"/>
    </xf>
    <xf numFmtId="3" fontId="6" fillId="0" borderId="0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72" fontId="5" fillId="0" borderId="0" xfId="0" applyNumberFormat="1" applyFont="1" applyAlignment="1">
      <alignment horizontal="center"/>
    </xf>
    <xf numFmtId="172" fontId="5" fillId="0" borderId="0" xfId="0" applyNumberFormat="1" applyFont="1" applyAlignment="1">
      <alignment/>
    </xf>
    <xf numFmtId="0" fontId="0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180" fontId="6" fillId="0" borderId="1" xfId="0" applyNumberFormat="1" applyFont="1" applyBorder="1" applyAlignment="1">
      <alignment horizontal="right"/>
    </xf>
    <xf numFmtId="185" fontId="6" fillId="0" borderId="1" xfId="21" applyNumberFormat="1" applyFont="1" applyBorder="1" applyAlignment="1">
      <alignment/>
    </xf>
    <xf numFmtId="3" fontId="6" fillId="0" borderId="1" xfId="0" applyNumberFormat="1" applyFont="1" applyBorder="1" applyAlignment="1">
      <alignment horizontal="right"/>
    </xf>
    <xf numFmtId="175" fontId="6" fillId="0" borderId="1" xfId="21" applyNumberFormat="1" applyFont="1" applyBorder="1" applyAlignment="1">
      <alignment/>
    </xf>
    <xf numFmtId="180" fontId="0" fillId="0" borderId="0" xfId="0" applyNumberFormat="1" applyAlignment="1">
      <alignment/>
    </xf>
    <xf numFmtId="180" fontId="0" fillId="0" borderId="1" xfId="0" applyNumberFormat="1" applyFont="1" applyBorder="1" applyAlignment="1">
      <alignment horizontal="right"/>
    </xf>
    <xf numFmtId="175" fontId="0" fillId="0" borderId="1" xfId="21" applyNumberFormat="1" applyFont="1" applyBorder="1" applyAlignment="1">
      <alignment/>
    </xf>
    <xf numFmtId="2" fontId="0" fillId="0" borderId="0" xfId="0" applyNumberFormat="1" applyAlignment="1">
      <alignment/>
    </xf>
    <xf numFmtId="0" fontId="11" fillId="0" borderId="1" xfId="0" applyFont="1" applyBorder="1" applyAlignment="1">
      <alignment/>
    </xf>
    <xf numFmtId="4" fontId="0" fillId="0" borderId="0" xfId="0" applyNumberFormat="1" applyAlignment="1">
      <alignment/>
    </xf>
    <xf numFmtId="180" fontId="0" fillId="0" borderId="1" xfId="0" applyNumberFormat="1" applyFont="1" applyFill="1" applyBorder="1" applyAlignment="1">
      <alignment horizontal="right"/>
    </xf>
    <xf numFmtId="179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10" fontId="0" fillId="0" borderId="0" xfId="0" applyNumberFormat="1" applyFont="1" applyBorder="1" applyAlignment="1">
      <alignment/>
    </xf>
    <xf numFmtId="17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172" fontId="6" fillId="0" borderId="1" xfId="0" applyNumberFormat="1" applyFont="1" applyBorder="1" applyAlignment="1">
      <alignment horizontal="right" vertical="center" wrapText="1"/>
    </xf>
    <xf numFmtId="178" fontId="6" fillId="0" borderId="1" xfId="0" applyNumberFormat="1" applyFont="1" applyBorder="1" applyAlignment="1">
      <alignment horizontal="right" vertical="center" wrapText="1"/>
    </xf>
    <xf numFmtId="172" fontId="6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172" fontId="0" fillId="0" borderId="1" xfId="0" applyNumberFormat="1" applyFont="1" applyBorder="1" applyAlignment="1">
      <alignment horizontal="right"/>
    </xf>
    <xf numFmtId="178" fontId="0" fillId="0" borderId="1" xfId="0" applyNumberFormat="1" applyFont="1" applyBorder="1" applyAlignment="1">
      <alignment horizontal="right" vertical="center" wrapText="1"/>
    </xf>
    <xf numFmtId="172" fontId="0" fillId="0" borderId="1" xfId="0" applyNumberFormat="1" applyFont="1" applyBorder="1" applyAlignment="1">
      <alignment horizontal="right"/>
    </xf>
    <xf numFmtId="172" fontId="10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left" vertical="center" wrapText="1"/>
    </xf>
    <xf numFmtId="172" fontId="1" fillId="0" borderId="1" xfId="0" applyNumberFormat="1" applyFont="1" applyBorder="1" applyAlignment="1">
      <alignment/>
    </xf>
    <xf numFmtId="178" fontId="10" fillId="0" borderId="1" xfId="0" applyNumberFormat="1" applyFont="1" applyBorder="1" applyAlignment="1">
      <alignment horizontal="right" vertical="center" wrapText="1"/>
    </xf>
    <xf numFmtId="178" fontId="1" fillId="0" borderId="1" xfId="0" applyNumberFormat="1" applyFont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vertical="center" wrapText="1"/>
    </xf>
    <xf numFmtId="172" fontId="10" fillId="0" borderId="1" xfId="0" applyNumberFormat="1" applyFont="1" applyFill="1" applyBorder="1" applyAlignment="1">
      <alignment/>
    </xf>
    <xf numFmtId="178" fontId="10" fillId="0" borderId="1" xfId="0" applyNumberFormat="1" applyFont="1" applyFill="1" applyBorder="1" applyAlignment="1">
      <alignment horizontal="right" vertical="center" wrapText="1"/>
    </xf>
    <xf numFmtId="172" fontId="1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178" fontId="1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/>
    </xf>
    <xf numFmtId="178" fontId="0" fillId="0" borderId="1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centerContinuous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/>
    </xf>
    <xf numFmtId="3" fontId="0" fillId="0" borderId="1" xfId="0" applyNumberFormat="1" applyFont="1" applyBorder="1" applyAlignment="1">
      <alignment horizontal="right" wrapText="1"/>
    </xf>
    <xf numFmtId="3" fontId="6" fillId="0" borderId="1" xfId="0" applyNumberFormat="1" applyFont="1" applyBorder="1" applyAlignment="1">
      <alignment horizontal="right" wrapText="1"/>
    </xf>
    <xf numFmtId="178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right" wrapText="1"/>
    </xf>
    <xf numFmtId="178" fontId="6" fillId="0" borderId="1" xfId="0" applyNumberFormat="1" applyFont="1" applyBorder="1" applyAlignment="1">
      <alignment horizontal="right" wrapText="1"/>
    </xf>
    <xf numFmtId="178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right" wrapText="1"/>
    </xf>
    <xf numFmtId="178" fontId="0" fillId="0" borderId="1" xfId="0" applyNumberFormat="1" applyFont="1" applyBorder="1" applyAlignment="1">
      <alignment horizontal="right" wrapText="1"/>
    </xf>
    <xf numFmtId="3" fontId="6" fillId="0" borderId="1" xfId="0" applyNumberFormat="1" applyFont="1" applyFill="1" applyBorder="1" applyAlignment="1">
      <alignment horizontal="right"/>
    </xf>
    <xf numFmtId="172" fontId="11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right" wrapText="1"/>
    </xf>
    <xf numFmtId="172" fontId="0" fillId="0" borderId="1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172" fontId="0" fillId="0" borderId="0" xfId="0" applyNumberFormat="1" applyFont="1" applyAlignment="1">
      <alignment horizontal="centerContinuous"/>
    </xf>
    <xf numFmtId="172" fontId="11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178" fontId="2" fillId="0" borderId="0" xfId="0" applyNumberFormat="1" applyFont="1" applyAlignment="1">
      <alignment horizontal="center"/>
    </xf>
    <xf numFmtId="0" fontId="7" fillId="0" borderId="1" xfId="0" applyFont="1" applyBorder="1" applyAlignment="1">
      <alignment/>
    </xf>
    <xf numFmtId="0" fontId="2" fillId="0" borderId="1" xfId="0" applyFont="1" applyBorder="1" applyAlignment="1">
      <alignment/>
    </xf>
    <xf numFmtId="3" fontId="7" fillId="0" borderId="1" xfId="0" applyNumberFormat="1" applyFont="1" applyBorder="1" applyAlignment="1">
      <alignment/>
    </xf>
    <xf numFmtId="178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/>
    </xf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1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6" fillId="0" borderId="3" xfId="0" applyFont="1" applyBorder="1" applyAlignment="1">
      <alignment horizontal="center" wrapText="1"/>
    </xf>
    <xf numFmtId="172" fontId="6" fillId="0" borderId="4" xfId="0" applyNumberFormat="1" applyFont="1" applyBorder="1" applyAlignment="1">
      <alignment horizontal="right"/>
    </xf>
    <xf numFmtId="181" fontId="6" fillId="0" borderId="4" xfId="21" applyNumberFormat="1" applyFont="1" applyBorder="1" applyAlignment="1">
      <alignment/>
    </xf>
    <xf numFmtId="172" fontId="7" fillId="0" borderId="4" xfId="0" applyNumberFormat="1" applyFont="1" applyBorder="1" applyAlignment="1">
      <alignment horizontal="right"/>
    </xf>
    <xf numFmtId="172" fontId="6" fillId="0" borderId="1" xfId="0" applyNumberFormat="1" applyFont="1" applyBorder="1" applyAlignment="1">
      <alignment/>
    </xf>
    <xf numFmtId="178" fontId="6" fillId="0" borderId="1" xfId="21" applyNumberFormat="1" applyFont="1" applyBorder="1" applyAlignment="1">
      <alignment/>
    </xf>
    <xf numFmtId="0" fontId="6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181" fontId="7" fillId="0" borderId="4" xfId="21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172" fontId="10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172" fontId="7" fillId="0" borderId="1" xfId="0" applyNumberFormat="1" applyFont="1" applyBorder="1" applyAlignment="1">
      <alignment/>
    </xf>
    <xf numFmtId="178" fontId="7" fillId="0" borderId="1" xfId="21" applyNumberFormat="1" applyFont="1" applyBorder="1" applyAlignment="1">
      <alignment/>
    </xf>
    <xf numFmtId="0" fontId="2" fillId="0" borderId="1" xfId="0" applyFont="1" applyBorder="1" applyAlignment="1">
      <alignment horizontal="left"/>
    </xf>
    <xf numFmtId="172" fontId="2" fillId="0" borderId="1" xfId="0" applyNumberFormat="1" applyFont="1" applyBorder="1" applyAlignment="1">
      <alignment/>
    </xf>
    <xf numFmtId="181" fontId="10" fillId="0" borderId="4" xfId="21" applyNumberFormat="1" applyFont="1" applyBorder="1" applyAlignment="1">
      <alignment/>
    </xf>
    <xf numFmtId="172" fontId="10" fillId="0" borderId="0" xfId="0" applyNumberFormat="1" applyFont="1" applyAlignment="1">
      <alignment/>
    </xf>
    <xf numFmtId="0" fontId="2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172" fontId="2" fillId="0" borderId="0" xfId="0" applyNumberFormat="1" applyFont="1" applyBorder="1" applyAlignment="1">
      <alignment/>
    </xf>
    <xf numFmtId="172" fontId="6" fillId="0" borderId="3" xfId="0" applyNumberFormat="1" applyFont="1" applyBorder="1" applyAlignment="1">
      <alignment/>
    </xf>
    <xf numFmtId="172" fontId="6" fillId="0" borderId="4" xfId="0" applyNumberFormat="1" applyFont="1" applyBorder="1" applyAlignment="1">
      <alignment/>
    </xf>
    <xf numFmtId="172" fontId="6" fillId="0" borderId="4" xfId="0" applyNumberFormat="1" applyFont="1" applyBorder="1" applyAlignment="1">
      <alignment horizontal="center"/>
    </xf>
    <xf numFmtId="172" fontId="2" fillId="0" borderId="4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3" fillId="0" borderId="0" xfId="0" applyFont="1" applyAlignment="1">
      <alignment horizontal="centerContinuous" wrapText="1"/>
    </xf>
    <xf numFmtId="0" fontId="9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right" wrapText="1"/>
    </xf>
    <xf numFmtId="0" fontId="6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172" fontId="12" fillId="0" borderId="1" xfId="0" applyNumberFormat="1" applyFont="1" applyFill="1" applyBorder="1" applyAlignment="1">
      <alignment/>
    </xf>
    <xf numFmtId="0" fontId="11" fillId="0" borderId="1" xfId="0" applyFont="1" applyFill="1" applyBorder="1" applyAlignment="1">
      <alignment horizontal="left" wrapText="1"/>
    </xf>
    <xf numFmtId="172" fontId="12" fillId="0" borderId="1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horizontal="right" wrapText="1"/>
    </xf>
    <xf numFmtId="0" fontId="19" fillId="0" borderId="5" xfId="0" applyFont="1" applyBorder="1" applyAlignment="1">
      <alignment/>
    </xf>
    <xf numFmtId="172" fontId="1" fillId="0" borderId="5" xfId="0" applyNumberFormat="1" applyFont="1" applyBorder="1" applyAlignment="1">
      <alignment/>
    </xf>
    <xf numFmtId="178" fontId="1" fillId="0" borderId="5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178" fontId="1" fillId="0" borderId="0" xfId="0" applyNumberFormat="1" applyFont="1" applyBorder="1" applyAlignment="1">
      <alignment/>
    </xf>
    <xf numFmtId="0" fontId="2" fillId="0" borderId="0" xfId="0" applyFont="1" applyAlignment="1">
      <alignment wrapText="1"/>
    </xf>
    <xf numFmtId="49" fontId="1" fillId="0" borderId="0" xfId="0" applyNumberFormat="1" applyFont="1" applyBorder="1" applyAlignment="1">
      <alignment horizontal="center"/>
    </xf>
    <xf numFmtId="0" fontId="19" fillId="0" borderId="0" xfId="0" applyFont="1" applyAlignment="1">
      <alignment wrapText="1"/>
    </xf>
    <xf numFmtId="49" fontId="0" fillId="0" borderId="0" xfId="0" applyNumberFormat="1" applyFont="1" applyAlignment="1">
      <alignment vertical="top" wrapText="1"/>
    </xf>
    <xf numFmtId="49" fontId="0" fillId="0" borderId="0" xfId="0" applyNumberFormat="1" applyFont="1" applyAlignment="1">
      <alignment horizontal="centerContinuous" vertical="top" wrapText="1"/>
    </xf>
    <xf numFmtId="49" fontId="6" fillId="0" borderId="0" xfId="0" applyNumberFormat="1" applyFont="1" applyAlignment="1">
      <alignment horizontal="centerContinuous" vertical="top" wrapText="1"/>
    </xf>
    <xf numFmtId="49" fontId="15" fillId="0" borderId="0" xfId="0" applyNumberFormat="1" applyFont="1" applyAlignment="1">
      <alignment horizontal="centerContinuous" vertical="top" wrapText="1"/>
    </xf>
    <xf numFmtId="0" fontId="15" fillId="0" borderId="0" xfId="0" applyFont="1" applyAlignment="1">
      <alignment/>
    </xf>
    <xf numFmtId="0" fontId="15" fillId="0" borderId="0" xfId="0" applyFont="1" applyAlignment="1" applyProtection="1">
      <alignment horizontal="centerContinuous"/>
      <protection locked="0"/>
    </xf>
    <xf numFmtId="49" fontId="0" fillId="0" borderId="0" xfId="0" applyNumberFormat="1" applyFont="1" applyBorder="1" applyAlignment="1">
      <alignment vertical="top" wrapText="1"/>
    </xf>
    <xf numFmtId="49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49" fontId="0" fillId="0" borderId="1" xfId="0" applyNumberFormat="1" applyFont="1" applyFill="1" applyBorder="1" applyAlignment="1">
      <alignment horizontal="centerContinuous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3" fontId="6" fillId="0" borderId="1" xfId="0" applyNumberFormat="1" applyFont="1" applyBorder="1" applyAlignment="1">
      <alignment horizontal="center"/>
    </xf>
    <xf numFmtId="49" fontId="6" fillId="0" borderId="1" xfId="0" applyNumberFormat="1" applyFont="1" applyFill="1" applyBorder="1" applyAlignment="1">
      <alignment horizontal="center" vertical="top" wrapText="1"/>
    </xf>
    <xf numFmtId="3" fontId="6" fillId="0" borderId="1" xfId="0" applyNumberFormat="1" applyFont="1" applyBorder="1" applyAlignment="1">
      <alignment horizontal="left"/>
    </xf>
    <xf numFmtId="3" fontId="11" fillId="0" borderId="1" xfId="0" applyNumberFormat="1" applyFont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49" fontId="0" fillId="0" borderId="1" xfId="0" applyNumberFormat="1" applyFont="1" applyFill="1" applyBorder="1" applyAlignment="1">
      <alignment vertical="top" wrapText="1"/>
    </xf>
    <xf numFmtId="49" fontId="6" fillId="0" borderId="1" xfId="0" applyNumberFormat="1" applyFont="1" applyFill="1" applyBorder="1" applyAlignment="1">
      <alignment vertical="top" wrapText="1"/>
    </xf>
    <xf numFmtId="3" fontId="2" fillId="0" borderId="1" xfId="0" applyNumberFormat="1" applyFont="1" applyBorder="1" applyAlignment="1">
      <alignment wrapText="1"/>
    </xf>
    <xf numFmtId="49" fontId="6" fillId="0" borderId="1" xfId="0" applyNumberFormat="1" applyFont="1" applyFill="1" applyBorder="1" applyAlignment="1">
      <alignment horizontal="center" vertical="justify" wrapText="1"/>
    </xf>
    <xf numFmtId="3" fontId="1" fillId="0" borderId="3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center"/>
    </xf>
    <xf numFmtId="49" fontId="0" fillId="0" borderId="0" xfId="0" applyNumberFormat="1" applyFont="1" applyAlignment="1">
      <alignment horizontal="left" vertical="top" wrapText="1"/>
    </xf>
    <xf numFmtId="0" fontId="19" fillId="0" borderId="0" xfId="0" applyFont="1" applyAlignment="1">
      <alignment/>
    </xf>
    <xf numFmtId="49" fontId="0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centerContinuous" vertical="top" wrapText="1"/>
    </xf>
    <xf numFmtId="49" fontId="6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top" wrapText="1"/>
    </xf>
    <xf numFmtId="49" fontId="0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right"/>
    </xf>
    <xf numFmtId="4" fontId="1" fillId="0" borderId="1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Alignment="1">
      <alignment horizontal="center" vertical="top" wrapText="1"/>
    </xf>
    <xf numFmtId="49" fontId="0" fillId="0" borderId="0" xfId="0" applyNumberFormat="1" applyFont="1" applyFill="1" applyBorder="1" applyAlignment="1">
      <alignment vertical="top" wrapText="1"/>
    </xf>
    <xf numFmtId="49" fontId="1" fillId="0" borderId="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Alignment="1">
      <alignment vertical="top" wrapText="1"/>
    </xf>
    <xf numFmtId="49" fontId="19" fillId="0" borderId="0" xfId="0" applyNumberFormat="1" applyFont="1" applyAlignment="1">
      <alignment vertical="top" wrapText="1"/>
    </xf>
    <xf numFmtId="49" fontId="19" fillId="0" borderId="0" xfId="0" applyNumberFormat="1" applyFont="1" applyAlignment="1">
      <alignment horizontal="center" vertical="top" wrapText="1"/>
    </xf>
    <xf numFmtId="49" fontId="0" fillId="0" borderId="0" xfId="0" applyNumberFormat="1" applyFont="1" applyAlignment="1">
      <alignment horizontal="right" vertical="top" wrapText="1"/>
    </xf>
    <xf numFmtId="49" fontId="11" fillId="0" borderId="1" xfId="0" applyNumberFormat="1" applyFont="1" applyFill="1" applyBorder="1" applyAlignment="1">
      <alignment horizontal="left" vertical="top" wrapText="1"/>
    </xf>
    <xf numFmtId="0" fontId="19" fillId="0" borderId="0" xfId="0" applyFont="1" applyAlignment="1">
      <alignment horizontal="centerContinuous"/>
    </xf>
    <xf numFmtId="49" fontId="1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49" fontId="10" fillId="0" borderId="1" xfId="0" applyNumberFormat="1" applyFont="1" applyFill="1" applyBorder="1" applyAlignment="1">
      <alignment horizontal="center" vertical="top" wrapText="1"/>
    </xf>
    <xf numFmtId="178" fontId="10" fillId="0" borderId="1" xfId="0" applyNumberFormat="1" applyFont="1" applyBorder="1" applyAlignment="1">
      <alignment horizontal="right"/>
    </xf>
    <xf numFmtId="49" fontId="1" fillId="0" borderId="1" xfId="0" applyNumberFormat="1" applyFont="1" applyFill="1" applyBorder="1" applyAlignment="1">
      <alignment horizontal="left" wrapText="1"/>
    </xf>
    <xf numFmtId="178" fontId="1" fillId="0" borderId="1" xfId="0" applyNumberFormat="1" applyFont="1" applyBorder="1" applyAlignment="1">
      <alignment horizontal="right"/>
    </xf>
    <xf numFmtId="49" fontId="1" fillId="0" borderId="1" xfId="0" applyNumberFormat="1" applyFont="1" applyFill="1" applyBorder="1" applyAlignment="1">
      <alignment horizontal="left" vertical="top" wrapText="1"/>
    </xf>
    <xf numFmtId="49" fontId="10" fillId="0" borderId="1" xfId="0" applyNumberFormat="1" applyFont="1" applyFill="1" applyBorder="1" applyAlignment="1">
      <alignment horizontal="left" wrapText="1"/>
    </xf>
    <xf numFmtId="49" fontId="0" fillId="0" borderId="1" xfId="0" applyNumberFormat="1" applyFont="1" applyFill="1" applyBorder="1" applyAlignment="1">
      <alignment horizontal="left" wrapText="1"/>
    </xf>
    <xf numFmtId="49" fontId="0" fillId="0" borderId="5" xfId="0" applyNumberFormat="1" applyFont="1" applyFill="1" applyBorder="1" applyAlignment="1">
      <alignment horizontal="left" vertical="top" wrapText="1"/>
    </xf>
    <xf numFmtId="3" fontId="1" fillId="0" borderId="5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 horizontal="centerContinuous" wrapText="1"/>
    </xf>
    <xf numFmtId="0" fontId="2" fillId="0" borderId="1" xfId="0" applyFont="1" applyBorder="1" applyAlignment="1">
      <alignment horizontal="centerContinuous"/>
    </xf>
    <xf numFmtId="0" fontId="2" fillId="0" borderId="1" xfId="0" applyFont="1" applyBorder="1" applyAlignment="1">
      <alignment horizontal="centerContinuous" vertical="center"/>
    </xf>
    <xf numFmtId="0" fontId="2" fillId="0" borderId="1" xfId="0" applyFont="1" applyBorder="1" applyAlignment="1">
      <alignment horizontal="centerContinuous" vertical="center" wrapText="1"/>
    </xf>
    <xf numFmtId="0" fontId="0" fillId="0" borderId="1" xfId="0" applyFont="1" applyBorder="1" applyAlignment="1">
      <alignment horizontal="centerContinuous"/>
    </xf>
    <xf numFmtId="3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 applyProtection="1">
      <alignment/>
      <protection locked="0"/>
    </xf>
    <xf numFmtId="3" fontId="7" fillId="0" borderId="1" xfId="0" applyNumberFormat="1" applyFont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centerContinuous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7" fillId="0" borderId="1" xfId="0" applyFont="1" applyBorder="1" applyAlignment="1">
      <alignment horizontal="right" wrapText="1"/>
    </xf>
    <xf numFmtId="0" fontId="2" fillId="0" borderId="4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177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centerContinuous" wrapText="1"/>
    </xf>
    <xf numFmtId="0" fontId="0" fillId="0" borderId="1" xfId="0" applyFont="1" applyBorder="1" applyAlignment="1">
      <alignment horizontal="centerContinuous" vertical="center"/>
    </xf>
    <xf numFmtId="0" fontId="0" fillId="0" borderId="1" xfId="0" applyFont="1" applyBorder="1" applyAlignment="1">
      <alignment horizontal="centerContinuous" vertical="center" wrapText="1"/>
    </xf>
    <xf numFmtId="0" fontId="20" fillId="0" borderId="0" xfId="0" applyFont="1" applyAlignment="1">
      <alignment/>
    </xf>
    <xf numFmtId="0" fontId="19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9" fillId="0" borderId="0" xfId="0" applyFont="1" applyBorder="1" applyAlignment="1">
      <alignment wrapText="1"/>
    </xf>
    <xf numFmtId="9" fontId="6" fillId="0" borderId="1" xfId="21" applyNumberFormat="1" applyFont="1" applyBorder="1" applyAlignment="1">
      <alignment horizontal="center"/>
    </xf>
    <xf numFmtId="172" fontId="6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0" fillId="0" borderId="6" xfId="0" applyFont="1" applyBorder="1" applyAlignment="1">
      <alignment wrapText="1"/>
    </xf>
    <xf numFmtId="3" fontId="1" fillId="0" borderId="3" xfId="0" applyNumberFormat="1" applyFont="1" applyBorder="1" applyAlignment="1">
      <alignment horizontal="right"/>
    </xf>
    <xf numFmtId="0" fontId="0" fillId="0" borderId="3" xfId="0" applyFont="1" applyBorder="1" applyAlignment="1">
      <alignment wrapText="1"/>
    </xf>
    <xf numFmtId="3" fontId="1" fillId="0" borderId="1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1" xfId="0" applyFont="1" applyBorder="1" applyAlignment="1">
      <alignment horizontal="centerContinuous"/>
    </xf>
    <xf numFmtId="3" fontId="1" fillId="0" borderId="1" xfId="0" applyNumberFormat="1" applyFont="1" applyBorder="1" applyAlignment="1">
      <alignment horizontal="right"/>
    </xf>
    <xf numFmtId="4" fontId="10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/>
    </xf>
    <xf numFmtId="173" fontId="6" fillId="0" borderId="0" xfId="0" applyNumberFormat="1" applyFont="1" applyBorder="1" applyAlignment="1">
      <alignment/>
    </xf>
    <xf numFmtId="174" fontId="6" fillId="0" borderId="0" xfId="0" applyNumberFormat="1" applyFont="1" applyBorder="1" applyAlignment="1">
      <alignment/>
    </xf>
    <xf numFmtId="172" fontId="6" fillId="0" borderId="0" xfId="0" applyNumberFormat="1" applyFont="1" applyBorder="1" applyAlignment="1">
      <alignment/>
    </xf>
    <xf numFmtId="174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" fontId="10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5" fillId="0" borderId="7" xfId="0" applyFont="1" applyBorder="1" applyAlignment="1">
      <alignment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23" fillId="0" borderId="10" xfId="0" applyFont="1" applyBorder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 horizontal="centerContinuous" vertical="top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/>
    </xf>
    <xf numFmtId="0" fontId="0" fillId="0" borderId="9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0" xfId="0" applyFont="1" applyAlignment="1">
      <alignment vertical="top"/>
    </xf>
    <xf numFmtId="0" fontId="5" fillId="0" borderId="13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9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1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178" fontId="6" fillId="0" borderId="1" xfId="0" applyNumberFormat="1" applyFont="1" applyBorder="1" applyAlignment="1">
      <alignment horizontal="right"/>
    </xf>
    <xf numFmtId="0" fontId="10" fillId="0" borderId="3" xfId="0" applyFont="1" applyBorder="1" applyAlignment="1">
      <alignment horizontal="left"/>
    </xf>
    <xf numFmtId="0" fontId="10" fillId="0" borderId="0" xfId="0" applyFont="1" applyAlignment="1">
      <alignment/>
    </xf>
    <xf numFmtId="0" fontId="10" fillId="0" borderId="4" xfId="0" applyFont="1" applyBorder="1" applyAlignment="1">
      <alignment horizontal="center"/>
    </xf>
    <xf numFmtId="178" fontId="7" fillId="0" borderId="1" xfId="0" applyNumberFormat="1" applyFont="1" applyBorder="1" applyAlignment="1">
      <alignment horizontal="right"/>
    </xf>
    <xf numFmtId="178" fontId="2" fillId="0" borderId="1" xfId="0" applyNumberFormat="1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178" fontId="2" fillId="0" borderId="2" xfId="0" applyNumberFormat="1" applyFont="1" applyBorder="1" applyAlignment="1">
      <alignment horizontal="right"/>
    </xf>
    <xf numFmtId="172" fontId="2" fillId="0" borderId="19" xfId="0" applyNumberFormat="1" applyFont="1" applyBorder="1" applyAlignment="1">
      <alignment horizontal="right"/>
    </xf>
    <xf numFmtId="0" fontId="10" fillId="0" borderId="4" xfId="0" applyFont="1" applyBorder="1" applyAlignment="1">
      <alignment/>
    </xf>
    <xf numFmtId="10" fontId="1" fillId="0" borderId="0" xfId="0" applyNumberFormat="1" applyFont="1" applyBorder="1" applyAlignment="1">
      <alignment/>
    </xf>
    <xf numFmtId="172" fontId="1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10" fontId="2" fillId="0" borderId="0" xfId="0" applyNumberFormat="1" applyFont="1" applyBorder="1" applyAlignment="1">
      <alignment/>
    </xf>
    <xf numFmtId="172" fontId="8" fillId="0" borderId="0" xfId="0" applyNumberFormat="1" applyFont="1" applyAlignment="1">
      <alignment/>
    </xf>
    <xf numFmtId="0" fontId="10" fillId="0" borderId="4" xfId="0" applyFont="1" applyBorder="1" applyAlignment="1">
      <alignment horizontal="left"/>
    </xf>
    <xf numFmtId="3" fontId="1" fillId="0" borderId="0" xfId="0" applyNumberFormat="1" applyFont="1" applyAlignment="1">
      <alignment horizontal="centerContinuous"/>
    </xf>
    <xf numFmtId="172" fontId="1" fillId="0" borderId="0" xfId="0" applyNumberFormat="1" applyFont="1" applyAlignment="1">
      <alignment horizontal="centerContinuous"/>
    </xf>
    <xf numFmtId="10" fontId="1" fillId="0" borderId="0" xfId="0" applyNumberFormat="1" applyFont="1" applyBorder="1" applyAlignment="1">
      <alignment horizontal="centerContinuous"/>
    </xf>
    <xf numFmtId="172" fontId="12" fillId="0" borderId="0" xfId="0" applyNumberFormat="1" applyFont="1" applyAlignment="1">
      <alignment horizontal="centerContinuous"/>
    </xf>
    <xf numFmtId="3" fontId="3" fillId="0" borderId="1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right" wrapText="1"/>
    </xf>
    <xf numFmtId="175" fontId="3" fillId="0" borderId="1" xfId="0" applyNumberFormat="1" applyFont="1" applyBorder="1" applyAlignment="1">
      <alignment horizontal="right" wrapText="1"/>
    </xf>
    <xf numFmtId="14" fontId="0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/>
    </xf>
    <xf numFmtId="3" fontId="4" fillId="0" borderId="4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left" wrapText="1"/>
    </xf>
    <xf numFmtId="3" fontId="0" fillId="0" borderId="0" xfId="0" applyNumberFormat="1" applyFont="1" applyBorder="1" applyAlignment="1">
      <alignment horizontal="right" wrapText="1"/>
    </xf>
    <xf numFmtId="1" fontId="0" fillId="0" borderId="0" xfId="0" applyNumberFormat="1" applyFont="1" applyBorder="1" applyAlignment="1">
      <alignment horizontal="center" wrapText="1"/>
    </xf>
    <xf numFmtId="1" fontId="0" fillId="0" borderId="0" xfId="0" applyNumberFormat="1" applyFont="1" applyBorder="1" applyAlignment="1">
      <alignment horizontal="right" wrapText="1"/>
    </xf>
    <xf numFmtId="172" fontId="0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  <xf numFmtId="3" fontId="10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>
      <alignment horizontal="center" wrapText="1"/>
    </xf>
    <xf numFmtId="3" fontId="6" fillId="0" borderId="1" xfId="0" applyNumberFormat="1" applyFont="1" applyFill="1" applyBorder="1" applyAlignment="1">
      <alignment/>
    </xf>
    <xf numFmtId="3" fontId="6" fillId="0" borderId="1" xfId="0" applyNumberFormat="1" applyFont="1" applyFill="1" applyBorder="1" applyAlignment="1" applyProtection="1">
      <alignment/>
      <protection locked="0"/>
    </xf>
    <xf numFmtId="3" fontId="0" fillId="0" borderId="1" xfId="0" applyNumberFormat="1" applyFont="1" applyFill="1" applyBorder="1" applyAlignment="1">
      <alignment/>
    </xf>
    <xf numFmtId="3" fontId="0" fillId="0" borderId="1" xfId="0" applyNumberFormat="1" applyFont="1" applyFill="1" applyBorder="1" applyAlignment="1" applyProtection="1">
      <alignment/>
      <protection locked="0"/>
    </xf>
    <xf numFmtId="3" fontId="0" fillId="0" borderId="1" xfId="0" applyNumberFormat="1" applyFont="1" applyFill="1" applyBorder="1" applyAlignment="1" applyProtection="1">
      <alignment/>
      <protection locked="0"/>
    </xf>
    <xf numFmtId="0" fontId="0" fillId="0" borderId="1" xfId="0" applyFont="1" applyFill="1" applyBorder="1" applyAlignment="1" applyProtection="1">
      <alignment/>
      <protection locked="0"/>
    </xf>
    <xf numFmtId="2" fontId="0" fillId="0" borderId="1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178" fontId="0" fillId="0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80" fontId="0" fillId="0" borderId="1" xfId="0" applyNumberFormat="1" applyFont="1" applyFill="1" applyBorder="1" applyAlignment="1">
      <alignment horizontal="right" wrapText="1"/>
    </xf>
    <xf numFmtId="172" fontId="1" fillId="0" borderId="1" xfId="0" applyNumberFormat="1" applyFont="1" applyBorder="1" applyAlignment="1">
      <alignment horizontal="center" wrapText="1"/>
    </xf>
    <xf numFmtId="3" fontId="24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center" vertical="top" wrapText="1"/>
    </xf>
    <xf numFmtId="175" fontId="6" fillId="0" borderId="1" xfId="0" applyNumberFormat="1" applyFont="1" applyBorder="1" applyAlignment="1">
      <alignment/>
    </xf>
    <xf numFmtId="175" fontId="6" fillId="0" borderId="1" xfId="0" applyNumberFormat="1" applyFont="1" applyBorder="1" applyAlignment="1">
      <alignment horizontal="right"/>
    </xf>
    <xf numFmtId="175" fontId="0" fillId="0" borderId="1" xfId="0" applyNumberFormat="1" applyFont="1" applyBorder="1" applyAlignment="1">
      <alignment horizontal="right" wrapText="1"/>
    </xf>
    <xf numFmtId="175" fontId="6" fillId="0" borderId="1" xfId="21" applyNumberFormat="1" applyFont="1" applyBorder="1" applyAlignment="1">
      <alignment horizontal="right"/>
    </xf>
    <xf numFmtId="175" fontId="0" fillId="0" borderId="1" xfId="21" applyNumberFormat="1" applyFont="1" applyBorder="1" applyAlignment="1">
      <alignment horizontal="right"/>
    </xf>
    <xf numFmtId="0" fontId="2" fillId="0" borderId="1" xfId="0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0" fontId="2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Continuous"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19" fillId="0" borderId="0" xfId="0" applyFont="1" applyAlignment="1" applyProtection="1">
      <alignment horizontal="centerContinuous"/>
      <protection locked="0"/>
    </xf>
    <xf numFmtId="0" fontId="15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centerContinuous"/>
      <protection locked="0"/>
    </xf>
    <xf numFmtId="0" fontId="3" fillId="0" borderId="0" xfId="0" applyFont="1" applyAlignment="1" applyProtection="1">
      <alignment horizontal="centerContinuous"/>
      <protection locked="0"/>
    </xf>
    <xf numFmtId="0" fontId="20" fillId="0" borderId="0" xfId="0" applyFont="1" applyAlignment="1" applyProtection="1">
      <alignment horizontal="centerContinuous"/>
      <protection locked="0"/>
    </xf>
    <xf numFmtId="0" fontId="7" fillId="0" borderId="0" xfId="0" applyFont="1" applyAlignment="1" applyProtection="1">
      <alignment horizontal="centerContinuous" wrapText="1"/>
      <protection locked="0"/>
    </xf>
    <xf numFmtId="0" fontId="2" fillId="0" borderId="0" xfId="0" applyFont="1" applyAlignment="1" applyProtection="1">
      <alignment horizontal="centerContinuous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1" xfId="0" applyFont="1" applyBorder="1" applyAlignment="1" applyProtection="1">
      <alignment horizontal="centerContinuous"/>
      <protection locked="0"/>
    </xf>
    <xf numFmtId="49" fontId="2" fillId="0" borderId="3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Continuous" vertical="center"/>
      <protection locked="0"/>
    </xf>
    <xf numFmtId="0" fontId="2" fillId="0" borderId="1" xfId="0" applyFont="1" applyBorder="1" applyAlignment="1" applyProtection="1">
      <alignment horizontal="centerContinuous" vertical="center" wrapText="1"/>
      <protection locked="0"/>
    </xf>
    <xf numFmtId="0" fontId="0" fillId="0" borderId="1" xfId="0" applyFont="1" applyBorder="1" applyAlignment="1" applyProtection="1">
      <alignment horizontal="centerContinuous"/>
      <protection locked="0"/>
    </xf>
    <xf numFmtId="49" fontId="2" fillId="0" borderId="20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/>
      <protection locked="0"/>
    </xf>
    <xf numFmtId="49" fontId="21" fillId="0" borderId="1" xfId="0" applyNumberFormat="1" applyFont="1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 applyProtection="1">
      <alignment horizontal="center" vertical="center" wrapText="1"/>
      <protection locked="0"/>
    </xf>
    <xf numFmtId="49" fontId="21" fillId="0" borderId="0" xfId="0" applyNumberFormat="1" applyFont="1" applyAlignment="1" applyProtection="1">
      <alignment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3" fontId="22" fillId="0" borderId="1" xfId="0" applyNumberFormat="1" applyFont="1" applyBorder="1" applyAlignment="1" applyProtection="1">
      <alignment/>
      <protection locked="0"/>
    </xf>
    <xf numFmtId="0" fontId="2" fillId="0" borderId="1" xfId="0" applyFont="1" applyBorder="1" applyAlignment="1" applyProtection="1">
      <alignment/>
      <protection locked="0"/>
    </xf>
    <xf numFmtId="3" fontId="21" fillId="0" borderId="1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3" fontId="2" fillId="0" borderId="1" xfId="0" applyNumberFormat="1" applyFont="1" applyBorder="1" applyAlignment="1" applyProtection="1">
      <alignment horizontal="right"/>
      <protection locked="0"/>
    </xf>
    <xf numFmtId="0" fontId="22" fillId="0" borderId="1" xfId="0" applyFont="1" applyBorder="1" applyAlignment="1" applyProtection="1">
      <alignment horizontal="right" wrapText="1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49" fontId="5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49" fontId="0" fillId="0" borderId="0" xfId="0" applyNumberFormat="1" applyFont="1" applyFill="1" applyBorder="1" applyAlignment="1">
      <alignment horizontal="left" wrapText="1"/>
    </xf>
    <xf numFmtId="49" fontId="0" fillId="0" borderId="0" xfId="0" applyNumberFormat="1" applyFont="1" applyAlignment="1" applyProtection="1">
      <alignment horizontal="centerContinuous" vertical="top" wrapText="1"/>
      <protection locked="0"/>
    </xf>
    <xf numFmtId="0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Alignment="1">
      <alignment horizontal="center"/>
    </xf>
    <xf numFmtId="0" fontId="11" fillId="0" borderId="0" xfId="0" applyFont="1" applyBorder="1" applyAlignment="1">
      <alignment wrapText="1"/>
    </xf>
    <xf numFmtId="3" fontId="0" fillId="0" borderId="1" xfId="0" applyNumberFormat="1" applyBorder="1" applyAlignment="1">
      <alignment/>
    </xf>
    <xf numFmtId="3" fontId="10" fillId="0" borderId="1" xfId="0" applyNumberFormat="1" applyFont="1" applyBorder="1" applyAlignment="1">
      <alignment/>
    </xf>
    <xf numFmtId="3" fontId="11" fillId="0" borderId="0" xfId="0" applyNumberFormat="1" applyFont="1" applyFill="1" applyBorder="1" applyAlignment="1">
      <alignment horizontal="center" wrapText="1"/>
    </xf>
    <xf numFmtId="180" fontId="0" fillId="0" borderId="1" xfId="0" applyNumberFormat="1" applyFont="1" applyFill="1" applyBorder="1" applyAlignment="1" applyProtection="1">
      <alignment horizontal="right" wrapText="1"/>
      <protection locked="0"/>
    </xf>
    <xf numFmtId="3" fontId="0" fillId="0" borderId="1" xfId="0" applyNumberFormat="1" applyFont="1" applyFill="1" applyBorder="1" applyAlignment="1">
      <alignment horizontal="right"/>
    </xf>
    <xf numFmtId="172" fontId="0" fillId="0" borderId="0" xfId="0" applyNumberFormat="1" applyFont="1" applyFill="1" applyBorder="1" applyAlignment="1">
      <alignment/>
    </xf>
    <xf numFmtId="172" fontId="6" fillId="0" borderId="1" xfId="0" applyNumberFormat="1" applyFont="1" applyFill="1" applyBorder="1" applyAlignment="1">
      <alignment horizontal="right" vertical="center" wrapText="1"/>
    </xf>
    <xf numFmtId="172" fontId="6" fillId="0" borderId="1" xfId="0" applyNumberFormat="1" applyFont="1" applyBorder="1" applyAlignment="1">
      <alignment/>
    </xf>
    <xf numFmtId="172" fontId="6" fillId="0" borderId="1" xfId="0" applyNumberFormat="1" applyFont="1" applyFill="1" applyBorder="1" applyAlignment="1">
      <alignment horizontal="right"/>
    </xf>
    <xf numFmtId="172" fontId="0" fillId="0" borderId="1" xfId="0" applyNumberFormat="1" applyFont="1" applyFill="1" applyBorder="1" applyAlignment="1">
      <alignment horizontal="right"/>
    </xf>
    <xf numFmtId="178" fontId="6" fillId="0" borderId="1" xfId="0" applyNumberFormat="1" applyFont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/>
      <protection locked="0"/>
    </xf>
    <xf numFmtId="3" fontId="7" fillId="0" borderId="1" xfId="0" applyNumberFormat="1" applyFont="1" applyFill="1" applyBorder="1" applyAlignment="1" applyProtection="1">
      <alignment/>
      <protection locked="0"/>
    </xf>
    <xf numFmtId="0" fontId="7" fillId="0" borderId="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3" fontId="7" fillId="0" borderId="1" xfId="0" applyNumberFormat="1" applyFont="1" applyFill="1" applyBorder="1" applyAlignment="1">
      <alignment/>
    </xf>
    <xf numFmtId="177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center"/>
    </xf>
    <xf numFmtId="0" fontId="15" fillId="0" borderId="1" xfId="0" applyFont="1" applyFill="1" applyBorder="1" applyAlignment="1">
      <alignment horizontal="centerContinuous"/>
    </xf>
    <xf numFmtId="0" fontId="1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0" fillId="0" borderId="1" xfId="0" applyNumberFormat="1" applyBorder="1" applyAlignment="1">
      <alignment/>
    </xf>
    <xf numFmtId="0" fontId="29" fillId="0" borderId="1" xfId="0" applyFont="1" applyFill="1" applyBorder="1" applyAlignment="1">
      <alignment horizontal="left" wrapText="1"/>
    </xf>
    <xf numFmtId="0" fontId="15" fillId="0" borderId="1" xfId="0" applyFont="1" applyFill="1" applyBorder="1" applyAlignment="1">
      <alignment horizontal="center"/>
    </xf>
    <xf numFmtId="0" fontId="3" fillId="0" borderId="1" xfId="0" applyFont="1" applyBorder="1" applyAlignment="1">
      <alignment/>
    </xf>
    <xf numFmtId="0" fontId="0" fillId="0" borderId="1" xfId="0" applyBorder="1" applyAlignment="1">
      <alignment horizontal="left"/>
    </xf>
    <xf numFmtId="0" fontId="30" fillId="0" borderId="0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30" fillId="0" borderId="0" xfId="0" applyFont="1" applyFill="1" applyBorder="1" applyAlignment="1">
      <alignment horizontal="left" wrapText="1"/>
    </xf>
    <xf numFmtId="0" fontId="0" fillId="0" borderId="1" xfId="0" applyBorder="1" applyAlignment="1">
      <alignment horizontal="left" vertical="center"/>
    </xf>
    <xf numFmtId="0" fontId="15" fillId="0" borderId="1" xfId="0" applyFont="1" applyFill="1" applyBorder="1" applyAlignment="1">
      <alignment horizontal="left"/>
    </xf>
    <xf numFmtId="0" fontId="30" fillId="0" borderId="1" xfId="0" applyFont="1" applyBorder="1" applyAlignment="1">
      <alignment/>
    </xf>
    <xf numFmtId="0" fontId="15" fillId="0" borderId="0" xfId="0" applyFont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1" xfId="0" applyFont="1" applyBorder="1" applyAlignment="1">
      <alignment horizontal="right" vertical="center" wrapText="1"/>
    </xf>
    <xf numFmtId="178" fontId="1" fillId="0" borderId="0" xfId="21" applyNumberFormat="1" applyFont="1" applyBorder="1" applyAlignment="1">
      <alignment horizontal="center"/>
    </xf>
    <xf numFmtId="3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0" fontId="0" fillId="0" borderId="20" xfId="0" applyFont="1" applyFill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/>
    </xf>
    <xf numFmtId="178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72" fontId="2" fillId="0" borderId="20" xfId="0" applyNumberFormat="1" applyFont="1" applyFill="1" applyBorder="1" applyAlignment="1">
      <alignment horizontal="center" vertical="center" wrapText="1"/>
    </xf>
    <xf numFmtId="172" fontId="0" fillId="0" borderId="0" xfId="0" applyNumberFormat="1" applyAlignment="1">
      <alignment/>
    </xf>
    <xf numFmtId="3" fontId="0" fillId="0" borderId="0" xfId="0" applyNumberFormat="1" applyFont="1" applyBorder="1" applyAlignment="1" applyProtection="1">
      <alignment/>
      <protection locked="0"/>
    </xf>
    <xf numFmtId="3" fontId="6" fillId="0" borderId="0" xfId="0" applyNumberFormat="1" applyFont="1" applyAlignment="1">
      <alignment/>
    </xf>
    <xf numFmtId="0" fontId="6" fillId="0" borderId="0" xfId="0" applyFont="1" applyAlignment="1">
      <alignment wrapText="1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0" fontId="0" fillId="0" borderId="1" xfId="0" applyFill="1" applyBorder="1" applyAlignment="1">
      <alignment/>
    </xf>
    <xf numFmtId="178" fontId="0" fillId="0" borderId="1" xfId="0" applyNumberFormat="1" applyFont="1" applyBorder="1" applyAlignment="1">
      <alignment/>
    </xf>
    <xf numFmtId="175" fontId="1" fillId="0" borderId="1" xfId="21" applyNumberFormat="1" applyFont="1" applyBorder="1" applyAlignment="1">
      <alignment horizontal="right"/>
    </xf>
    <xf numFmtId="175" fontId="10" fillId="0" borderId="1" xfId="21" applyNumberFormat="1" applyFont="1" applyBorder="1" applyAlignment="1">
      <alignment horizontal="right"/>
    </xf>
    <xf numFmtId="175" fontId="1" fillId="0" borderId="1" xfId="0" applyNumberFormat="1" applyFont="1" applyBorder="1" applyAlignment="1">
      <alignment horizontal="right"/>
    </xf>
    <xf numFmtId="1" fontId="5" fillId="0" borderId="1" xfId="0" applyNumberFormat="1" applyFont="1" applyBorder="1" applyAlignment="1">
      <alignment horizontal="right" wrapText="1"/>
    </xf>
    <xf numFmtId="172" fontId="10" fillId="3" borderId="1" xfId="0" applyNumberFormat="1" applyFont="1" applyFill="1" applyBorder="1" applyAlignment="1">
      <alignment/>
    </xf>
    <xf numFmtId="172" fontId="1" fillId="3" borderId="1" xfId="0" applyNumberFormat="1" applyFont="1" applyFill="1" applyBorder="1" applyAlignment="1">
      <alignment/>
    </xf>
    <xf numFmtId="0" fontId="0" fillId="3" borderId="1" xfId="0" applyFont="1" applyFill="1" applyBorder="1" applyAlignment="1">
      <alignment horizontal="left"/>
    </xf>
    <xf numFmtId="3" fontId="6" fillId="0" borderId="0" xfId="0" applyNumberFormat="1" applyFont="1" applyBorder="1" applyAlignment="1">
      <alignment/>
    </xf>
    <xf numFmtId="180" fontId="4" fillId="3" borderId="1" xfId="0" applyNumberFormat="1" applyFont="1" applyFill="1" applyBorder="1" applyAlignment="1">
      <alignment horizontal="right" wrapText="1"/>
    </xf>
    <xf numFmtId="180" fontId="0" fillId="3" borderId="1" xfId="0" applyNumberFormat="1" applyFont="1" applyFill="1" applyBorder="1" applyAlignment="1">
      <alignment horizontal="right" wrapText="1"/>
    </xf>
    <xf numFmtId="3" fontId="4" fillId="3" borderId="1" xfId="0" applyNumberFormat="1" applyFont="1" applyFill="1" applyBorder="1" applyAlignment="1">
      <alignment/>
    </xf>
    <xf numFmtId="3" fontId="4" fillId="3" borderId="1" xfId="0" applyNumberFormat="1" applyFont="1" applyFill="1" applyBorder="1" applyAlignment="1">
      <alignment/>
    </xf>
    <xf numFmtId="180" fontId="0" fillId="3" borderId="1" xfId="0" applyNumberFormat="1" applyFont="1" applyFill="1" applyBorder="1" applyAlignment="1">
      <alignment horizontal="right" vertical="center" wrapText="1"/>
    </xf>
    <xf numFmtId="180" fontId="0" fillId="3" borderId="1" xfId="0" applyNumberFormat="1" applyFont="1" applyFill="1" applyBorder="1" applyAlignment="1">
      <alignment horizontal="center"/>
    </xf>
    <xf numFmtId="3" fontId="4" fillId="3" borderId="1" xfId="0" applyNumberFormat="1" applyFont="1" applyFill="1" applyBorder="1" applyAlignment="1">
      <alignment horizontal="right"/>
    </xf>
    <xf numFmtId="172" fontId="0" fillId="3" borderId="1" xfId="0" applyNumberFormat="1" applyFont="1" applyFill="1" applyBorder="1" applyAlignment="1">
      <alignment horizontal="center"/>
    </xf>
    <xf numFmtId="3" fontId="5" fillId="3" borderId="1" xfId="0" applyNumberFormat="1" applyFont="1" applyFill="1" applyBorder="1" applyAlignment="1">
      <alignment horizontal="right"/>
    </xf>
    <xf numFmtId="180" fontId="11" fillId="3" borderId="1" xfId="0" applyNumberFormat="1" applyFont="1" applyFill="1" applyBorder="1" applyAlignment="1">
      <alignment horizontal="center"/>
    </xf>
    <xf numFmtId="180" fontId="0" fillId="3" borderId="1" xfId="0" applyNumberFormat="1" applyFont="1" applyFill="1" applyBorder="1" applyAlignment="1">
      <alignment horizontal="center" wrapText="1"/>
    </xf>
    <xf numFmtId="3" fontId="5" fillId="3" borderId="1" xfId="0" applyNumberFormat="1" applyFont="1" applyFill="1" applyBorder="1" applyAlignment="1">
      <alignment horizontal="center"/>
    </xf>
    <xf numFmtId="1" fontId="0" fillId="3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49" fontId="22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4" xfId="0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left" wrapText="1"/>
    </xf>
    <xf numFmtId="3" fontId="4" fillId="0" borderId="1" xfId="0" applyNumberFormat="1" applyFont="1" applyBorder="1" applyAlignment="1">
      <alignment horizontal="right" wrapText="1"/>
    </xf>
    <xf numFmtId="175" fontId="4" fillId="0" borderId="1" xfId="0" applyNumberFormat="1" applyFont="1" applyBorder="1" applyAlignment="1">
      <alignment horizontal="right" wrapText="1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Alignment="1">
      <alignment horizontal="center" vertical="top" wrapText="1"/>
    </xf>
    <xf numFmtId="0" fontId="0" fillId="0" borderId="6" xfId="0" applyFont="1" applyBorder="1" applyAlignment="1">
      <alignment horizontal="left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/>
    </xf>
    <xf numFmtId="178" fontId="3" fillId="0" borderId="0" xfId="0" applyNumberFormat="1" applyFont="1" applyFill="1" applyAlignment="1">
      <alignment horizontal="center"/>
    </xf>
    <xf numFmtId="2" fontId="15" fillId="0" borderId="0" xfId="0" applyNumberFormat="1" applyFont="1" applyAlignment="1" applyProtection="1">
      <alignment horizontal="center"/>
      <protection locked="0"/>
    </xf>
    <xf numFmtId="178" fontId="5" fillId="0" borderId="0" xfId="0" applyNumberFormat="1" applyFont="1" applyFill="1" applyAlignment="1" applyProtection="1">
      <alignment horizontal="center"/>
      <protection locked="0"/>
    </xf>
    <xf numFmtId="0" fontId="5" fillId="0" borderId="0" xfId="0" applyFont="1" applyBorder="1" applyAlignment="1">
      <alignment horizontal="right" wrapText="1"/>
    </xf>
    <xf numFmtId="3" fontId="5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" fontId="11" fillId="0" borderId="0" xfId="0" applyNumberFormat="1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178" fontId="11" fillId="0" borderId="0" xfId="0" applyNumberFormat="1" applyFont="1" applyBorder="1" applyAlignment="1">
      <alignment horizontal="left" wrapText="1"/>
    </xf>
    <xf numFmtId="2" fontId="0" fillId="0" borderId="0" xfId="0" applyNumberFormat="1" applyFont="1" applyAlignment="1">
      <alignment horizontal="center"/>
    </xf>
    <xf numFmtId="178" fontId="0" fillId="0" borderId="0" xfId="0" applyNumberFormat="1" applyFont="1" applyFill="1" applyAlignment="1">
      <alignment horizontal="center"/>
    </xf>
    <xf numFmtId="2" fontId="15" fillId="0" borderId="0" xfId="0" applyNumberFormat="1" applyFont="1" applyAlignment="1">
      <alignment horizontal="center"/>
    </xf>
    <xf numFmtId="0" fontId="0" fillId="0" borderId="5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9" fontId="6" fillId="0" borderId="0" xfId="0" applyNumberFormat="1" applyFont="1" applyAlignment="1">
      <alignment horizontal="center" vertical="top" wrapText="1"/>
    </xf>
    <xf numFmtId="49" fontId="0" fillId="0" borderId="0" xfId="0" applyNumberFormat="1" applyFont="1" applyAlignment="1">
      <alignment horizontal="center" vertical="top" wrapText="1"/>
    </xf>
    <xf numFmtId="49" fontId="0" fillId="0" borderId="0" xfId="0" applyNumberFormat="1" applyFont="1" applyFill="1" applyBorder="1" applyAlignment="1">
      <alignment horizontal="center" wrapText="1"/>
    </xf>
    <xf numFmtId="49" fontId="2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4" xfId="0" applyFont="1" applyFill="1" applyBorder="1" applyAlignment="1" applyProtection="1">
      <alignment horizontal="center" vertical="center"/>
      <protection locked="0"/>
    </xf>
    <xf numFmtId="49" fontId="21" fillId="0" borderId="3" xfId="0" applyNumberFormat="1" applyFont="1" applyBorder="1" applyAlignment="1" applyProtection="1">
      <alignment horizontal="center" vertical="center" wrapText="1"/>
      <protection locked="0"/>
    </xf>
    <xf numFmtId="0" fontId="21" fillId="0" borderId="4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wrapText="1"/>
      <protection locked="0"/>
    </xf>
    <xf numFmtId="49" fontId="5" fillId="0" borderId="0" xfId="0" applyNumberFormat="1" applyFont="1" applyAlignment="1" applyProtection="1">
      <alignment horizontal="center" vertical="top" wrapText="1"/>
      <protection locked="0"/>
    </xf>
    <xf numFmtId="49" fontId="21" fillId="0" borderId="20" xfId="0" applyNumberFormat="1" applyFont="1" applyBorder="1" applyAlignment="1" applyProtection="1">
      <alignment horizontal="center" vertical="center" wrapText="1"/>
      <protection locked="0"/>
    </xf>
    <xf numFmtId="49" fontId="21" fillId="0" borderId="4" xfId="0" applyNumberFormat="1" applyFont="1" applyBorder="1" applyAlignment="1" applyProtection="1">
      <alignment horizontal="center" vertical="center" wrapText="1"/>
      <protection locked="0"/>
    </xf>
    <xf numFmtId="0" fontId="21" fillId="0" borderId="20" xfId="0" applyFont="1" applyBorder="1" applyAlignment="1" applyProtection="1">
      <alignment horizontal="center" vertical="center" wrapText="1"/>
      <protection locked="0"/>
    </xf>
    <xf numFmtId="0" fontId="21" fillId="0" borderId="4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left" wrapText="1"/>
      <protection locked="0"/>
    </xf>
    <xf numFmtId="0" fontId="2" fillId="0" borderId="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5" xfId="0" applyFont="1" applyBorder="1" applyAlignment="1">
      <alignment horizontal="left" wrapText="1"/>
    </xf>
    <xf numFmtId="49" fontId="5" fillId="0" borderId="0" xfId="0" applyNumberFormat="1" applyFont="1" applyAlignment="1">
      <alignment horizontal="center" vertical="top" wrapText="1"/>
    </xf>
    <xf numFmtId="49" fontId="1" fillId="0" borderId="0" xfId="0" applyNumberFormat="1" applyFont="1" applyAlignment="1">
      <alignment horizontal="center" vertical="top" wrapText="1"/>
    </xf>
    <xf numFmtId="0" fontId="2" fillId="0" borderId="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0" fillId="0" borderId="1" xfId="0" applyFont="1" applyFill="1" applyBorder="1" applyAlignment="1">
      <alignment horizontal="left" wrapText="1"/>
    </xf>
    <xf numFmtId="0" fontId="30" fillId="0" borderId="23" xfId="0" applyFont="1" applyFill="1" applyBorder="1" applyAlignment="1">
      <alignment horizontal="left" wrapText="1"/>
    </xf>
    <xf numFmtId="0" fontId="30" fillId="0" borderId="19" xfId="0" applyFont="1" applyFill="1" applyBorder="1" applyAlignment="1">
      <alignment horizontal="left" wrapText="1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right"/>
    </xf>
    <xf numFmtId="4" fontId="4" fillId="0" borderId="0" xfId="0" applyNumberFormat="1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externalLink" Target="externalLinks/externalLink1.xml" /><Relationship Id="rId36" Type="http://schemas.openxmlformats.org/officeDocument/2006/relationships/externalLink" Target="externalLinks/externalLink2.xml" /><Relationship Id="rId37" Type="http://schemas.openxmlformats.org/officeDocument/2006/relationships/externalLink" Target="externalLinks/externalLink3.xml" /><Relationship Id="rId38" Type="http://schemas.openxmlformats.org/officeDocument/2006/relationships/externalLink" Target="externalLinks/externalLink4.xml" /><Relationship Id="rId39" Type="http://schemas.openxmlformats.org/officeDocument/2006/relationships/externalLink" Target="externalLinks/externalLink5.xml" /><Relationship Id="rId40" Type="http://schemas.openxmlformats.org/officeDocument/2006/relationships/externalLink" Target="externalLinks/externalLink6.xml" /><Relationship Id="rId41" Type="http://schemas.openxmlformats.org/officeDocument/2006/relationships/externalLink" Target="externalLinks/externalLink7.xml" /><Relationship Id="rId42" Type="http://schemas.openxmlformats.org/officeDocument/2006/relationships/externalLink" Target="externalLinks/externalLink8.xml" /><Relationship Id="rId43" Type="http://schemas.openxmlformats.org/officeDocument/2006/relationships/externalLink" Target="externalLinks/externalLink9.xml" /><Relationship Id="rId44" Type="http://schemas.openxmlformats.org/officeDocument/2006/relationships/externalLink" Target="externalLinks/externalLink10.xml" /><Relationship Id="rId45" Type="http://schemas.openxmlformats.org/officeDocument/2006/relationships/externalLink" Target="externalLinks/externalLink11.xml" /><Relationship Id="rId46" Type="http://schemas.openxmlformats.org/officeDocument/2006/relationships/externalLink" Target="externalLinks/externalLink12.xml" /><Relationship Id="rId47" Type="http://schemas.openxmlformats.org/officeDocument/2006/relationships/externalLink" Target="externalLinks/externalLink13.xml" /><Relationship Id="rId48" Type="http://schemas.openxmlformats.org/officeDocument/2006/relationships/externalLink" Target="externalLinks/externalLink14.xml" /><Relationship Id="rId49" Type="http://schemas.openxmlformats.org/officeDocument/2006/relationships/externalLink" Target="externalLinks/externalLink15.xml" /><Relationship Id="rId50" Type="http://schemas.openxmlformats.org/officeDocument/2006/relationships/externalLink" Target="externalLinks/externalLink16.xml" /><Relationship Id="rId51" Type="http://schemas.openxmlformats.org/officeDocument/2006/relationships/externalLink" Target="externalLinks/externalLink17.xml" /><Relationship Id="rId52" Type="http://schemas.openxmlformats.org/officeDocument/2006/relationships/externalLink" Target="externalLinks/externalLink18.xml" /><Relationship Id="rId53" Type="http://schemas.openxmlformats.org/officeDocument/2006/relationships/externalLink" Target="externalLinks/externalLink19.xml" /><Relationship Id="rId54" Type="http://schemas.openxmlformats.org/officeDocument/2006/relationships/externalLink" Target="externalLinks/externalLink20.xml" /><Relationship Id="rId55" Type="http://schemas.openxmlformats.org/officeDocument/2006/relationships/externalLink" Target="externalLinks/externalLink21.xml" /><Relationship Id="rId56" Type="http://schemas.openxmlformats.org/officeDocument/2006/relationships/externalLink" Target="externalLinks/externalLink22.xml" /><Relationship Id="rId57" Type="http://schemas.openxmlformats.org/officeDocument/2006/relationships/externalLink" Target="externalLinks/externalLink23.xml" /><Relationship Id="rId58" Type="http://schemas.openxmlformats.org/officeDocument/2006/relationships/externalLink" Target="externalLinks/externalLink24.xml" /><Relationship Id="rId59" Type="http://schemas.openxmlformats.org/officeDocument/2006/relationships/externalLink" Target="externalLinks/externalLink25.xml" /><Relationship Id="rId60" Type="http://schemas.openxmlformats.org/officeDocument/2006/relationships/externalLink" Target="externalLinks/externalLink26.xml" /><Relationship Id="rId6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CE\menesa%20parskats%202001\Pasvaldibu%20menesis\1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ACE\menesa%20parskats%202001\31-ispa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ACE\menesa%20parskats%202001\kopbudzet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ACE\menesa%20parskats%202001\1-konsolidetai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ACE\menesa%20parskats%202001\2.tabula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ACE\menesa%20parskats%202001\4.tabula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ACE\menesa%20parskats%202001\5.tabula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ACE\menesa%20parskats%202001\Darbam-spec.bu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ACE\menesa%20parskats%202001\7-SBU-EKK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ACE\menesa%20parskats%202001\8-SBU-vald.f.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DACE\menesa%20parskats%202001\9.ta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CE\menesa%20parskats%202001\Pasvaldibu%20menesis\16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DACE\menesa%20parskats%202001\ziedojdav_darbam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DACE\menesa%20parskats%202001\11.tab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DACE\menesa%20parskats%202001\12-arv.fin.pal.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DACE\menesa%20parskats%202001\Pasvaldibu%20menesis\13-1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DACE\menesa%20parskats%202001\Pasvaldibu%20menesis\22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DACE\menesa%20parskats%202001\Pasvaldibu%20menesis\23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DACE\menesa%20parskats%202001\29-NAT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CE\menesa%20parskats%202001\Pasvaldibu%20menesis\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A9.ta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ACE\menesa%20parskats%202001\3.tabul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ACE\menesa%20parskats%202001\6-%20SBU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ACE\menesa%20parskats%202001\10.tab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ACE\menesa%20parskats%202001\Pasvaldibu%20menesis\17tab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ACE\menesa%20parskats%202001\Pasvaldibu%20menesis\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aris"/>
      <sheetName val="Marts"/>
      <sheetName val="Aprilis"/>
      <sheetName val="Maijs"/>
      <sheetName val="Junijs"/>
      <sheetName val="Jūlijs"/>
      <sheetName val="Augusts"/>
      <sheetName val="Septembris"/>
      <sheetName val="Oktobris"/>
      <sheetName val="Novembris"/>
    </sheetNames>
    <sheetDataSet>
      <sheetData sheetId="2">
        <row r="9">
          <cell r="C9">
            <v>0</v>
          </cell>
        </row>
        <row r="15">
          <cell r="C15">
            <v>0</v>
          </cell>
        </row>
      </sheetData>
      <sheetData sheetId="9">
        <row r="13">
          <cell r="H13">
            <v>166315</v>
          </cell>
        </row>
        <row r="14">
          <cell r="H14">
            <v>1055</v>
          </cell>
        </row>
        <row r="15">
          <cell r="H15">
            <v>36130</v>
          </cell>
        </row>
        <row r="16">
          <cell r="H16">
            <v>18581</v>
          </cell>
        </row>
        <row r="17">
          <cell r="H17">
            <v>17549</v>
          </cell>
        </row>
        <row r="18">
          <cell r="H18">
            <v>1343</v>
          </cell>
        </row>
        <row r="19">
          <cell r="H19">
            <v>911</v>
          </cell>
        </row>
        <row r="21">
          <cell r="H21">
            <v>1072</v>
          </cell>
        </row>
        <row r="23">
          <cell r="H23">
            <v>413</v>
          </cell>
        </row>
        <row r="24">
          <cell r="H24">
            <v>2973</v>
          </cell>
        </row>
        <row r="25">
          <cell r="H25">
            <v>234</v>
          </cell>
        </row>
        <row r="26">
          <cell r="H26">
            <v>10533</v>
          </cell>
        </row>
        <row r="27">
          <cell r="H27">
            <v>528</v>
          </cell>
        </row>
        <row r="28">
          <cell r="H28">
            <v>109</v>
          </cell>
        </row>
        <row r="29">
          <cell r="H29">
            <v>21197</v>
          </cell>
        </row>
        <row r="32">
          <cell r="H32">
            <v>5520</v>
          </cell>
        </row>
        <row r="33">
          <cell r="H33">
            <v>447</v>
          </cell>
        </row>
        <row r="34">
          <cell r="H34">
            <v>1081</v>
          </cell>
        </row>
        <row r="36">
          <cell r="H36">
            <v>226</v>
          </cell>
        </row>
        <row r="37">
          <cell r="H37">
            <v>93447</v>
          </cell>
        </row>
        <row r="40">
          <cell r="H40">
            <v>28635</v>
          </cell>
        </row>
        <row r="43">
          <cell r="H43">
            <v>1410</v>
          </cell>
        </row>
      </sheetData>
      <sheetData sheetId="10">
        <row r="9">
          <cell r="G9">
            <v>446903</v>
          </cell>
          <cell r="H9">
            <v>413027</v>
          </cell>
        </row>
        <row r="11">
          <cell r="G11">
            <v>247283</v>
          </cell>
          <cell r="H11">
            <v>228978</v>
          </cell>
        </row>
        <row r="22">
          <cell r="G22">
            <v>18323</v>
          </cell>
          <cell r="H22">
            <v>15968</v>
          </cell>
        </row>
        <row r="29">
          <cell r="G29">
            <v>26113</v>
          </cell>
          <cell r="H29">
            <v>23922</v>
          </cell>
        </row>
        <row r="30">
          <cell r="G30">
            <v>155184</v>
          </cell>
          <cell r="H30">
            <v>144159</v>
          </cell>
        </row>
        <row r="31">
          <cell r="G31">
            <v>8857</v>
          </cell>
          <cell r="H31">
            <v>8177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Jūlijs"/>
      <sheetName val="Augusts"/>
      <sheetName val="Septembris"/>
      <sheetName val="Oktobris"/>
      <sheetName val="novembris"/>
    </sheetNames>
    <sheetDataSet>
      <sheetData sheetId="2">
        <row r="20">
          <cell r="G20">
            <v>0</v>
          </cell>
        </row>
        <row r="24">
          <cell r="E24">
            <v>0</v>
          </cell>
        </row>
        <row r="28">
          <cell r="G28">
            <v>0</v>
          </cell>
        </row>
        <row r="33">
          <cell r="E33">
            <v>426</v>
          </cell>
        </row>
        <row r="35">
          <cell r="E35">
            <v>481</v>
          </cell>
        </row>
        <row r="42">
          <cell r="E42">
            <v>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ilis"/>
      <sheetName val="Maijs"/>
      <sheetName val="Junijs"/>
      <sheetName val="Julijs"/>
      <sheetName val="Augusts"/>
      <sheetName val="Septembris"/>
      <sheetName val="Oktobris"/>
      <sheetName val="Novembris"/>
    </sheetNames>
    <sheetDataSet>
      <sheetData sheetId="9">
        <row r="11">
          <cell r="D11">
            <v>1529501</v>
          </cell>
        </row>
        <row r="12">
          <cell r="D12">
            <v>97011</v>
          </cell>
        </row>
        <row r="13">
          <cell r="D13">
            <v>11854</v>
          </cell>
        </row>
        <row r="14">
          <cell r="D14">
            <v>1420636</v>
          </cell>
        </row>
        <row r="15">
          <cell r="D15">
            <v>1578302</v>
          </cell>
        </row>
        <row r="16">
          <cell r="D16">
            <v>97011</v>
          </cell>
        </row>
        <row r="17">
          <cell r="D17">
            <v>11854</v>
          </cell>
        </row>
        <row r="18">
          <cell r="D18">
            <v>1469437</v>
          </cell>
        </row>
        <row r="19">
          <cell r="D19">
            <v>-48801</v>
          </cell>
        </row>
        <row r="20">
          <cell r="D20">
            <v>-2801</v>
          </cell>
        </row>
        <row r="21">
          <cell r="D21">
            <v>32910</v>
          </cell>
        </row>
        <row r="22">
          <cell r="D22">
            <v>22947</v>
          </cell>
        </row>
        <row r="23">
          <cell r="D23">
            <v>9963</v>
          </cell>
        </row>
        <row r="24">
          <cell r="D24">
            <v>29890</v>
          </cell>
        </row>
        <row r="25">
          <cell r="D25">
            <v>17126</v>
          </cell>
        </row>
        <row r="26">
          <cell r="D26">
            <v>12764</v>
          </cell>
        </row>
        <row r="27">
          <cell r="D27">
            <v>-46000</v>
          </cell>
        </row>
        <row r="28">
          <cell r="D28">
            <v>46000</v>
          </cell>
        </row>
        <row r="29">
          <cell r="D29">
            <v>46934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5821</v>
          </cell>
        </row>
        <row r="33">
          <cell r="D33">
            <v>-5821</v>
          </cell>
        </row>
        <row r="35">
          <cell r="D35">
            <v>-44247</v>
          </cell>
        </row>
        <row r="36">
          <cell r="D36">
            <v>-26513</v>
          </cell>
        </row>
        <row r="37">
          <cell r="D37">
            <v>12318</v>
          </cell>
        </row>
        <row r="38">
          <cell r="D38">
            <v>-7624</v>
          </cell>
        </row>
        <row r="39">
          <cell r="D39">
            <v>-22428</v>
          </cell>
        </row>
        <row r="40">
          <cell r="D40">
            <v>-5394</v>
          </cell>
        </row>
        <row r="41">
          <cell r="D41">
            <v>904</v>
          </cell>
        </row>
        <row r="42">
          <cell r="D42">
            <v>-13984</v>
          </cell>
        </row>
        <row r="43">
          <cell r="D43">
            <v>-19779</v>
          </cell>
        </row>
        <row r="44">
          <cell r="D44">
            <v>-136</v>
          </cell>
        </row>
        <row r="45">
          <cell r="D45">
            <v>27601</v>
          </cell>
        </row>
        <row r="46">
          <cell r="D46">
            <v>96575</v>
          </cell>
        </row>
        <row r="47">
          <cell r="D47">
            <v>25386</v>
          </cell>
        </row>
        <row r="48">
          <cell r="D48">
            <v>41034</v>
          </cell>
        </row>
        <row r="49">
          <cell r="D49">
            <v>30155</v>
          </cell>
        </row>
        <row r="50">
          <cell r="D50">
            <v>-934</v>
          </cell>
        </row>
        <row r="51">
          <cell r="D51">
            <v>-526</v>
          </cell>
        </row>
        <row r="52">
          <cell r="D52">
            <v>-408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ilis"/>
      <sheetName val="Maijs"/>
      <sheetName val="Junijs"/>
      <sheetName val="Julijs"/>
      <sheetName val="Augusts"/>
      <sheetName val="Septembris"/>
      <sheetName val="Oktobris"/>
      <sheetName val="Novembris"/>
    </sheetNames>
    <sheetDataSet>
      <sheetData sheetId="9">
        <row r="10">
          <cell r="H10">
            <v>1155128</v>
          </cell>
        </row>
        <row r="11">
          <cell r="H11">
            <v>629740</v>
          </cell>
        </row>
        <row r="12">
          <cell r="H12">
            <v>496375</v>
          </cell>
        </row>
        <row r="13">
          <cell r="H13">
            <v>81505</v>
          </cell>
        </row>
        <row r="14">
          <cell r="H14">
            <v>81505</v>
          </cell>
        </row>
        <row r="15">
          <cell r="H15">
            <v>407363</v>
          </cell>
        </row>
        <row r="16">
          <cell r="H16">
            <v>297695</v>
          </cell>
        </row>
        <row r="17">
          <cell r="H17">
            <v>96980</v>
          </cell>
        </row>
        <row r="18">
          <cell r="H18">
            <v>12688</v>
          </cell>
        </row>
        <row r="19">
          <cell r="H19">
            <v>3359</v>
          </cell>
        </row>
        <row r="20">
          <cell r="H20">
            <v>3359</v>
          </cell>
        </row>
        <row r="21">
          <cell r="H21">
            <v>4148</v>
          </cell>
        </row>
        <row r="22">
          <cell r="H22">
            <v>58197</v>
          </cell>
        </row>
        <row r="23">
          <cell r="H23">
            <v>51926</v>
          </cell>
        </row>
        <row r="24">
          <cell r="H24">
            <v>23242</v>
          </cell>
        </row>
        <row r="25">
          <cell r="H25">
            <v>1001</v>
          </cell>
        </row>
        <row r="26">
          <cell r="H26">
            <v>628739</v>
          </cell>
        </row>
        <row r="27">
          <cell r="H27">
            <v>582374</v>
          </cell>
        </row>
        <row r="28">
          <cell r="H28">
            <v>503682</v>
          </cell>
        </row>
        <row r="29">
          <cell r="H29">
            <v>396042</v>
          </cell>
        </row>
        <row r="30">
          <cell r="H30">
            <v>36269</v>
          </cell>
        </row>
        <row r="31">
          <cell r="H31">
            <v>64904</v>
          </cell>
        </row>
        <row r="32">
          <cell r="H32">
            <v>6467</v>
          </cell>
        </row>
        <row r="33">
          <cell r="H33">
            <v>73767</v>
          </cell>
        </row>
        <row r="34">
          <cell r="H34">
            <v>2570</v>
          </cell>
        </row>
        <row r="35">
          <cell r="H35">
            <v>2355</v>
          </cell>
        </row>
        <row r="36">
          <cell r="H36">
            <v>55985</v>
          </cell>
        </row>
        <row r="37">
          <cell r="H37">
            <v>526389</v>
          </cell>
        </row>
        <row r="38">
          <cell r="H38">
            <v>1178918</v>
          </cell>
        </row>
        <row r="39">
          <cell r="H39">
            <v>1115011</v>
          </cell>
        </row>
        <row r="40">
          <cell r="H40">
            <v>20692</v>
          </cell>
        </row>
        <row r="41">
          <cell r="H41">
            <v>43215</v>
          </cell>
        </row>
        <row r="42">
          <cell r="H42">
            <v>-23790</v>
          </cell>
        </row>
        <row r="43">
          <cell r="H43">
            <v>6815</v>
          </cell>
        </row>
        <row r="44">
          <cell r="H44">
            <v>1185733</v>
          </cell>
        </row>
        <row r="45">
          <cell r="H45">
            <v>-30605</v>
          </cell>
        </row>
        <row r="47">
          <cell r="H47">
            <v>14550</v>
          </cell>
        </row>
        <row r="48">
          <cell r="H48">
            <v>883</v>
          </cell>
        </row>
        <row r="49">
          <cell r="H49">
            <v>45681</v>
          </cell>
        </row>
        <row r="50">
          <cell r="H50">
            <v>-30509</v>
          </cell>
        </row>
        <row r="51">
          <cell r="H51">
            <v>635757</v>
          </cell>
        </row>
        <row r="52">
          <cell r="H52">
            <v>55985</v>
          </cell>
        </row>
        <row r="53">
          <cell r="H53">
            <v>579772</v>
          </cell>
        </row>
        <row r="54">
          <cell r="H54">
            <v>589901</v>
          </cell>
        </row>
        <row r="55">
          <cell r="H55">
            <v>55240</v>
          </cell>
        </row>
        <row r="56">
          <cell r="H56">
            <v>534661</v>
          </cell>
        </row>
        <row r="57">
          <cell r="H57">
            <v>12176</v>
          </cell>
        </row>
        <row r="58">
          <cell r="H58">
            <v>12176</v>
          </cell>
        </row>
        <row r="59">
          <cell r="H59">
            <v>33680</v>
          </cell>
        </row>
        <row r="60">
          <cell r="H60">
            <v>745</v>
          </cell>
        </row>
        <row r="61">
          <cell r="H61">
            <v>32935</v>
          </cell>
        </row>
        <row r="62">
          <cell r="H62">
            <v>-6017</v>
          </cell>
        </row>
        <row r="63">
          <cell r="H63">
            <v>2138</v>
          </cell>
        </row>
        <row r="64">
          <cell r="H64">
            <v>31050</v>
          </cell>
        </row>
        <row r="65">
          <cell r="H65">
            <v>28912</v>
          </cell>
        </row>
        <row r="66">
          <cell r="H66">
            <v>2138</v>
          </cell>
        </row>
        <row r="67">
          <cell r="H67">
            <v>-37067</v>
          </cell>
        </row>
        <row r="69">
          <cell r="H69">
            <v>14550</v>
          </cell>
        </row>
        <row r="70">
          <cell r="H70">
            <v>883</v>
          </cell>
        </row>
        <row r="71">
          <cell r="H71">
            <v>21141</v>
          </cell>
        </row>
        <row r="72">
          <cell r="H72">
            <v>493</v>
          </cell>
        </row>
        <row r="73">
          <cell r="H73">
            <v>600147</v>
          </cell>
        </row>
        <row r="74">
          <cell r="H74">
            <v>1001</v>
          </cell>
        </row>
        <row r="75">
          <cell r="H75">
            <v>599146</v>
          </cell>
        </row>
        <row r="76">
          <cell r="H76">
            <v>581351</v>
          </cell>
        </row>
        <row r="77">
          <cell r="H77">
            <v>1001</v>
          </cell>
        </row>
        <row r="78">
          <cell r="H78">
            <v>580350</v>
          </cell>
        </row>
        <row r="79">
          <cell r="H79">
            <v>8516</v>
          </cell>
        </row>
        <row r="80">
          <cell r="H80">
            <v>8516</v>
          </cell>
        </row>
        <row r="81">
          <cell r="H81">
            <v>10280</v>
          </cell>
        </row>
        <row r="82">
          <cell r="H82">
            <v>10280</v>
          </cell>
        </row>
        <row r="83">
          <cell r="H83">
            <v>-17773</v>
          </cell>
        </row>
        <row r="84">
          <cell r="H84">
            <v>4677</v>
          </cell>
        </row>
        <row r="85">
          <cell r="H85">
            <v>4677</v>
          </cell>
        </row>
        <row r="86">
          <cell r="H86">
            <v>4677</v>
          </cell>
        </row>
        <row r="87">
          <cell r="H87">
            <v>-22450</v>
          </cell>
        </row>
        <row r="89">
          <cell r="H89">
            <v>33380</v>
          </cell>
        </row>
        <row r="90">
          <cell r="H90">
            <v>-10930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arba tab."/>
      <sheetName val="Janvāris"/>
      <sheetName val="februāris"/>
      <sheetName val="marts"/>
      <sheetName val="maijs (2)"/>
      <sheetName val="aprīlis"/>
      <sheetName val="maijs"/>
      <sheetName val="jūnijs"/>
      <sheetName val="jūlijs"/>
      <sheetName val="augusts"/>
      <sheetName val="septembris"/>
      <sheetName val="oktobris"/>
      <sheetName val="novembris"/>
    </sheetNames>
    <sheetDataSet>
      <sheetData sheetId="11">
        <row r="12">
          <cell r="D12">
            <v>81504922.79</v>
          </cell>
          <cell r="K12">
            <v>81505</v>
          </cell>
        </row>
        <row r="13">
          <cell r="D13">
            <v>407362858.4</v>
          </cell>
          <cell r="K13">
            <v>407363</v>
          </cell>
        </row>
        <row r="14">
          <cell r="D14">
            <v>297695178.71</v>
          </cell>
          <cell r="K14">
            <v>297695</v>
          </cell>
        </row>
        <row r="15">
          <cell r="D15">
            <v>96980123.68</v>
          </cell>
          <cell r="K15">
            <v>96980</v>
          </cell>
        </row>
        <row r="16">
          <cell r="D16">
            <v>12687556.01</v>
          </cell>
          <cell r="K16">
            <v>12688</v>
          </cell>
        </row>
        <row r="17">
          <cell r="D17">
            <v>3359215.2</v>
          </cell>
          <cell r="K17">
            <v>3359</v>
          </cell>
        </row>
        <row r="18">
          <cell r="D18">
            <v>3359215.2</v>
          </cell>
          <cell r="K18">
            <v>3359</v>
          </cell>
        </row>
        <row r="19">
          <cell r="D19">
            <v>4147774.41</v>
          </cell>
          <cell r="K19">
            <v>4148</v>
          </cell>
        </row>
        <row r="20">
          <cell r="D20">
            <v>-239531.17</v>
          </cell>
          <cell r="K20">
            <v>-240</v>
          </cell>
        </row>
        <row r="21">
          <cell r="D21">
            <v>58197793.019999996</v>
          </cell>
          <cell r="K21">
            <v>58197</v>
          </cell>
        </row>
        <row r="22">
          <cell r="D22">
            <v>5473050.9</v>
          </cell>
          <cell r="K22">
            <v>5473</v>
          </cell>
        </row>
        <row r="23">
          <cell r="D23">
            <v>13999738.03</v>
          </cell>
          <cell r="K23">
            <v>14000</v>
          </cell>
        </row>
        <row r="24">
          <cell r="D24">
            <v>15194801.97</v>
          </cell>
          <cell r="K24">
            <v>15195</v>
          </cell>
        </row>
        <row r="25">
          <cell r="D25">
            <v>699372.81</v>
          </cell>
          <cell r="K25">
            <v>699</v>
          </cell>
        </row>
        <row r="26">
          <cell r="D26">
            <v>382018.57</v>
          </cell>
          <cell r="K26">
            <v>382</v>
          </cell>
        </row>
        <row r="27">
          <cell r="D27">
            <v>3169573.05</v>
          </cell>
          <cell r="K27">
            <v>3170</v>
          </cell>
        </row>
        <row r="28">
          <cell r="D28">
            <v>2040306.93</v>
          </cell>
          <cell r="K28">
            <v>2040</v>
          </cell>
        </row>
        <row r="29">
          <cell r="D29">
            <v>486055.13</v>
          </cell>
          <cell r="K29">
            <v>486</v>
          </cell>
        </row>
        <row r="30">
          <cell r="D30">
            <v>249715</v>
          </cell>
          <cell r="K30">
            <v>250</v>
          </cell>
        </row>
        <row r="31">
          <cell r="D31">
            <v>6136053.92</v>
          </cell>
          <cell r="K31">
            <v>6136</v>
          </cell>
        </row>
        <row r="32">
          <cell r="D32">
            <v>13143183.77</v>
          </cell>
          <cell r="K32">
            <v>13142</v>
          </cell>
        </row>
        <row r="33">
          <cell r="D33">
            <v>1001000</v>
          </cell>
          <cell r="K33">
            <v>1001</v>
          </cell>
        </row>
        <row r="34">
          <cell r="D34">
            <v>6780000</v>
          </cell>
          <cell r="K34">
            <v>6780</v>
          </cell>
        </row>
        <row r="35">
          <cell r="D35">
            <v>201449</v>
          </cell>
          <cell r="K35">
            <v>201</v>
          </cell>
        </row>
        <row r="36">
          <cell r="D36">
            <v>100000</v>
          </cell>
          <cell r="K36">
            <v>100</v>
          </cell>
        </row>
        <row r="37">
          <cell r="D37">
            <v>90000</v>
          </cell>
          <cell r="K37">
            <v>90</v>
          </cell>
        </row>
        <row r="38">
          <cell r="D38">
            <v>51925864.26</v>
          </cell>
          <cell r="K38">
            <v>51926</v>
          </cell>
        </row>
        <row r="39">
          <cell r="D39">
            <v>51925864.26</v>
          </cell>
          <cell r="K39">
            <v>51926</v>
          </cell>
        </row>
        <row r="40">
          <cell r="D40">
            <v>23241768.27</v>
          </cell>
          <cell r="K40">
            <v>23242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Janvāris"/>
      <sheetName val="februāris"/>
      <sheetName val="sadaletab"/>
      <sheetName val="sadale"/>
      <sheetName val="dotspec"/>
      <sheetName val="aizd_atm"/>
      <sheetName val="marts"/>
      <sheetName val="aprīlis"/>
      <sheetName val="maijs"/>
      <sheetName val="jūlijs"/>
      <sheetName val="Sheet1"/>
      <sheetName val="jūnijs"/>
      <sheetName val="augusts"/>
      <sheetName val="aug"/>
      <sheetName val="septembris"/>
      <sheetName val="sept"/>
      <sheetName val="oktobris"/>
      <sheetName val="novembris"/>
    </sheetNames>
    <sheetDataSet>
      <sheetData sheetId="16">
        <row r="12">
          <cell r="D12">
            <v>591816200</v>
          </cell>
          <cell r="K12">
            <v>591816</v>
          </cell>
        </row>
        <row r="13">
          <cell r="D13">
            <v>1932519.72</v>
          </cell>
          <cell r="K13">
            <v>1932</v>
          </cell>
        </row>
        <row r="14">
          <cell r="D14">
            <v>51925864.26</v>
          </cell>
          <cell r="K14">
            <v>51926</v>
          </cell>
        </row>
        <row r="15">
          <cell r="D15">
            <v>15470727.03</v>
          </cell>
          <cell r="K15">
            <v>15471</v>
          </cell>
        </row>
        <row r="16">
          <cell r="D16">
            <v>635757181.24</v>
          </cell>
          <cell r="K16">
            <v>635757</v>
          </cell>
        </row>
        <row r="17">
          <cell r="D17">
            <v>589901495.63</v>
          </cell>
          <cell r="K17">
            <v>589901</v>
          </cell>
        </row>
        <row r="18">
          <cell r="D18">
            <v>292283035.32</v>
          </cell>
          <cell r="K18">
            <v>292283</v>
          </cell>
        </row>
        <row r="19">
          <cell r="D19">
            <v>137608951.13</v>
          </cell>
          <cell r="K19">
            <v>137609</v>
          </cell>
        </row>
        <row r="20">
          <cell r="D20">
            <v>34183536.84</v>
          </cell>
          <cell r="K20">
            <v>34184</v>
          </cell>
        </row>
        <row r="21">
          <cell r="D21">
            <v>120490547.35000001</v>
          </cell>
          <cell r="K21">
            <v>120490</v>
          </cell>
        </row>
        <row r="22">
          <cell r="D22">
            <v>35635176.63</v>
          </cell>
          <cell r="K22">
            <v>35635</v>
          </cell>
        </row>
        <row r="23">
          <cell r="D23">
            <v>18228500.79</v>
          </cell>
          <cell r="K23">
            <v>18229</v>
          </cell>
        </row>
        <row r="24">
          <cell r="D24">
            <v>17272400.53</v>
          </cell>
          <cell r="K24">
            <v>17272</v>
          </cell>
        </row>
        <row r="25">
          <cell r="D25">
            <v>134275.31</v>
          </cell>
          <cell r="K25">
            <v>134</v>
          </cell>
        </row>
        <row r="26">
          <cell r="D26">
            <v>261983283.68</v>
          </cell>
          <cell r="K26">
            <v>261983</v>
          </cell>
        </row>
        <row r="27">
          <cell r="D27">
            <v>22120829.62</v>
          </cell>
          <cell r="K27">
            <v>22121</v>
          </cell>
        </row>
        <row r="28">
          <cell r="D28">
            <v>83533830</v>
          </cell>
          <cell r="K28">
            <v>83535</v>
          </cell>
        </row>
        <row r="29">
          <cell r="D29">
            <v>6074134</v>
          </cell>
          <cell r="K29">
            <v>6074</v>
          </cell>
        </row>
        <row r="30">
          <cell r="D30">
            <v>25195433.96</v>
          </cell>
          <cell r="K30">
            <v>25195</v>
          </cell>
        </row>
        <row r="31">
          <cell r="D31">
            <v>16.5</v>
          </cell>
        </row>
        <row r="32">
          <cell r="D32">
            <v>63508319.22</v>
          </cell>
          <cell r="K32">
            <v>63508</v>
          </cell>
        </row>
        <row r="33">
          <cell r="D33">
            <v>1840386.75</v>
          </cell>
          <cell r="K33">
            <v>1840</v>
          </cell>
        </row>
        <row r="34">
          <cell r="D34">
            <v>46657662.12</v>
          </cell>
          <cell r="K34">
            <v>46658</v>
          </cell>
        </row>
        <row r="35">
          <cell r="D35">
            <v>5715735.54</v>
          </cell>
          <cell r="K35">
            <v>5716</v>
          </cell>
        </row>
        <row r="36">
          <cell r="D36">
            <v>9294534.81</v>
          </cell>
          <cell r="K36">
            <v>9294</v>
          </cell>
        </row>
        <row r="37">
          <cell r="D37">
            <v>6310003.88</v>
          </cell>
          <cell r="K37">
            <v>6310</v>
          </cell>
        </row>
        <row r="38">
          <cell r="D38">
            <v>55240733</v>
          </cell>
          <cell r="K38">
            <v>55240</v>
          </cell>
        </row>
        <row r="39">
          <cell r="D39">
            <v>55240733</v>
          </cell>
          <cell r="K39">
            <v>55240</v>
          </cell>
        </row>
        <row r="41">
          <cell r="D41">
            <v>45855685.61</v>
          </cell>
          <cell r="K41">
            <v>45856</v>
          </cell>
        </row>
        <row r="42">
          <cell r="D42">
            <v>12175455.91</v>
          </cell>
          <cell r="K42">
            <v>12176</v>
          </cell>
        </row>
        <row r="43">
          <cell r="D43">
            <v>33680229.7</v>
          </cell>
          <cell r="K43">
            <v>33680</v>
          </cell>
        </row>
        <row r="44">
          <cell r="D44">
            <v>743900</v>
          </cell>
          <cell r="K44">
            <v>745</v>
          </cell>
        </row>
        <row r="45">
          <cell r="D45">
            <v>7245826</v>
          </cell>
          <cell r="K45">
            <v>7246</v>
          </cell>
        </row>
        <row r="46">
          <cell r="D46">
            <v>31050037</v>
          </cell>
          <cell r="K46">
            <v>31050</v>
          </cell>
        </row>
        <row r="47">
          <cell r="D47">
            <v>62440016</v>
          </cell>
          <cell r="K47">
            <v>62440</v>
          </cell>
        </row>
        <row r="48">
          <cell r="D48">
            <v>35780630</v>
          </cell>
          <cell r="K48">
            <v>35781</v>
          </cell>
        </row>
        <row r="49">
          <cell r="D49">
            <v>31389979</v>
          </cell>
          <cell r="K49">
            <v>31390</v>
          </cell>
        </row>
        <row r="50">
          <cell r="D50">
            <v>6868607</v>
          </cell>
          <cell r="K50">
            <v>6869</v>
          </cell>
        </row>
        <row r="51">
          <cell r="D51">
            <v>-37067022</v>
          </cell>
          <cell r="K51">
            <v>-37067</v>
          </cell>
        </row>
        <row r="52">
          <cell r="D52">
            <v>37067022</v>
          </cell>
          <cell r="K52">
            <v>37067</v>
          </cell>
        </row>
        <row r="53">
          <cell r="D53">
            <v>14550300</v>
          </cell>
          <cell r="K53">
            <v>14550</v>
          </cell>
        </row>
        <row r="54">
          <cell r="D54">
            <v>882575.19</v>
          </cell>
          <cell r="K54">
            <v>883</v>
          </cell>
        </row>
        <row r="55">
          <cell r="D55">
            <v>21141248</v>
          </cell>
          <cell r="K55">
            <v>21141</v>
          </cell>
        </row>
        <row r="56">
          <cell r="D56">
            <v>492899</v>
          </cell>
          <cell r="K56">
            <v>493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valdfunkc"/>
      <sheetName val="janvāris"/>
      <sheetName val="februāris"/>
      <sheetName val="marts"/>
      <sheetName val="aprīlis"/>
      <sheetName val="jūnijs"/>
      <sheetName val="maijs"/>
      <sheetName val="jūlijs"/>
      <sheetName val="augusts"/>
      <sheetName val="septembris"/>
      <sheetName val="oktobris"/>
      <sheetName val="novembris"/>
    </sheetNames>
    <sheetDataSet>
      <sheetData sheetId="10">
        <row r="11">
          <cell r="D11">
            <v>65577114.85</v>
          </cell>
          <cell r="K11">
            <v>65577</v>
          </cell>
        </row>
        <row r="12">
          <cell r="D12">
            <v>38133581.38</v>
          </cell>
          <cell r="K12">
            <v>38134</v>
          </cell>
        </row>
        <row r="13">
          <cell r="D13">
            <v>91175538.87</v>
          </cell>
          <cell r="K13">
            <v>91176</v>
          </cell>
        </row>
        <row r="14">
          <cell r="D14">
            <v>76261224.3</v>
          </cell>
          <cell r="K14">
            <v>76261</v>
          </cell>
        </row>
        <row r="15">
          <cell r="D15">
            <v>58664349.41</v>
          </cell>
          <cell r="K15">
            <v>58664</v>
          </cell>
        </row>
        <row r="16">
          <cell r="D16">
            <v>69517193.83</v>
          </cell>
          <cell r="K16">
            <v>69517</v>
          </cell>
        </row>
        <row r="17">
          <cell r="D17">
            <v>6244343.1</v>
          </cell>
          <cell r="K17">
            <v>6244</v>
          </cell>
        </row>
        <row r="18">
          <cell r="D18">
            <v>19549964.17</v>
          </cell>
          <cell r="K18">
            <v>19550</v>
          </cell>
        </row>
        <row r="19">
          <cell r="D19">
            <v>141233.15</v>
          </cell>
          <cell r="K19">
            <v>141</v>
          </cell>
        </row>
        <row r="20">
          <cell r="D20">
            <v>52188880.93</v>
          </cell>
          <cell r="K20">
            <v>52189</v>
          </cell>
        </row>
        <row r="21">
          <cell r="D21">
            <v>692648</v>
          </cell>
          <cell r="K21">
            <v>693</v>
          </cell>
        </row>
        <row r="22">
          <cell r="D22">
            <v>8840746.8</v>
          </cell>
          <cell r="K22">
            <v>8841</v>
          </cell>
        </row>
        <row r="23">
          <cell r="D23">
            <v>15344291.62</v>
          </cell>
          <cell r="K23">
            <v>15344</v>
          </cell>
        </row>
        <row r="24">
          <cell r="D24">
            <v>164476107.82999998</v>
          </cell>
          <cell r="K24">
            <v>164476</v>
          </cell>
        </row>
        <row r="25">
          <cell r="D25">
            <v>31050037</v>
          </cell>
          <cell r="K25">
            <v>31050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Aprīlis"/>
      <sheetName val="Maijs"/>
      <sheetName val="Junijs"/>
      <sheetName val="Jūlijs"/>
      <sheetName val="Augusts"/>
      <sheetName val="Septembris"/>
      <sheetName val="Oktobris"/>
      <sheetName val="novembris"/>
      <sheetName val="Sheet1"/>
    </sheetNames>
    <sheetDataSet>
      <sheetData sheetId="10">
        <row r="6">
          <cell r="F6">
            <v>750041</v>
          </cell>
          <cell r="G6">
            <v>1906814</v>
          </cell>
          <cell r="K6">
            <v>1593385</v>
          </cell>
          <cell r="N6">
            <v>1419493</v>
          </cell>
          <cell r="O6">
            <v>1411040</v>
          </cell>
          <cell r="P6">
            <v>47136</v>
          </cell>
          <cell r="X6">
            <v>1687937</v>
          </cell>
        </row>
        <row r="7">
          <cell r="C7">
            <v>460167394</v>
          </cell>
          <cell r="D7">
            <v>127145154</v>
          </cell>
          <cell r="E7">
            <v>6314500</v>
          </cell>
          <cell r="F7">
            <v>490070</v>
          </cell>
          <cell r="G7">
            <v>1746999</v>
          </cell>
          <cell r="I7">
            <v>57546328</v>
          </cell>
          <cell r="K7">
            <v>1561889.1600000001</v>
          </cell>
          <cell r="L7">
            <v>473348</v>
          </cell>
          <cell r="N7">
            <v>1940429</v>
          </cell>
          <cell r="O7">
            <v>1387557</v>
          </cell>
          <cell r="P7">
            <v>115246</v>
          </cell>
          <cell r="Q7">
            <v>1689574</v>
          </cell>
          <cell r="W7">
            <v>628596</v>
          </cell>
          <cell r="X7">
            <v>29817</v>
          </cell>
        </row>
        <row r="8">
          <cell r="C8">
            <v>458211597</v>
          </cell>
          <cell r="D8">
            <v>125097520</v>
          </cell>
          <cell r="E8">
            <v>4943477</v>
          </cell>
          <cell r="F8">
            <v>488157</v>
          </cell>
          <cell r="G8">
            <v>1500000</v>
          </cell>
          <cell r="I8">
            <v>42003422</v>
          </cell>
          <cell r="K8">
            <v>1546977.1600000001</v>
          </cell>
          <cell r="L8">
            <v>404348</v>
          </cell>
          <cell r="N8">
            <v>1704982</v>
          </cell>
          <cell r="O8">
            <v>1384804</v>
          </cell>
          <cell r="P8">
            <v>115076</v>
          </cell>
          <cell r="Q8">
            <v>1689574</v>
          </cell>
          <cell r="W8">
            <v>628596</v>
          </cell>
        </row>
        <row r="9">
          <cell r="Z9">
            <v>26677623.16</v>
          </cell>
        </row>
        <row r="10">
          <cell r="Z10">
            <v>1364304</v>
          </cell>
        </row>
        <row r="11">
          <cell r="Z11">
            <v>344274</v>
          </cell>
        </row>
        <row r="12">
          <cell r="Z12">
            <v>19826001.16</v>
          </cell>
        </row>
        <row r="15">
          <cell r="C15">
            <v>10779</v>
          </cell>
          <cell r="I15">
            <v>3602053</v>
          </cell>
          <cell r="N15">
            <v>200000</v>
          </cell>
          <cell r="P15">
            <v>5449</v>
          </cell>
          <cell r="Z15">
            <v>5143044</v>
          </cell>
        </row>
        <row r="16">
          <cell r="Z16">
            <v>8277483</v>
          </cell>
        </row>
        <row r="17">
          <cell r="Z17">
            <v>5841375</v>
          </cell>
        </row>
        <row r="18">
          <cell r="Z18">
            <v>2436108</v>
          </cell>
        </row>
        <row r="20">
          <cell r="Z20">
            <v>5392599</v>
          </cell>
        </row>
        <row r="21">
          <cell r="Z21">
            <v>15475316</v>
          </cell>
        </row>
        <row r="23">
          <cell r="Z23">
            <v>142115511</v>
          </cell>
        </row>
        <row r="29">
          <cell r="Z29">
            <v>335502</v>
          </cell>
        </row>
        <row r="30">
          <cell r="Z30">
            <v>413096</v>
          </cell>
        </row>
        <row r="31">
          <cell r="C31">
            <v>1955797</v>
          </cell>
          <cell r="D31">
            <v>2047634</v>
          </cell>
          <cell r="E31">
            <v>1371023</v>
          </cell>
          <cell r="F31">
            <v>1913</v>
          </cell>
          <cell r="G31">
            <v>246999</v>
          </cell>
          <cell r="I31">
            <v>15542906</v>
          </cell>
          <cell r="K31">
            <v>14912</v>
          </cell>
          <cell r="L31">
            <v>69000</v>
          </cell>
          <cell r="N31">
            <v>235447</v>
          </cell>
          <cell r="O31">
            <v>2753</v>
          </cell>
          <cell r="P31">
            <v>170</v>
          </cell>
        </row>
        <row r="32">
          <cell r="Z32">
            <v>11185248</v>
          </cell>
        </row>
        <row r="33">
          <cell r="Z33">
            <v>10303306</v>
          </cell>
        </row>
        <row r="34">
          <cell r="O34">
            <v>5395805.03</v>
          </cell>
          <cell r="Z34">
            <v>5395805.03</v>
          </cell>
        </row>
        <row r="35">
          <cell r="Z35">
            <v>5635978</v>
          </cell>
        </row>
        <row r="36">
          <cell r="Z36">
            <v>-240172.97</v>
          </cell>
        </row>
        <row r="40">
          <cell r="C40">
            <v>20051687</v>
          </cell>
          <cell r="Z40">
            <v>20051687</v>
          </cell>
        </row>
        <row r="44">
          <cell r="C44">
            <v>1104763</v>
          </cell>
          <cell r="D44">
            <v>972642</v>
          </cell>
          <cell r="I44">
            <v>7725509</v>
          </cell>
          <cell r="O44">
            <v>5628091</v>
          </cell>
          <cell r="P44">
            <v>27435</v>
          </cell>
          <cell r="Z44">
            <v>15458440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Aprīlis"/>
      <sheetName val="Maijs"/>
      <sheetName val="Junijs"/>
      <sheetName val="Jūlijs"/>
      <sheetName val="Augusts"/>
      <sheetName val="Septembris"/>
      <sheetName val="Oktobris"/>
      <sheetName val="novembris"/>
      <sheetName val="dotiedzivotaj"/>
    </sheetNames>
    <sheetDataSet>
      <sheetData sheetId="9">
        <row r="11">
          <cell r="D11">
            <v>577448219</v>
          </cell>
          <cell r="K11">
            <v>577449</v>
          </cell>
        </row>
        <row r="12">
          <cell r="K12">
            <v>0</v>
          </cell>
        </row>
        <row r="13">
          <cell r="D13">
            <v>2570429</v>
          </cell>
          <cell r="K13">
            <v>2570</v>
          </cell>
        </row>
        <row r="14">
          <cell r="D14">
            <v>2354831</v>
          </cell>
          <cell r="K14">
            <v>2355</v>
          </cell>
        </row>
        <row r="18">
          <cell r="D18">
            <v>1125119</v>
          </cell>
          <cell r="K18">
            <v>1125</v>
          </cell>
        </row>
        <row r="19">
          <cell r="D19">
            <v>285923</v>
          </cell>
          <cell r="K19">
            <v>286</v>
          </cell>
        </row>
        <row r="20">
          <cell r="D20">
            <v>18222390</v>
          </cell>
          <cell r="K20">
            <v>18222</v>
          </cell>
        </row>
        <row r="21">
          <cell r="D21">
            <v>4611806</v>
          </cell>
          <cell r="K21">
            <v>4611</v>
          </cell>
        </row>
        <row r="23">
          <cell r="D23">
            <v>5693380</v>
          </cell>
          <cell r="K23">
            <v>5693</v>
          </cell>
        </row>
        <row r="24">
          <cell r="D24">
            <v>2316594</v>
          </cell>
          <cell r="K24">
            <v>2317</v>
          </cell>
        </row>
        <row r="25">
          <cell r="D25">
            <v>549095702</v>
          </cell>
        </row>
        <row r="26">
          <cell r="D26">
            <v>5337902</v>
          </cell>
          <cell r="K26">
            <v>5338</v>
          </cell>
        </row>
        <row r="27">
          <cell r="D27">
            <v>3216914</v>
          </cell>
          <cell r="K27">
            <v>3217</v>
          </cell>
        </row>
        <row r="28">
          <cell r="D28">
            <v>13915241</v>
          </cell>
          <cell r="K28">
            <v>13915</v>
          </cell>
        </row>
        <row r="29">
          <cell r="D29">
            <v>9899602</v>
          </cell>
          <cell r="K29">
            <v>9900</v>
          </cell>
        </row>
        <row r="30">
          <cell r="D30">
            <v>4015639</v>
          </cell>
          <cell r="K30">
            <v>4015</v>
          </cell>
        </row>
        <row r="31">
          <cell r="D31">
            <v>1954553</v>
          </cell>
          <cell r="K31">
            <v>1954</v>
          </cell>
        </row>
        <row r="32">
          <cell r="D32">
            <v>2061086</v>
          </cell>
          <cell r="K32">
            <v>2061</v>
          </cell>
        </row>
        <row r="33">
          <cell r="D33">
            <v>0</v>
          </cell>
          <cell r="K33">
            <v>0</v>
          </cell>
        </row>
        <row r="34">
          <cell r="D34">
            <v>127814619</v>
          </cell>
          <cell r="K34">
            <v>127815</v>
          </cell>
        </row>
        <row r="35">
          <cell r="D35">
            <v>400691438</v>
          </cell>
        </row>
        <row r="36">
          <cell r="D36">
            <v>368633745</v>
          </cell>
          <cell r="K36">
            <v>368634</v>
          </cell>
        </row>
        <row r="37">
          <cell r="D37">
            <v>30300107</v>
          </cell>
          <cell r="K37">
            <v>30300</v>
          </cell>
        </row>
        <row r="38">
          <cell r="D38">
            <v>682510</v>
          </cell>
          <cell r="K38">
            <v>683</v>
          </cell>
        </row>
        <row r="39">
          <cell r="D39">
            <v>1075076</v>
          </cell>
          <cell r="K39">
            <v>1075</v>
          </cell>
        </row>
        <row r="40">
          <cell r="D40">
            <v>335502</v>
          </cell>
          <cell r="K40">
            <v>336</v>
          </cell>
        </row>
        <row r="41">
          <cell r="D41">
            <v>1001000</v>
          </cell>
          <cell r="K41">
            <v>1001</v>
          </cell>
        </row>
        <row r="42">
          <cell r="D42">
            <v>18795501</v>
          </cell>
        </row>
        <row r="43">
          <cell r="D43">
            <v>8515393</v>
          </cell>
          <cell r="K43">
            <v>8516</v>
          </cell>
        </row>
        <row r="44">
          <cell r="D44">
            <v>10280108</v>
          </cell>
          <cell r="K44">
            <v>10280</v>
          </cell>
        </row>
        <row r="45">
          <cell r="D45">
            <v>4677375</v>
          </cell>
          <cell r="K45">
            <v>4677</v>
          </cell>
        </row>
        <row r="46">
          <cell r="D46">
            <v>4883001</v>
          </cell>
          <cell r="K46">
            <v>4883</v>
          </cell>
        </row>
        <row r="47">
          <cell r="D47">
            <v>205626</v>
          </cell>
          <cell r="K47">
            <v>206</v>
          </cell>
        </row>
        <row r="49">
          <cell r="D49">
            <v>22450311</v>
          </cell>
        </row>
        <row r="50">
          <cell r="D50">
            <v>33380630</v>
          </cell>
          <cell r="K50">
            <v>33380</v>
          </cell>
        </row>
        <row r="51">
          <cell r="D51">
            <v>-10930319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Aprīlis"/>
      <sheetName val="Maijs"/>
      <sheetName val="Junijs"/>
      <sheetName val="Jūlijs"/>
      <sheetName val="Augusts"/>
      <sheetName val="Septembris"/>
      <sheetName val="Oktobris"/>
      <sheetName val="novembris"/>
    </sheetNames>
    <sheetDataSet>
      <sheetData sheetId="9">
        <row r="9">
          <cell r="D9">
            <v>604823790</v>
          </cell>
        </row>
        <row r="10">
          <cell r="D10">
            <v>104367</v>
          </cell>
          <cell r="J10">
            <v>104</v>
          </cell>
        </row>
        <row r="11">
          <cell r="D11" t="str">
            <v> </v>
          </cell>
        </row>
        <row r="13">
          <cell r="D13">
            <v>6044597</v>
          </cell>
          <cell r="J13">
            <v>6045</v>
          </cell>
        </row>
        <row r="14">
          <cell r="D14">
            <v>4677375</v>
          </cell>
          <cell r="J14">
            <v>4677</v>
          </cell>
        </row>
        <row r="15">
          <cell r="D15">
            <v>115904833</v>
          </cell>
          <cell r="J15">
            <v>115905</v>
          </cell>
        </row>
        <row r="16">
          <cell r="D16">
            <v>418268266</v>
          </cell>
          <cell r="J16">
            <v>418268</v>
          </cell>
        </row>
        <row r="17">
          <cell r="D17">
            <v>5189638</v>
          </cell>
          <cell r="J17">
            <v>5190</v>
          </cell>
        </row>
        <row r="18">
          <cell r="D18">
            <v>2820234</v>
          </cell>
          <cell r="J18">
            <v>2820</v>
          </cell>
        </row>
        <row r="20">
          <cell r="D20">
            <v>438681</v>
          </cell>
          <cell r="J20">
            <v>439</v>
          </cell>
        </row>
        <row r="22">
          <cell r="D22">
            <v>53998577</v>
          </cell>
          <cell r="J22">
            <v>53999</v>
          </cell>
        </row>
        <row r="23">
          <cell r="D23">
            <v>2054597</v>
          </cell>
          <cell r="J23">
            <v>2054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"/>
      <sheetName val="marts"/>
      <sheetName val="aprīlis"/>
      <sheetName val="maijs"/>
      <sheetName val="jūnijs"/>
      <sheetName val="jūlijs"/>
      <sheetName val="augusts"/>
      <sheetName val="septembris"/>
      <sheetName val="oktobris"/>
      <sheetName val="novembris"/>
      <sheetName val="Sheet2"/>
      <sheetName val="Sheet1"/>
      <sheetName val="Natalija"/>
      <sheetName val="darbam"/>
    </sheetNames>
    <sheetDataSet>
      <sheetData sheetId="9">
        <row r="9">
          <cell r="H9">
            <v>3393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9">
          <cell r="H19">
            <v>0</v>
          </cell>
        </row>
        <row r="20">
          <cell r="H20">
            <v>14</v>
          </cell>
        </row>
        <row r="21">
          <cell r="C21">
            <v>14138</v>
          </cell>
        </row>
        <row r="22">
          <cell r="H22">
            <v>0</v>
          </cell>
        </row>
        <row r="24">
          <cell r="H24">
            <v>0</v>
          </cell>
        </row>
        <row r="25">
          <cell r="H25">
            <v>20</v>
          </cell>
        </row>
        <row r="26">
          <cell r="C26">
            <v>19662</v>
          </cell>
          <cell r="H26">
            <v>20</v>
          </cell>
        </row>
        <row r="27">
          <cell r="H27">
            <v>0</v>
          </cell>
        </row>
        <row r="29">
          <cell r="C29">
            <v>26580</v>
          </cell>
          <cell r="H29">
            <v>27</v>
          </cell>
        </row>
        <row r="30">
          <cell r="H30">
            <v>27</v>
          </cell>
        </row>
        <row r="31">
          <cell r="C31">
            <v>3546</v>
          </cell>
          <cell r="H31">
            <v>4</v>
          </cell>
        </row>
        <row r="32">
          <cell r="C32">
            <v>22683</v>
          </cell>
          <cell r="H32">
            <v>23</v>
          </cell>
        </row>
        <row r="34">
          <cell r="C34">
            <v>5168</v>
          </cell>
          <cell r="H34">
            <v>5</v>
          </cell>
        </row>
        <row r="35">
          <cell r="H35">
            <v>5</v>
          </cell>
        </row>
        <row r="36">
          <cell r="C36">
            <v>5168</v>
          </cell>
          <cell r="H36">
            <v>5</v>
          </cell>
        </row>
        <row r="37">
          <cell r="H37">
            <v>0</v>
          </cell>
        </row>
        <row r="39">
          <cell r="C39">
            <v>141488</v>
          </cell>
          <cell r="H39">
            <v>141</v>
          </cell>
        </row>
        <row r="40">
          <cell r="H40">
            <v>106</v>
          </cell>
        </row>
        <row r="41">
          <cell r="C41">
            <v>106173</v>
          </cell>
          <cell r="H41">
            <v>106</v>
          </cell>
        </row>
        <row r="42">
          <cell r="H42">
            <v>0</v>
          </cell>
        </row>
        <row r="44">
          <cell r="C44">
            <v>5251</v>
          </cell>
          <cell r="H44">
            <v>5</v>
          </cell>
        </row>
        <row r="45">
          <cell r="H45">
            <v>70</v>
          </cell>
        </row>
        <row r="46">
          <cell r="C46">
            <v>70337</v>
          </cell>
          <cell r="H46">
            <v>70</v>
          </cell>
        </row>
        <row r="47">
          <cell r="C47">
            <v>140</v>
          </cell>
          <cell r="H47">
            <v>0</v>
          </cell>
        </row>
        <row r="49">
          <cell r="C49">
            <v>154438</v>
          </cell>
          <cell r="H49">
            <v>154</v>
          </cell>
        </row>
        <row r="50">
          <cell r="H50">
            <v>164</v>
          </cell>
        </row>
        <row r="51">
          <cell r="C51">
            <v>89566</v>
          </cell>
          <cell r="H51">
            <v>90</v>
          </cell>
        </row>
        <row r="52">
          <cell r="C52">
            <v>74223</v>
          </cell>
          <cell r="H52">
            <v>74</v>
          </cell>
        </row>
        <row r="54">
          <cell r="C54">
            <v>837136</v>
          </cell>
          <cell r="H54">
            <v>837</v>
          </cell>
        </row>
        <row r="55">
          <cell r="H55">
            <v>894</v>
          </cell>
        </row>
        <row r="56">
          <cell r="C56">
            <v>838549</v>
          </cell>
          <cell r="H56">
            <v>839</v>
          </cell>
        </row>
        <row r="57">
          <cell r="C57">
            <v>54577</v>
          </cell>
          <cell r="H57">
            <v>55</v>
          </cell>
        </row>
        <row r="59">
          <cell r="C59">
            <v>198655</v>
          </cell>
          <cell r="H59">
            <v>199</v>
          </cell>
        </row>
        <row r="60">
          <cell r="H60">
            <v>227</v>
          </cell>
        </row>
        <row r="61">
          <cell r="C61">
            <v>187027</v>
          </cell>
          <cell r="H61">
            <v>187</v>
          </cell>
        </row>
        <row r="62">
          <cell r="C62">
            <v>39981</v>
          </cell>
          <cell r="H62">
            <v>40</v>
          </cell>
        </row>
        <row r="64">
          <cell r="C64">
            <v>0</v>
          </cell>
          <cell r="H64">
            <v>0</v>
          </cell>
        </row>
        <row r="65">
          <cell r="H65">
            <v>0</v>
          </cell>
        </row>
        <row r="66">
          <cell r="H66">
            <v>0</v>
          </cell>
        </row>
        <row r="67">
          <cell r="H67">
            <v>0</v>
          </cell>
        </row>
        <row r="69">
          <cell r="C69">
            <v>578684</v>
          </cell>
          <cell r="H69">
            <v>579</v>
          </cell>
        </row>
        <row r="70">
          <cell r="H70">
            <v>727</v>
          </cell>
        </row>
        <row r="71">
          <cell r="C71">
            <v>713748</v>
          </cell>
          <cell r="H71">
            <v>714</v>
          </cell>
        </row>
        <row r="72">
          <cell r="C72">
            <v>13259</v>
          </cell>
          <cell r="H72">
            <v>13</v>
          </cell>
        </row>
        <row r="74">
          <cell r="C74">
            <v>129501</v>
          </cell>
          <cell r="H74">
            <v>130</v>
          </cell>
        </row>
        <row r="75">
          <cell r="H75">
            <v>66</v>
          </cell>
        </row>
        <row r="76">
          <cell r="C76">
            <v>62216</v>
          </cell>
          <cell r="H76">
            <v>62</v>
          </cell>
        </row>
        <row r="77">
          <cell r="C77">
            <v>3740</v>
          </cell>
          <cell r="H77">
            <v>4</v>
          </cell>
        </row>
        <row r="79">
          <cell r="C79">
            <v>35432</v>
          </cell>
          <cell r="H79">
            <v>35</v>
          </cell>
        </row>
        <row r="80">
          <cell r="H80">
            <v>78</v>
          </cell>
        </row>
        <row r="81">
          <cell r="C81">
            <v>68978</v>
          </cell>
          <cell r="H81">
            <v>69</v>
          </cell>
        </row>
        <row r="82">
          <cell r="C82">
            <v>8965</v>
          </cell>
          <cell r="H82">
            <v>9</v>
          </cell>
        </row>
        <row r="84">
          <cell r="C84">
            <v>1063989</v>
          </cell>
          <cell r="H84">
            <v>1064</v>
          </cell>
        </row>
        <row r="85">
          <cell r="H85">
            <v>1008</v>
          </cell>
        </row>
        <row r="86">
          <cell r="C86">
            <v>943636</v>
          </cell>
          <cell r="H86">
            <v>944</v>
          </cell>
        </row>
        <row r="87">
          <cell r="C87">
            <v>64071</v>
          </cell>
          <cell r="H87">
            <v>64</v>
          </cell>
        </row>
        <row r="89">
          <cell r="H89">
            <v>0</v>
          </cell>
        </row>
        <row r="90">
          <cell r="H90">
            <v>0</v>
          </cell>
        </row>
        <row r="91">
          <cell r="H91">
            <v>0</v>
          </cell>
        </row>
        <row r="92">
          <cell r="H92">
            <v>0</v>
          </cell>
        </row>
        <row r="94">
          <cell r="H94">
            <v>0</v>
          </cell>
        </row>
        <row r="95">
          <cell r="H95">
            <v>0</v>
          </cell>
        </row>
        <row r="96">
          <cell r="H96">
            <v>0</v>
          </cell>
        </row>
        <row r="97">
          <cell r="H97">
            <v>0</v>
          </cell>
        </row>
        <row r="99">
          <cell r="H99">
            <v>0</v>
          </cell>
        </row>
        <row r="100">
          <cell r="H100">
            <v>0</v>
          </cell>
        </row>
        <row r="101">
          <cell r="H101">
            <v>0</v>
          </cell>
        </row>
        <row r="102">
          <cell r="H102">
            <v>0</v>
          </cell>
        </row>
        <row r="104">
          <cell r="H104">
            <v>0</v>
          </cell>
        </row>
        <row r="105">
          <cell r="H105">
            <v>0</v>
          </cell>
        </row>
        <row r="106">
          <cell r="H106">
            <v>0</v>
          </cell>
        </row>
        <row r="107">
          <cell r="H107">
            <v>0</v>
          </cell>
        </row>
        <row r="109">
          <cell r="H109">
            <v>0</v>
          </cell>
        </row>
        <row r="110">
          <cell r="H110">
            <v>0</v>
          </cell>
        </row>
        <row r="111">
          <cell r="H111">
            <v>0</v>
          </cell>
        </row>
        <row r="112">
          <cell r="H112">
            <v>0</v>
          </cell>
        </row>
        <row r="114">
          <cell r="H114">
            <v>0</v>
          </cell>
        </row>
        <row r="115">
          <cell r="H115">
            <v>0</v>
          </cell>
        </row>
        <row r="116">
          <cell r="H116">
            <v>0</v>
          </cell>
        </row>
        <row r="117">
          <cell r="H117">
            <v>0</v>
          </cell>
        </row>
        <row r="119">
          <cell r="H119">
            <v>0</v>
          </cell>
        </row>
        <row r="120">
          <cell r="H120">
            <v>0</v>
          </cell>
        </row>
        <row r="121">
          <cell r="H121">
            <v>0</v>
          </cell>
        </row>
        <row r="122">
          <cell r="H122">
            <v>0</v>
          </cell>
        </row>
        <row r="124">
          <cell r="H124">
            <v>0</v>
          </cell>
        </row>
        <row r="125">
          <cell r="H125">
            <v>0</v>
          </cell>
        </row>
        <row r="126">
          <cell r="H126">
            <v>0</v>
          </cell>
        </row>
        <row r="127">
          <cell r="H127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0</v>
          </cell>
        </row>
        <row r="134">
          <cell r="H134">
            <v>0</v>
          </cell>
        </row>
        <row r="135">
          <cell r="H135">
            <v>0</v>
          </cell>
        </row>
        <row r="136">
          <cell r="H136">
            <v>0</v>
          </cell>
        </row>
        <row r="137">
          <cell r="H137">
            <v>0</v>
          </cell>
        </row>
        <row r="139">
          <cell r="C139">
            <v>184625</v>
          </cell>
          <cell r="H139">
            <v>185</v>
          </cell>
        </row>
        <row r="140">
          <cell r="H140">
            <v>176</v>
          </cell>
        </row>
        <row r="141">
          <cell r="C141">
            <v>175517</v>
          </cell>
          <cell r="H141">
            <v>176</v>
          </cell>
        </row>
        <row r="142">
          <cell r="H142">
            <v>0</v>
          </cell>
        </row>
        <row r="144">
          <cell r="C144">
            <v>31688</v>
          </cell>
          <cell r="H144">
            <v>32</v>
          </cell>
        </row>
        <row r="145">
          <cell r="H145">
            <v>37</v>
          </cell>
        </row>
        <row r="146">
          <cell r="C146">
            <v>36495</v>
          </cell>
          <cell r="H146">
            <v>36</v>
          </cell>
        </row>
        <row r="147">
          <cell r="C147">
            <v>793.6</v>
          </cell>
          <cell r="H147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aris"/>
      <sheetName val="Marts"/>
      <sheetName val="Aprilis"/>
      <sheetName val="Maijs"/>
      <sheetName val="Junijs"/>
      <sheetName val="Jūlijs"/>
      <sheetName val="Augusts"/>
      <sheetName val="Septembris"/>
      <sheetName val="Oktobris"/>
      <sheetName val="Novembris"/>
    </sheetNames>
    <sheetDataSet>
      <sheetData sheetId="2">
        <row r="9">
          <cell r="C9">
            <v>0</v>
          </cell>
        </row>
        <row r="32">
          <cell r="C32">
            <v>0</v>
          </cell>
        </row>
      </sheetData>
      <sheetData sheetId="9">
        <row r="9">
          <cell r="H9">
            <v>372524</v>
          </cell>
        </row>
        <row r="13">
          <cell r="H13">
            <v>130643</v>
          </cell>
        </row>
        <row r="14">
          <cell r="H14">
            <v>33427</v>
          </cell>
        </row>
        <row r="15">
          <cell r="H15">
            <v>86557</v>
          </cell>
        </row>
        <row r="16">
          <cell r="H16">
            <v>84013</v>
          </cell>
        </row>
        <row r="17">
          <cell r="H17">
            <v>2544</v>
          </cell>
        </row>
        <row r="18">
          <cell r="H18">
            <v>3967</v>
          </cell>
        </row>
        <row r="20">
          <cell r="H20">
            <v>233</v>
          </cell>
        </row>
        <row r="21">
          <cell r="H21">
            <v>4017</v>
          </cell>
        </row>
        <row r="22">
          <cell r="H22">
            <v>22601</v>
          </cell>
        </row>
        <row r="23">
          <cell r="H23">
            <v>16899</v>
          </cell>
        </row>
        <row r="24">
          <cell r="H24">
            <v>13798</v>
          </cell>
        </row>
        <row r="25">
          <cell r="H25">
            <v>7472</v>
          </cell>
        </row>
        <row r="27">
          <cell r="H27">
            <v>17880</v>
          </cell>
        </row>
        <row r="28">
          <cell r="H28">
            <v>51831</v>
          </cell>
        </row>
        <row r="30">
          <cell r="H30">
            <v>680</v>
          </cell>
        </row>
        <row r="31">
          <cell r="H31">
            <v>917</v>
          </cell>
        </row>
        <row r="32">
          <cell r="H32">
            <v>-16564</v>
          </cell>
        </row>
      </sheetData>
      <sheetData sheetId="10">
        <row r="11">
          <cell r="G11">
            <v>403290</v>
          </cell>
          <cell r="H11">
            <v>355666</v>
          </cell>
        </row>
        <row r="27">
          <cell r="G27">
            <v>24009</v>
          </cell>
          <cell r="H27">
            <v>20369</v>
          </cell>
        </row>
        <row r="28">
          <cell r="G28">
            <v>57503</v>
          </cell>
          <cell r="H28">
            <v>55055</v>
          </cell>
        </row>
        <row r="30">
          <cell r="G30">
            <v>129</v>
          </cell>
          <cell r="H30">
            <v>994</v>
          </cell>
        </row>
        <row r="31">
          <cell r="G31">
            <v>837</v>
          </cell>
          <cell r="H31">
            <v>1444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aprīlis"/>
      <sheetName val="maijs"/>
      <sheetName val="jūnijs"/>
      <sheetName val="jūlijs"/>
      <sheetName val="septembris"/>
      <sheetName val="oktobris"/>
      <sheetName val="novembris"/>
      <sheetName val="DsalidzinasanaN"/>
      <sheetName val="Sheet3"/>
      <sheetName val="augusts"/>
    </sheetNames>
    <sheetDataSet>
      <sheetData sheetId="6">
        <row r="5">
          <cell r="B5">
            <v>3034434</v>
          </cell>
        </row>
        <row r="6">
          <cell r="B6">
            <v>646253</v>
          </cell>
        </row>
        <row r="7">
          <cell r="B7">
            <v>53595</v>
          </cell>
        </row>
        <row r="16">
          <cell r="B16">
            <v>505490</v>
          </cell>
        </row>
        <row r="17">
          <cell r="B17">
            <v>70948</v>
          </cell>
        </row>
        <row r="18">
          <cell r="B18">
            <v>2433384</v>
          </cell>
        </row>
        <row r="19">
          <cell r="B19">
            <v>2081639</v>
          </cell>
        </row>
        <row r="20">
          <cell r="B20">
            <v>351745</v>
          </cell>
        </row>
        <row r="21">
          <cell r="B21">
            <v>0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639661</v>
          </cell>
        </row>
        <row r="26">
          <cell r="B26">
            <v>16400</v>
          </cell>
        </row>
        <row r="27">
          <cell r="B27">
            <v>300</v>
          </cell>
        </row>
        <row r="28">
          <cell r="B28">
            <v>0</v>
          </cell>
        </row>
        <row r="29">
          <cell r="B29">
            <v>411756</v>
          </cell>
        </row>
        <row r="30">
          <cell r="B30">
            <v>211205</v>
          </cell>
        </row>
        <row r="31">
          <cell r="B31">
            <v>334321</v>
          </cell>
        </row>
        <row r="32">
          <cell r="B32">
            <v>334321</v>
          </cell>
        </row>
        <row r="33">
          <cell r="B33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aprīlis"/>
      <sheetName val="maijs"/>
      <sheetName val="jūnijs"/>
      <sheetName val="jūlijs"/>
      <sheetName val="augusts"/>
      <sheetName val="septembris"/>
      <sheetName val="oktobris"/>
      <sheetName val="novembris"/>
      <sheetName val="Sheet1"/>
      <sheetName val="Natalija"/>
      <sheetName val="darbam"/>
      <sheetName val="a"/>
    </sheetNames>
    <sheetDataSet>
      <sheetData sheetId="9">
        <row r="9">
          <cell r="D9">
            <v>3617243</v>
          </cell>
        </row>
        <row r="10">
          <cell r="D10">
            <v>489547</v>
          </cell>
        </row>
        <row r="11">
          <cell r="D11">
            <v>27118</v>
          </cell>
        </row>
        <row r="12">
          <cell r="D12">
            <v>179244</v>
          </cell>
        </row>
        <row r="13">
          <cell r="D13">
            <v>1199840</v>
          </cell>
        </row>
        <row r="14">
          <cell r="D14">
            <v>588152</v>
          </cell>
        </row>
        <row r="15">
          <cell r="D15">
            <v>21351</v>
          </cell>
        </row>
        <row r="16">
          <cell r="D16">
            <v>70073</v>
          </cell>
        </row>
        <row r="17">
          <cell r="D17">
            <v>907693</v>
          </cell>
        </row>
        <row r="19">
          <cell r="D19">
            <v>77683</v>
          </cell>
        </row>
        <row r="22">
          <cell r="D22">
            <v>2947</v>
          </cell>
        </row>
        <row r="23">
          <cell r="D23">
            <v>53595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ilis"/>
      <sheetName val="Maijs"/>
      <sheetName val="Junijs"/>
      <sheetName val="Julijs"/>
      <sheetName val="Augusts"/>
      <sheetName val="Septembris"/>
      <sheetName val="Oktobris"/>
      <sheetName val="Novembris"/>
    </sheetNames>
    <sheetDataSet>
      <sheetData sheetId="9">
        <row r="8">
          <cell r="D8">
            <v>18541416</v>
          </cell>
          <cell r="K8">
            <v>18542</v>
          </cell>
        </row>
        <row r="9">
          <cell r="D9">
            <v>13191662</v>
          </cell>
          <cell r="K9">
            <v>13192</v>
          </cell>
        </row>
        <row r="10">
          <cell r="D10">
            <v>6946786</v>
          </cell>
          <cell r="K10">
            <v>6947</v>
          </cell>
        </row>
        <row r="11">
          <cell r="D11">
            <v>6244876</v>
          </cell>
          <cell r="K11">
            <v>6245</v>
          </cell>
        </row>
        <row r="12">
          <cell r="D12">
            <v>5349754</v>
          </cell>
          <cell r="K12">
            <v>5350</v>
          </cell>
        </row>
        <row r="13">
          <cell r="D13">
            <v>2779113</v>
          </cell>
          <cell r="K13">
            <v>2779</v>
          </cell>
        </row>
        <row r="14">
          <cell r="D14">
            <v>2570641</v>
          </cell>
          <cell r="K14">
            <v>2571</v>
          </cell>
        </row>
        <row r="15">
          <cell r="D15">
            <v>0</v>
          </cell>
          <cell r="K15">
            <v>0</v>
          </cell>
        </row>
        <row r="16">
          <cell r="D16">
            <v>0</v>
          </cell>
          <cell r="K16">
            <v>0</v>
          </cell>
        </row>
        <row r="17">
          <cell r="K17">
            <v>0</v>
          </cell>
        </row>
        <row r="18">
          <cell r="D18">
            <v>142877</v>
          </cell>
          <cell r="K18">
            <v>143</v>
          </cell>
        </row>
        <row r="19">
          <cell r="D19">
            <v>121099</v>
          </cell>
          <cell r="K19">
            <v>121</v>
          </cell>
        </row>
        <row r="20">
          <cell r="D20">
            <v>121099</v>
          </cell>
          <cell r="K20">
            <v>121</v>
          </cell>
        </row>
        <row r="21">
          <cell r="D21">
            <v>21778</v>
          </cell>
          <cell r="K21">
            <v>22</v>
          </cell>
        </row>
        <row r="22">
          <cell r="D22">
            <v>21778</v>
          </cell>
          <cell r="K22">
            <v>22</v>
          </cell>
        </row>
        <row r="23">
          <cell r="D23">
            <v>0</v>
          </cell>
          <cell r="K23">
            <v>0</v>
          </cell>
        </row>
        <row r="24">
          <cell r="D24">
            <v>0</v>
          </cell>
          <cell r="K24">
            <v>0</v>
          </cell>
        </row>
        <row r="25">
          <cell r="K25">
            <v>0</v>
          </cell>
        </row>
        <row r="26">
          <cell r="D26">
            <v>1260264</v>
          </cell>
          <cell r="K26">
            <v>1261</v>
          </cell>
        </row>
        <row r="27">
          <cell r="D27">
            <v>1247548</v>
          </cell>
          <cell r="K27">
            <v>1248</v>
          </cell>
        </row>
        <row r="28">
          <cell r="D28">
            <v>1171124</v>
          </cell>
          <cell r="K28">
            <v>1171</v>
          </cell>
        </row>
        <row r="29">
          <cell r="D29">
            <v>76424</v>
          </cell>
          <cell r="K29">
            <v>77</v>
          </cell>
        </row>
        <row r="30">
          <cell r="D30">
            <v>12716</v>
          </cell>
          <cell r="K30">
            <v>13</v>
          </cell>
        </row>
        <row r="31">
          <cell r="D31">
            <v>12716</v>
          </cell>
          <cell r="K31">
            <v>13</v>
          </cell>
        </row>
        <row r="32">
          <cell r="D32">
            <v>1484024</v>
          </cell>
          <cell r="K32">
            <v>1484</v>
          </cell>
        </row>
        <row r="33">
          <cell r="D33">
            <v>1220330</v>
          </cell>
          <cell r="K33">
            <v>1220</v>
          </cell>
        </row>
        <row r="34">
          <cell r="D34">
            <v>495962</v>
          </cell>
          <cell r="K34">
            <v>496</v>
          </cell>
        </row>
        <row r="35">
          <cell r="D35">
            <v>724368</v>
          </cell>
          <cell r="K35">
            <v>724</v>
          </cell>
        </row>
        <row r="36">
          <cell r="D36">
            <v>263694</v>
          </cell>
          <cell r="K36">
            <v>264</v>
          </cell>
        </row>
        <row r="37">
          <cell r="D37">
            <v>15710</v>
          </cell>
          <cell r="K37">
            <v>16</v>
          </cell>
        </row>
        <row r="38">
          <cell r="D38">
            <v>247984</v>
          </cell>
          <cell r="K38">
            <v>248</v>
          </cell>
        </row>
        <row r="39">
          <cell r="D39">
            <v>1501556</v>
          </cell>
          <cell r="K39">
            <v>1502</v>
          </cell>
        </row>
        <row r="40">
          <cell r="D40">
            <v>1013847</v>
          </cell>
          <cell r="K40">
            <v>1014</v>
          </cell>
        </row>
        <row r="41">
          <cell r="D41">
            <v>261876</v>
          </cell>
          <cell r="K41">
            <v>262</v>
          </cell>
        </row>
        <row r="42">
          <cell r="D42">
            <v>751971</v>
          </cell>
          <cell r="K42">
            <v>752</v>
          </cell>
        </row>
        <row r="43">
          <cell r="D43">
            <v>487709</v>
          </cell>
          <cell r="K43">
            <v>488</v>
          </cell>
        </row>
        <row r="44">
          <cell r="K44">
            <v>0</v>
          </cell>
        </row>
        <row r="45">
          <cell r="D45">
            <v>487709</v>
          </cell>
          <cell r="K45">
            <v>488</v>
          </cell>
        </row>
        <row r="46">
          <cell r="D46">
            <v>4984468</v>
          </cell>
          <cell r="K46">
            <v>4984</v>
          </cell>
        </row>
        <row r="47">
          <cell r="D47">
            <v>2580625</v>
          </cell>
          <cell r="K47">
            <v>2580</v>
          </cell>
        </row>
        <row r="48">
          <cell r="D48">
            <v>2502571</v>
          </cell>
          <cell r="K48">
            <v>2502</v>
          </cell>
        </row>
        <row r="49">
          <cell r="D49">
            <v>78054</v>
          </cell>
          <cell r="K49">
            <v>78</v>
          </cell>
        </row>
        <row r="50">
          <cell r="D50">
            <v>2403843</v>
          </cell>
          <cell r="K50">
            <v>2404</v>
          </cell>
        </row>
        <row r="51">
          <cell r="D51">
            <v>2403843</v>
          </cell>
          <cell r="K51">
            <v>2404</v>
          </cell>
        </row>
        <row r="52">
          <cell r="D52">
            <v>913080</v>
          </cell>
          <cell r="K52">
            <v>912</v>
          </cell>
        </row>
        <row r="53">
          <cell r="D53">
            <v>744994</v>
          </cell>
          <cell r="K53">
            <v>745</v>
          </cell>
        </row>
        <row r="54">
          <cell r="D54">
            <v>167785</v>
          </cell>
          <cell r="K54">
            <v>168</v>
          </cell>
        </row>
        <row r="55">
          <cell r="D55">
            <v>577209</v>
          </cell>
          <cell r="K55">
            <v>577</v>
          </cell>
        </row>
        <row r="56">
          <cell r="D56">
            <v>168086</v>
          </cell>
          <cell r="K56">
            <v>167</v>
          </cell>
        </row>
        <row r="57">
          <cell r="D57">
            <v>16677</v>
          </cell>
          <cell r="K57">
            <v>16</v>
          </cell>
        </row>
        <row r="58">
          <cell r="D58">
            <v>151409</v>
          </cell>
          <cell r="K58">
            <v>151</v>
          </cell>
        </row>
        <row r="59">
          <cell r="D59">
            <v>3103125</v>
          </cell>
          <cell r="K59">
            <v>3103</v>
          </cell>
        </row>
        <row r="60">
          <cell r="D60">
            <v>1671290</v>
          </cell>
          <cell r="K60">
            <v>1671</v>
          </cell>
        </row>
        <row r="61">
          <cell r="D61">
            <v>260315</v>
          </cell>
          <cell r="K61">
            <v>260</v>
          </cell>
        </row>
        <row r="62">
          <cell r="D62">
            <v>1410975</v>
          </cell>
          <cell r="K62">
            <v>1411</v>
          </cell>
        </row>
        <row r="63">
          <cell r="D63">
            <v>1431835</v>
          </cell>
          <cell r="K63">
            <v>1432</v>
          </cell>
        </row>
        <row r="64">
          <cell r="D64">
            <v>1431835</v>
          </cell>
          <cell r="K64">
            <v>1432</v>
          </cell>
        </row>
        <row r="65">
          <cell r="D65">
            <v>503700</v>
          </cell>
          <cell r="K65">
            <v>504</v>
          </cell>
        </row>
        <row r="66">
          <cell r="D66">
            <v>315533</v>
          </cell>
          <cell r="K66">
            <v>316</v>
          </cell>
        </row>
        <row r="67">
          <cell r="D67">
            <v>315533</v>
          </cell>
          <cell r="K67">
            <v>316</v>
          </cell>
        </row>
        <row r="68">
          <cell r="K68">
            <v>0</v>
          </cell>
        </row>
        <row r="69">
          <cell r="D69">
            <v>188167</v>
          </cell>
          <cell r="K69">
            <v>188</v>
          </cell>
        </row>
        <row r="70">
          <cell r="D70">
            <v>162141</v>
          </cell>
          <cell r="K70">
            <v>162</v>
          </cell>
        </row>
        <row r="71">
          <cell r="D71">
            <v>26026</v>
          </cell>
          <cell r="K71">
            <v>26</v>
          </cell>
        </row>
        <row r="72">
          <cell r="D72">
            <v>906700</v>
          </cell>
          <cell r="K72">
            <v>908</v>
          </cell>
        </row>
        <row r="73">
          <cell r="D73">
            <v>667424</v>
          </cell>
          <cell r="K73">
            <v>668</v>
          </cell>
        </row>
        <row r="74">
          <cell r="D74">
            <v>255628</v>
          </cell>
          <cell r="K74">
            <v>256</v>
          </cell>
        </row>
        <row r="75">
          <cell r="D75">
            <v>411796</v>
          </cell>
          <cell r="K75">
            <v>412</v>
          </cell>
        </row>
        <row r="76">
          <cell r="D76">
            <v>239276</v>
          </cell>
          <cell r="K76">
            <v>240</v>
          </cell>
        </row>
        <row r="77">
          <cell r="D77">
            <v>29701</v>
          </cell>
          <cell r="K77">
            <v>30</v>
          </cell>
        </row>
        <row r="78">
          <cell r="D78">
            <v>209575</v>
          </cell>
          <cell r="K78">
            <v>210</v>
          </cell>
        </row>
        <row r="79">
          <cell r="D79">
            <v>2244877</v>
          </cell>
          <cell r="K79">
            <v>2245</v>
          </cell>
        </row>
        <row r="80">
          <cell r="D80">
            <v>2236263</v>
          </cell>
          <cell r="K80">
            <v>2236</v>
          </cell>
        </row>
        <row r="81">
          <cell r="D81">
            <v>22184</v>
          </cell>
          <cell r="K81">
            <v>22</v>
          </cell>
        </row>
        <row r="82">
          <cell r="D82">
            <v>2214079</v>
          </cell>
          <cell r="K82">
            <v>2214</v>
          </cell>
        </row>
        <row r="83">
          <cell r="D83">
            <v>8614</v>
          </cell>
          <cell r="K83">
            <v>9</v>
          </cell>
        </row>
        <row r="85">
          <cell r="D85">
            <v>8614</v>
          </cell>
          <cell r="K85">
            <v>9</v>
          </cell>
        </row>
        <row r="86">
          <cell r="D86">
            <v>73243</v>
          </cell>
          <cell r="K86">
            <v>73</v>
          </cell>
        </row>
        <row r="87">
          <cell r="D87">
            <v>71122</v>
          </cell>
          <cell r="K87">
            <v>71</v>
          </cell>
        </row>
        <row r="88">
          <cell r="D88">
            <v>71122</v>
          </cell>
          <cell r="K88">
            <v>71</v>
          </cell>
        </row>
        <row r="89">
          <cell r="D89">
            <v>2121</v>
          </cell>
          <cell r="K89">
            <v>2</v>
          </cell>
        </row>
        <row r="90">
          <cell r="D90">
            <v>2121</v>
          </cell>
          <cell r="K90">
            <v>2</v>
          </cell>
        </row>
        <row r="91">
          <cell r="D91">
            <v>17489</v>
          </cell>
          <cell r="K91">
            <v>17</v>
          </cell>
        </row>
        <row r="92">
          <cell r="D92">
            <v>0</v>
          </cell>
          <cell r="K92">
            <v>0</v>
          </cell>
        </row>
        <row r="93">
          <cell r="K93">
            <v>0</v>
          </cell>
        </row>
        <row r="94">
          <cell r="K94">
            <v>0</v>
          </cell>
        </row>
        <row r="95">
          <cell r="D95">
            <v>17489</v>
          </cell>
          <cell r="K95">
            <v>17</v>
          </cell>
        </row>
        <row r="96">
          <cell r="D96">
            <v>10000</v>
          </cell>
          <cell r="K96">
            <v>10</v>
          </cell>
        </row>
        <row r="97">
          <cell r="D97">
            <v>7489</v>
          </cell>
          <cell r="K97">
            <v>7</v>
          </cell>
        </row>
        <row r="98">
          <cell r="D98">
            <v>1086486</v>
          </cell>
          <cell r="K98">
            <v>1086</v>
          </cell>
        </row>
        <row r="99">
          <cell r="D99">
            <v>982060</v>
          </cell>
          <cell r="K99">
            <v>982</v>
          </cell>
        </row>
        <row r="100">
          <cell r="D100">
            <v>982060</v>
          </cell>
          <cell r="K100">
            <v>982</v>
          </cell>
        </row>
        <row r="101">
          <cell r="K101">
            <v>0</v>
          </cell>
        </row>
        <row r="102">
          <cell r="D102">
            <v>104426</v>
          </cell>
          <cell r="K102">
            <v>104</v>
          </cell>
        </row>
        <row r="103">
          <cell r="D103">
            <v>104426</v>
          </cell>
          <cell r="K103">
            <v>104</v>
          </cell>
        </row>
        <row r="104">
          <cell r="D104">
            <v>319527</v>
          </cell>
          <cell r="K104">
            <v>320</v>
          </cell>
        </row>
        <row r="105">
          <cell r="D105">
            <v>319527</v>
          </cell>
          <cell r="K105">
            <v>320</v>
          </cell>
        </row>
        <row r="106">
          <cell r="D106">
            <v>319527</v>
          </cell>
          <cell r="K106">
            <v>320</v>
          </cell>
        </row>
        <row r="107">
          <cell r="D107">
            <v>0</v>
          </cell>
          <cell r="K107">
            <v>0</v>
          </cell>
        </row>
        <row r="108">
          <cell r="K108">
            <v>0</v>
          </cell>
        </row>
        <row r="109">
          <cell r="D109">
            <v>5087657</v>
          </cell>
          <cell r="K109">
            <v>5088</v>
          </cell>
        </row>
        <row r="110">
          <cell r="D110">
            <v>2354831</v>
          </cell>
          <cell r="K110">
            <v>2355</v>
          </cell>
        </row>
        <row r="111">
          <cell r="D111">
            <v>363629</v>
          </cell>
          <cell r="K111">
            <v>364</v>
          </cell>
        </row>
        <row r="112">
          <cell r="D112">
            <v>1991202</v>
          </cell>
          <cell r="K112">
            <v>1991</v>
          </cell>
        </row>
        <row r="113">
          <cell r="D113">
            <v>2732826</v>
          </cell>
          <cell r="K113">
            <v>2733</v>
          </cell>
        </row>
        <row r="114">
          <cell r="D114">
            <v>174581</v>
          </cell>
          <cell r="K114">
            <v>175</v>
          </cell>
        </row>
        <row r="115">
          <cell r="D115">
            <v>2558245</v>
          </cell>
          <cell r="K115">
            <v>2558</v>
          </cell>
        </row>
        <row r="116">
          <cell r="D116">
            <v>4757166</v>
          </cell>
          <cell r="K116">
            <v>4757</v>
          </cell>
        </row>
        <row r="117">
          <cell r="D117">
            <v>2198921</v>
          </cell>
          <cell r="K117">
            <v>2199</v>
          </cell>
        </row>
        <row r="118">
          <cell r="D118">
            <v>207719</v>
          </cell>
          <cell r="K118">
            <v>208</v>
          </cell>
        </row>
        <row r="119">
          <cell r="D119">
            <v>1991202</v>
          </cell>
          <cell r="K119">
            <v>1991</v>
          </cell>
        </row>
        <row r="120">
          <cell r="D120">
            <v>2558245</v>
          </cell>
          <cell r="K120">
            <v>2558</v>
          </cell>
        </row>
        <row r="121">
          <cell r="D121">
            <v>2558245</v>
          </cell>
          <cell r="K121">
            <v>2558</v>
          </cell>
        </row>
        <row r="122">
          <cell r="D122">
            <v>0</v>
          </cell>
          <cell r="K122">
            <v>0</v>
          </cell>
        </row>
        <row r="123">
          <cell r="D123">
            <v>0</v>
          </cell>
          <cell r="K123">
            <v>0</v>
          </cell>
        </row>
        <row r="124">
          <cell r="K124">
            <v>0</v>
          </cell>
        </row>
        <row r="125">
          <cell r="D125">
            <v>0</v>
          </cell>
          <cell r="K125">
            <v>0</v>
          </cell>
        </row>
        <row r="126">
          <cell r="K126">
            <v>0</v>
          </cell>
        </row>
        <row r="127">
          <cell r="D127">
            <v>330491</v>
          </cell>
          <cell r="K127">
            <v>331</v>
          </cell>
        </row>
        <row r="128">
          <cell r="D128">
            <v>155910</v>
          </cell>
          <cell r="K128">
            <v>156</v>
          </cell>
        </row>
        <row r="129">
          <cell r="D129">
            <v>155910</v>
          </cell>
          <cell r="K129">
            <v>156</v>
          </cell>
        </row>
        <row r="130">
          <cell r="D130">
            <v>174581</v>
          </cell>
          <cell r="K130">
            <v>175</v>
          </cell>
        </row>
        <row r="131">
          <cell r="D131">
            <v>174581</v>
          </cell>
          <cell r="K131">
            <v>175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aris"/>
      <sheetName val="Marts"/>
      <sheetName val="Aprilis"/>
      <sheetName val="Maijs"/>
      <sheetName val="Junijs"/>
      <sheetName val="Jūlijs"/>
      <sheetName val="Augusts"/>
      <sheetName val="Septembris"/>
      <sheetName val="Oktobris"/>
      <sheetName val="Novembris"/>
    </sheetNames>
    <sheetDataSet>
      <sheetData sheetId="9">
        <row r="11">
          <cell r="C11">
            <v>205771</v>
          </cell>
        </row>
        <row r="12">
          <cell r="C12">
            <v>14790</v>
          </cell>
        </row>
        <row r="13">
          <cell r="C13">
            <v>21197</v>
          </cell>
        </row>
        <row r="14">
          <cell r="C14">
            <v>130766</v>
          </cell>
        </row>
        <row r="15">
          <cell r="C15">
            <v>7048</v>
          </cell>
        </row>
        <row r="16">
          <cell r="C16">
            <v>22601</v>
          </cell>
        </row>
        <row r="18">
          <cell r="C18">
            <v>33846</v>
          </cell>
        </row>
        <row r="19">
          <cell r="C19">
            <v>33846</v>
          </cell>
        </row>
        <row r="20">
          <cell r="C20">
            <v>9953</v>
          </cell>
        </row>
        <row r="31">
          <cell r="C31">
            <v>9953</v>
          </cell>
        </row>
        <row r="32">
          <cell r="C32">
            <v>5821</v>
          </cell>
        </row>
        <row r="33">
          <cell r="C33">
            <v>5412</v>
          </cell>
        </row>
        <row r="35">
          <cell r="C35">
            <v>29649</v>
          </cell>
        </row>
        <row r="37">
          <cell r="C37">
            <v>319614</v>
          </cell>
        </row>
        <row r="38">
          <cell r="C38">
            <v>29649</v>
          </cell>
        </row>
        <row r="40">
          <cell r="C40">
            <v>17880</v>
          </cell>
        </row>
        <row r="41">
          <cell r="C41">
            <v>51831</v>
          </cell>
        </row>
        <row r="44">
          <cell r="C44">
            <v>680</v>
          </cell>
        </row>
        <row r="45">
          <cell r="C45">
            <v>917</v>
          </cell>
        </row>
        <row r="48">
          <cell r="C48">
            <v>23711</v>
          </cell>
        </row>
        <row r="49">
          <cell r="C49">
            <v>5988</v>
          </cell>
        </row>
        <row r="50">
          <cell r="C50">
            <v>1494</v>
          </cell>
        </row>
        <row r="53">
          <cell r="C53">
            <v>688</v>
          </cell>
        </row>
        <row r="54">
          <cell r="C54">
            <v>3366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aris"/>
      <sheetName val="marts"/>
      <sheetName val="Aprilis"/>
      <sheetName val="Maijs"/>
      <sheetName val="Junijs"/>
      <sheetName val="Jūlijs"/>
      <sheetName val="Augusts"/>
      <sheetName val="Septembris"/>
      <sheetName val="Oktobris"/>
      <sheetName val="Novembris"/>
    </sheetNames>
    <sheetDataSet>
      <sheetData sheetId="9">
        <row r="9">
          <cell r="C9">
            <v>4212</v>
          </cell>
        </row>
        <row r="10">
          <cell r="C10">
            <v>3332</v>
          </cell>
        </row>
        <row r="11">
          <cell r="C11">
            <v>880</v>
          </cell>
        </row>
        <row r="13">
          <cell r="C13">
            <v>4898</v>
          </cell>
        </row>
        <row r="14">
          <cell r="C14">
            <v>2539</v>
          </cell>
        </row>
        <row r="15">
          <cell r="C15">
            <v>2295</v>
          </cell>
        </row>
        <row r="16">
          <cell r="C16">
            <v>254</v>
          </cell>
        </row>
        <row r="17">
          <cell r="C17">
            <v>61</v>
          </cell>
        </row>
        <row r="18">
          <cell r="C18">
            <v>1980</v>
          </cell>
        </row>
        <row r="19">
          <cell r="C19">
            <v>1865</v>
          </cell>
        </row>
        <row r="20">
          <cell r="C20">
            <v>115</v>
          </cell>
        </row>
        <row r="22">
          <cell r="C22">
            <v>5</v>
          </cell>
        </row>
        <row r="23">
          <cell r="C23">
            <v>5</v>
          </cell>
        </row>
        <row r="25">
          <cell r="C25">
            <v>239</v>
          </cell>
        </row>
        <row r="27">
          <cell r="C27">
            <v>10</v>
          </cell>
        </row>
        <row r="29">
          <cell r="C29">
            <v>160</v>
          </cell>
        </row>
        <row r="30">
          <cell r="C30">
            <v>36</v>
          </cell>
        </row>
        <row r="31">
          <cell r="C31">
            <v>2359</v>
          </cell>
        </row>
        <row r="32">
          <cell r="C32">
            <v>1871</v>
          </cell>
        </row>
        <row r="33">
          <cell r="C33">
            <v>488</v>
          </cell>
        </row>
        <row r="34">
          <cell r="C34">
            <v>-880</v>
          </cell>
        </row>
        <row r="36">
          <cell r="C36">
            <v>880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aris"/>
      <sheetName val="Marts"/>
      <sheetName val="Aprilis"/>
      <sheetName val="Maijs"/>
      <sheetName val="Junijs"/>
      <sheetName val="Jūlijs"/>
      <sheetName val="Augusts"/>
      <sheetName val="Septembris"/>
      <sheetName val="Oktobris"/>
      <sheetName val="Novembris"/>
    </sheetNames>
    <sheetDataSet>
      <sheetData sheetId="9">
        <row r="9">
          <cell r="C9">
            <v>4018</v>
          </cell>
        </row>
        <row r="10">
          <cell r="C10">
            <v>4011</v>
          </cell>
        </row>
        <row r="11">
          <cell r="C11">
            <v>161</v>
          </cell>
        </row>
        <row r="13">
          <cell r="C13">
            <v>8</v>
          </cell>
        </row>
        <row r="14">
          <cell r="C14">
            <v>686</v>
          </cell>
        </row>
        <row r="15">
          <cell r="C15">
            <v>33</v>
          </cell>
        </row>
        <row r="16">
          <cell r="C16">
            <v>150</v>
          </cell>
        </row>
        <row r="17">
          <cell r="C17">
            <v>2614</v>
          </cell>
        </row>
        <row r="18">
          <cell r="C18">
            <v>904</v>
          </cell>
        </row>
        <row r="19">
          <cell r="C19">
            <v>-18</v>
          </cell>
        </row>
        <row r="23">
          <cell r="C23">
            <v>195</v>
          </cell>
        </row>
        <row r="27">
          <cell r="C27">
            <v>8</v>
          </cell>
        </row>
        <row r="28">
          <cell r="C28">
            <v>7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ilis"/>
      <sheetName val="Maijs"/>
      <sheetName val="Junijs"/>
      <sheetName val="Julijs"/>
      <sheetName val="Augusts"/>
      <sheetName val="Septembris"/>
      <sheetName val="Oktobris"/>
      <sheetName val="Novembris"/>
    </sheetNames>
    <sheetDataSet>
      <sheetData sheetId="9">
        <row r="9">
          <cell r="C9">
            <v>44143141</v>
          </cell>
          <cell r="H9">
            <v>44143</v>
          </cell>
        </row>
        <row r="10">
          <cell r="C10">
            <v>38334163</v>
          </cell>
          <cell r="H10">
            <v>38334</v>
          </cell>
        </row>
        <row r="11">
          <cell r="C11">
            <v>269167</v>
          </cell>
          <cell r="H11">
            <v>269</v>
          </cell>
        </row>
        <row r="12">
          <cell r="C12">
            <v>48452</v>
          </cell>
          <cell r="H12">
            <v>48</v>
          </cell>
        </row>
        <row r="13">
          <cell r="C13">
            <v>220715</v>
          </cell>
          <cell r="H13">
            <v>221</v>
          </cell>
        </row>
        <row r="14">
          <cell r="C14">
            <v>826308</v>
          </cell>
          <cell r="H14">
            <v>826</v>
          </cell>
        </row>
        <row r="15">
          <cell r="C15">
            <v>117860</v>
          </cell>
          <cell r="H15">
            <v>118</v>
          </cell>
        </row>
        <row r="16">
          <cell r="C16">
            <v>58448</v>
          </cell>
          <cell r="H16">
            <v>58</v>
          </cell>
        </row>
        <row r="17">
          <cell r="C17">
            <v>530000</v>
          </cell>
          <cell r="H17">
            <v>530</v>
          </cell>
        </row>
        <row r="18">
          <cell r="C18">
            <v>120000</v>
          </cell>
          <cell r="H18">
            <v>120</v>
          </cell>
        </row>
        <row r="19">
          <cell r="C19">
            <v>291237</v>
          </cell>
          <cell r="H19">
            <v>291</v>
          </cell>
        </row>
        <row r="20">
          <cell r="C20">
            <v>291237</v>
          </cell>
          <cell r="H20">
            <v>291</v>
          </cell>
        </row>
        <row r="21">
          <cell r="C21">
            <v>275000</v>
          </cell>
          <cell r="H21">
            <v>275</v>
          </cell>
        </row>
        <row r="22">
          <cell r="C22">
            <v>275000</v>
          </cell>
          <cell r="H22">
            <v>275</v>
          </cell>
        </row>
        <row r="23">
          <cell r="C23">
            <v>2722512</v>
          </cell>
          <cell r="H23">
            <v>2723</v>
          </cell>
        </row>
        <row r="24">
          <cell r="C24">
            <v>988160</v>
          </cell>
          <cell r="H24">
            <v>988</v>
          </cell>
        </row>
        <row r="25">
          <cell r="C25">
            <v>899241</v>
          </cell>
          <cell r="H25">
            <v>899</v>
          </cell>
        </row>
        <row r="26">
          <cell r="C26">
            <v>69787</v>
          </cell>
          <cell r="H26">
            <v>70</v>
          </cell>
        </row>
        <row r="27">
          <cell r="C27">
            <v>192320</v>
          </cell>
          <cell r="H27">
            <v>192</v>
          </cell>
        </row>
        <row r="28">
          <cell r="C28">
            <v>120599</v>
          </cell>
          <cell r="H28">
            <v>121</v>
          </cell>
        </row>
        <row r="29">
          <cell r="C29">
            <v>452405</v>
          </cell>
          <cell r="H29">
            <v>453</v>
          </cell>
        </row>
        <row r="30">
          <cell r="C30">
            <v>1424754</v>
          </cell>
          <cell r="H30">
            <v>1425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aris"/>
      <sheetName val="Marts"/>
      <sheetName val="Aprilis"/>
      <sheetName val="Maijs"/>
      <sheetName val="Junijs"/>
      <sheetName val="Jūlijs"/>
      <sheetName val="Augusts"/>
      <sheetName val="Septembris"/>
      <sheetName val="Oktobris"/>
      <sheetName val="Novembris"/>
    </sheetNames>
    <sheetDataSet>
      <sheetData sheetId="9">
        <row r="11">
          <cell r="H11">
            <v>38364</v>
          </cell>
        </row>
        <row r="12">
          <cell r="H12">
            <v>103</v>
          </cell>
        </row>
        <row r="13">
          <cell r="H13">
            <v>4978</v>
          </cell>
        </row>
        <row r="14">
          <cell r="H14">
            <v>174748</v>
          </cell>
        </row>
        <row r="15">
          <cell r="H15">
            <v>5230</v>
          </cell>
        </row>
        <row r="16">
          <cell r="H16">
            <v>29869</v>
          </cell>
        </row>
        <row r="17">
          <cell r="H17">
            <v>59298</v>
          </cell>
        </row>
        <row r="18">
          <cell r="H18">
            <v>28530</v>
          </cell>
        </row>
        <row r="19">
          <cell r="H19">
            <v>659</v>
          </cell>
        </row>
        <row r="20">
          <cell r="H20">
            <v>1223</v>
          </cell>
        </row>
        <row r="21">
          <cell r="H21">
            <v>65</v>
          </cell>
        </row>
        <row r="22">
          <cell r="H22">
            <v>9358</v>
          </cell>
        </row>
        <row r="23">
          <cell r="H23">
            <v>1161</v>
          </cell>
        </row>
        <row r="24">
          <cell r="H24">
            <v>3195</v>
          </cell>
        </row>
        <row r="25">
          <cell r="H25">
            <v>674</v>
          </cell>
        </row>
        <row r="26">
          <cell r="H26">
            <v>19</v>
          </cell>
        </row>
        <row r="27">
          <cell r="H27">
            <v>1541</v>
          </cell>
        </row>
        <row r="31">
          <cell r="H31">
            <v>6219</v>
          </cell>
        </row>
        <row r="32">
          <cell r="H32">
            <v>593</v>
          </cell>
        </row>
        <row r="33">
          <cell r="H33">
            <v>660</v>
          </cell>
        </row>
        <row r="35">
          <cell r="H35">
            <v>22601</v>
          </cell>
        </row>
      </sheetData>
      <sheetData sheetId="10">
        <row r="34">
          <cell r="G34">
            <v>27208</v>
          </cell>
          <cell r="H34">
            <v>24906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"/>
      <sheetName val="darbam"/>
      <sheetName val="Sheet1"/>
      <sheetName val="februāris"/>
    </sheetNames>
    <sheetDataSet>
      <sheetData sheetId="0">
        <row r="66">
          <cell r="C66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Aprīlis"/>
      <sheetName val="Maijs"/>
      <sheetName val="Jūnijs"/>
      <sheetName val="Jūlijs"/>
      <sheetName val="Augusts"/>
      <sheetName val="Septembris"/>
      <sheetName val="Oktobris"/>
      <sheetName val="Novembris"/>
    </sheetNames>
    <sheetDataSet>
      <sheetData sheetId="9">
        <row r="23">
          <cell r="D23">
            <v>1093796</v>
          </cell>
          <cell r="L23">
            <v>1094</v>
          </cell>
        </row>
        <row r="25">
          <cell r="D25">
            <v>982144.34</v>
          </cell>
          <cell r="L25">
            <v>982</v>
          </cell>
        </row>
        <row r="26">
          <cell r="D26">
            <v>55783.06</v>
          </cell>
        </row>
        <row r="29">
          <cell r="D29">
            <v>5764551</v>
          </cell>
          <cell r="L29">
            <v>5765</v>
          </cell>
        </row>
        <row r="30">
          <cell r="D30">
            <v>275011.8</v>
          </cell>
          <cell r="L30">
            <v>275</v>
          </cell>
        </row>
        <row r="32">
          <cell r="D32">
            <v>4453782.4</v>
          </cell>
          <cell r="L32">
            <v>4454</v>
          </cell>
        </row>
        <row r="33">
          <cell r="D33">
            <v>956553.42</v>
          </cell>
          <cell r="L33">
            <v>956</v>
          </cell>
        </row>
        <row r="36">
          <cell r="D36">
            <v>2463716</v>
          </cell>
          <cell r="L36">
            <v>2464</v>
          </cell>
        </row>
        <row r="37">
          <cell r="D37">
            <v>232342.75</v>
          </cell>
          <cell r="L37">
            <v>232</v>
          </cell>
        </row>
        <row r="38">
          <cell r="D38">
            <v>121098.61</v>
          </cell>
          <cell r="L38">
            <v>121</v>
          </cell>
        </row>
        <row r="40">
          <cell r="D40">
            <v>2646078.81</v>
          </cell>
          <cell r="L40">
            <v>2646</v>
          </cell>
        </row>
        <row r="41">
          <cell r="D41">
            <v>93096.13</v>
          </cell>
          <cell r="L41">
            <v>93</v>
          </cell>
        </row>
        <row r="44">
          <cell r="D44">
            <v>38790882</v>
          </cell>
          <cell r="L44">
            <v>38791</v>
          </cell>
        </row>
        <row r="45">
          <cell r="D45">
            <v>1390786.15</v>
          </cell>
          <cell r="L45">
            <v>1391</v>
          </cell>
        </row>
        <row r="47">
          <cell r="D47">
            <v>34909569.12</v>
          </cell>
          <cell r="L47">
            <v>34910</v>
          </cell>
        </row>
        <row r="48">
          <cell r="D48">
            <v>3424593.72</v>
          </cell>
          <cell r="L48">
            <v>3425</v>
          </cell>
        </row>
        <row r="51">
          <cell r="D51">
            <v>9020651</v>
          </cell>
          <cell r="L51">
            <v>9021</v>
          </cell>
        </row>
        <row r="52">
          <cell r="D52">
            <v>121570.37</v>
          </cell>
        </row>
        <row r="54">
          <cell r="D54">
            <v>8595192.99</v>
          </cell>
          <cell r="L54">
            <v>8595</v>
          </cell>
        </row>
        <row r="55">
          <cell r="D55">
            <v>306417.5</v>
          </cell>
          <cell r="L55">
            <v>306</v>
          </cell>
        </row>
        <row r="58">
          <cell r="D58">
            <v>5195057</v>
          </cell>
          <cell r="L58">
            <v>5195</v>
          </cell>
        </row>
        <row r="59">
          <cell r="D59">
            <v>11722.22</v>
          </cell>
        </row>
        <row r="60">
          <cell r="D60">
            <v>917803.32</v>
          </cell>
          <cell r="L60">
            <v>918</v>
          </cell>
        </row>
        <row r="61">
          <cell r="D61">
            <v>1378399.42</v>
          </cell>
          <cell r="L61">
            <v>1378</v>
          </cell>
        </row>
        <row r="63">
          <cell r="D63">
            <v>6637547.5</v>
          </cell>
          <cell r="L63">
            <v>6637</v>
          </cell>
        </row>
        <row r="64">
          <cell r="D64">
            <v>295062.05</v>
          </cell>
          <cell r="L64">
            <v>295</v>
          </cell>
        </row>
        <row r="67">
          <cell r="D67">
            <v>72427560</v>
          </cell>
          <cell r="L67">
            <v>72427</v>
          </cell>
        </row>
        <row r="68">
          <cell r="D68">
            <v>473321.99</v>
          </cell>
          <cell r="L68">
            <v>473</v>
          </cell>
        </row>
        <row r="69">
          <cell r="D69">
            <v>3350947.01</v>
          </cell>
          <cell r="L69">
            <v>3351</v>
          </cell>
        </row>
        <row r="70">
          <cell r="D70">
            <v>1220574.98</v>
          </cell>
          <cell r="L70">
            <v>1221</v>
          </cell>
        </row>
        <row r="72">
          <cell r="D72">
            <v>70184987.8</v>
          </cell>
          <cell r="L72">
            <v>70185</v>
          </cell>
        </row>
        <row r="73">
          <cell r="D73">
            <v>4213636</v>
          </cell>
          <cell r="L73">
            <v>4214</v>
          </cell>
        </row>
        <row r="74">
          <cell r="D74">
            <v>31050037</v>
          </cell>
          <cell r="L74">
            <v>31050</v>
          </cell>
        </row>
        <row r="75">
          <cell r="D75">
            <v>-27976256.819999993</v>
          </cell>
          <cell r="L75">
            <v>-27977</v>
          </cell>
        </row>
        <row r="78">
          <cell r="D78">
            <v>63975073</v>
          </cell>
          <cell r="L78">
            <v>63975</v>
          </cell>
        </row>
        <row r="79">
          <cell r="D79">
            <v>5634672.93</v>
          </cell>
          <cell r="L79">
            <v>5635</v>
          </cell>
        </row>
        <row r="80">
          <cell r="D80">
            <v>1013846.85</v>
          </cell>
          <cell r="L80">
            <v>1014</v>
          </cell>
        </row>
        <row r="82">
          <cell r="D82">
            <v>60893803.11</v>
          </cell>
          <cell r="L82">
            <v>60894</v>
          </cell>
        </row>
        <row r="83">
          <cell r="D83">
            <v>8584725.62</v>
          </cell>
          <cell r="L83">
            <v>8585</v>
          </cell>
        </row>
        <row r="86">
          <cell r="D86">
            <v>45781409</v>
          </cell>
          <cell r="L86">
            <v>45781</v>
          </cell>
        </row>
        <row r="87">
          <cell r="D87">
            <v>1447475.51</v>
          </cell>
          <cell r="L87">
            <v>1447</v>
          </cell>
        </row>
        <row r="88">
          <cell r="D88">
            <v>19161007.8</v>
          </cell>
          <cell r="L88">
            <v>19161</v>
          </cell>
        </row>
        <row r="89">
          <cell r="D89">
            <v>2580781.89</v>
          </cell>
          <cell r="L89">
            <v>2581</v>
          </cell>
        </row>
        <row r="91">
          <cell r="D91">
            <v>57636349.41</v>
          </cell>
          <cell r="L91">
            <v>57636</v>
          </cell>
        </row>
        <row r="92">
          <cell r="D92">
            <v>5107078.39</v>
          </cell>
          <cell r="L92">
            <v>5107</v>
          </cell>
        </row>
        <row r="95">
          <cell r="D95">
            <v>44542527</v>
          </cell>
          <cell r="L95">
            <v>44542</v>
          </cell>
        </row>
        <row r="96">
          <cell r="D96">
            <v>6403511.15</v>
          </cell>
          <cell r="L96">
            <v>6403</v>
          </cell>
        </row>
        <row r="97">
          <cell r="D97">
            <v>890740.69</v>
          </cell>
          <cell r="L97">
            <v>891</v>
          </cell>
        </row>
        <row r="99">
          <cell r="D99">
            <v>46145149.46</v>
          </cell>
          <cell r="L99">
            <v>46145</v>
          </cell>
        </row>
        <row r="100">
          <cell r="D100">
            <v>3192716.3</v>
          </cell>
          <cell r="L100">
            <v>3193</v>
          </cell>
        </row>
        <row r="103">
          <cell r="D103">
            <v>7356616</v>
          </cell>
          <cell r="L103">
            <v>7357</v>
          </cell>
        </row>
        <row r="104">
          <cell r="D104">
            <v>12851.09</v>
          </cell>
          <cell r="L104">
            <v>13</v>
          </cell>
        </row>
        <row r="105">
          <cell r="D105">
            <v>3617455.29</v>
          </cell>
          <cell r="L105">
            <v>3617</v>
          </cell>
        </row>
        <row r="107">
          <cell r="D107">
            <v>5665394.97</v>
          </cell>
          <cell r="L107">
            <v>5665</v>
          </cell>
        </row>
        <row r="108">
          <cell r="D108">
            <v>3038336.81</v>
          </cell>
          <cell r="L108">
            <v>3038</v>
          </cell>
        </row>
        <row r="111">
          <cell r="D111">
            <v>132207432</v>
          </cell>
          <cell r="L111">
            <v>132207</v>
          </cell>
        </row>
        <row r="113">
          <cell r="D113">
            <v>3628993.01</v>
          </cell>
          <cell r="L113">
            <v>3629</v>
          </cell>
        </row>
        <row r="114">
          <cell r="D114">
            <v>315532.6</v>
          </cell>
          <cell r="L114">
            <v>316</v>
          </cell>
        </row>
        <row r="116">
          <cell r="D116">
            <v>133255765.71</v>
          </cell>
          <cell r="L116">
            <v>133256</v>
          </cell>
        </row>
        <row r="117">
          <cell r="D117">
            <v>1973850.19</v>
          </cell>
          <cell r="L117">
            <v>1974</v>
          </cell>
        </row>
        <row r="120">
          <cell r="D120">
            <v>21298982</v>
          </cell>
          <cell r="L120">
            <v>21299</v>
          </cell>
        </row>
        <row r="121">
          <cell r="D121">
            <v>728541.69</v>
          </cell>
          <cell r="L121">
            <v>729</v>
          </cell>
        </row>
        <row r="122">
          <cell r="D122">
            <v>549357.35</v>
          </cell>
          <cell r="L122">
            <v>549</v>
          </cell>
        </row>
        <row r="124">
          <cell r="D124">
            <v>19150583.86</v>
          </cell>
          <cell r="L124">
            <v>19151</v>
          </cell>
        </row>
        <row r="125">
          <cell r="D125">
            <v>2924681.74</v>
          </cell>
          <cell r="L125">
            <v>2925</v>
          </cell>
        </row>
        <row r="128">
          <cell r="D128">
            <v>6214315</v>
          </cell>
          <cell r="L128">
            <v>6214</v>
          </cell>
        </row>
        <row r="129">
          <cell r="D129">
            <v>1089089.91</v>
          </cell>
          <cell r="L129">
            <v>1089</v>
          </cell>
        </row>
        <row r="130">
          <cell r="D130">
            <v>2410229.9</v>
          </cell>
          <cell r="L130">
            <v>2410</v>
          </cell>
        </row>
        <row r="132">
          <cell r="D132">
            <v>5676185.15</v>
          </cell>
          <cell r="L132">
            <v>5676</v>
          </cell>
        </row>
        <row r="133">
          <cell r="D133">
            <v>2989219.12</v>
          </cell>
          <cell r="L133">
            <v>2989</v>
          </cell>
        </row>
        <row r="136">
          <cell r="D136">
            <v>14491594</v>
          </cell>
          <cell r="L136">
            <v>14492</v>
          </cell>
        </row>
        <row r="137">
          <cell r="D137">
            <v>2135893.54</v>
          </cell>
          <cell r="L137">
            <v>2136</v>
          </cell>
        </row>
        <row r="138">
          <cell r="D138">
            <v>71122.2</v>
          </cell>
          <cell r="L138">
            <v>71</v>
          </cell>
        </row>
        <row r="140">
          <cell r="D140">
            <v>15876288.55</v>
          </cell>
          <cell r="L140">
            <v>15876</v>
          </cell>
        </row>
        <row r="141">
          <cell r="D141">
            <v>464671.84</v>
          </cell>
          <cell r="L141">
            <v>465</v>
          </cell>
        </row>
        <row r="144">
          <cell r="D144">
            <v>4497764</v>
          </cell>
          <cell r="L144">
            <v>4498</v>
          </cell>
        </row>
        <row r="145">
          <cell r="D145">
            <v>6818400.97</v>
          </cell>
          <cell r="L145">
            <v>6818</v>
          </cell>
        </row>
        <row r="147">
          <cell r="D147">
            <v>10683246.11</v>
          </cell>
          <cell r="L147">
            <v>10683</v>
          </cell>
        </row>
        <row r="148">
          <cell r="D148">
            <v>448475.56</v>
          </cell>
          <cell r="L148">
            <v>448</v>
          </cell>
        </row>
        <row r="151">
          <cell r="D151">
            <v>998725</v>
          </cell>
          <cell r="L151">
            <v>999</v>
          </cell>
        </row>
        <row r="152">
          <cell r="D152">
            <v>2508.4</v>
          </cell>
          <cell r="L152">
            <v>2</v>
          </cell>
        </row>
        <row r="155">
          <cell r="D155">
            <v>927910.79</v>
          </cell>
          <cell r="L155">
            <v>928</v>
          </cell>
        </row>
        <row r="156">
          <cell r="D156">
            <v>13783.82</v>
          </cell>
          <cell r="L156">
            <v>14</v>
          </cell>
        </row>
        <row r="159">
          <cell r="D159">
            <v>615257</v>
          </cell>
          <cell r="L159">
            <v>615</v>
          </cell>
        </row>
        <row r="160">
          <cell r="D160">
            <v>12.62</v>
          </cell>
        </row>
        <row r="162">
          <cell r="D162">
            <v>613114.16</v>
          </cell>
          <cell r="L162">
            <v>613</v>
          </cell>
        </row>
        <row r="165">
          <cell r="D165">
            <v>255916</v>
          </cell>
          <cell r="L165">
            <v>256</v>
          </cell>
        </row>
        <row r="166">
          <cell r="D166">
            <v>2720.82</v>
          </cell>
        </row>
        <row r="168">
          <cell r="D168">
            <v>239665.36</v>
          </cell>
          <cell r="L168">
            <v>240</v>
          </cell>
        </row>
        <row r="169">
          <cell r="D169">
            <v>14965.87</v>
          </cell>
          <cell r="L169">
            <v>15</v>
          </cell>
        </row>
        <row r="172">
          <cell r="D172">
            <v>5265983</v>
          </cell>
          <cell r="L172">
            <v>5266</v>
          </cell>
        </row>
        <row r="173">
          <cell r="D173">
            <v>15040.43</v>
          </cell>
          <cell r="L173">
            <v>15</v>
          </cell>
        </row>
        <row r="175">
          <cell r="D175">
            <v>5132782.5</v>
          </cell>
          <cell r="L175">
            <v>5133</v>
          </cell>
        </row>
        <row r="176">
          <cell r="D176">
            <v>82944.62</v>
          </cell>
          <cell r="L176">
            <v>83</v>
          </cell>
        </row>
        <row r="179">
          <cell r="D179">
            <v>215487</v>
          </cell>
          <cell r="L179">
            <v>215</v>
          </cell>
        </row>
        <row r="181">
          <cell r="D181">
            <v>162990.87</v>
          </cell>
          <cell r="L181">
            <v>163</v>
          </cell>
        </row>
        <row r="182">
          <cell r="D182">
            <v>13766.45</v>
          </cell>
          <cell r="L182">
            <v>14</v>
          </cell>
        </row>
        <row r="185">
          <cell r="D185">
            <v>42178</v>
          </cell>
          <cell r="L185">
            <v>42</v>
          </cell>
        </row>
        <row r="187">
          <cell r="D187">
            <v>40176.61</v>
          </cell>
          <cell r="L187">
            <v>40</v>
          </cell>
        </row>
        <row r="190">
          <cell r="D190">
            <v>1461907</v>
          </cell>
          <cell r="L190">
            <v>1462</v>
          </cell>
        </row>
        <row r="193">
          <cell r="D193">
            <v>1424753.52</v>
          </cell>
          <cell r="L193">
            <v>1425</v>
          </cell>
        </row>
        <row r="196">
          <cell r="D196">
            <v>5674973</v>
          </cell>
          <cell r="L196">
            <v>5675</v>
          </cell>
        </row>
        <row r="197">
          <cell r="D197">
            <v>4090</v>
          </cell>
        </row>
        <row r="199">
          <cell r="D199">
            <v>5471954.58</v>
          </cell>
          <cell r="L199">
            <v>5472</v>
          </cell>
        </row>
        <row r="200">
          <cell r="D200">
            <v>190118.36</v>
          </cell>
          <cell r="L200">
            <v>190</v>
          </cell>
        </row>
        <row r="203">
          <cell r="D203">
            <v>80159</v>
          </cell>
          <cell r="L203">
            <v>80</v>
          </cell>
        </row>
        <row r="205">
          <cell r="D205">
            <v>80159</v>
          </cell>
          <cell r="L205">
            <v>80</v>
          </cell>
        </row>
        <row r="208">
          <cell r="D208">
            <v>950849</v>
          </cell>
          <cell r="L208">
            <v>951</v>
          </cell>
        </row>
        <row r="209">
          <cell r="D209">
            <v>0</v>
          </cell>
          <cell r="L209">
            <v>0</v>
          </cell>
        </row>
        <row r="210">
          <cell r="D210">
            <v>982060.12</v>
          </cell>
          <cell r="L210">
            <v>982</v>
          </cell>
        </row>
        <row r="212">
          <cell r="D212">
            <v>1653945.01</v>
          </cell>
          <cell r="L212">
            <v>1654</v>
          </cell>
        </row>
        <row r="213">
          <cell r="D213">
            <v>2443.66</v>
          </cell>
          <cell r="L213">
            <v>2</v>
          </cell>
        </row>
        <row r="216">
          <cell r="D216">
            <v>1049177</v>
          </cell>
          <cell r="L216">
            <v>1049</v>
          </cell>
        </row>
        <row r="217">
          <cell r="D217">
            <v>68.5</v>
          </cell>
        </row>
        <row r="218">
          <cell r="D218">
            <v>319527.13</v>
          </cell>
        </row>
        <row r="220">
          <cell r="D220">
            <v>997467.54</v>
          </cell>
          <cell r="L220">
            <v>997</v>
          </cell>
        </row>
        <row r="221">
          <cell r="D221">
            <v>222939.83</v>
          </cell>
          <cell r="L221">
            <v>223</v>
          </cell>
        </row>
        <row r="231">
          <cell r="D231">
            <v>93608991</v>
          </cell>
          <cell r="L231">
            <v>93609</v>
          </cell>
        </row>
        <row r="233">
          <cell r="D233">
            <v>83533830</v>
          </cell>
          <cell r="L233">
            <v>83534</v>
          </cell>
        </row>
        <row r="234">
          <cell r="D234">
            <v>7245825.55</v>
          </cell>
          <cell r="L234">
            <v>7246</v>
          </cell>
        </row>
        <row r="237">
          <cell r="D237">
            <v>6474673</v>
          </cell>
          <cell r="L237">
            <v>6475</v>
          </cell>
        </row>
        <row r="239">
          <cell r="D239">
            <v>6230676.4</v>
          </cell>
          <cell r="L239">
            <v>6231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Aprīlis"/>
      <sheetName val="Maijs"/>
      <sheetName val="Junijs"/>
      <sheetName val="Jūlijs"/>
      <sheetName val="Augusts"/>
      <sheetName val="Septembris"/>
      <sheetName val="Oktobris"/>
      <sheetName val="novembris"/>
      <sheetName val="Veldze-Vineta"/>
      <sheetName val="Sheet2"/>
    </sheetNames>
    <sheetDataSet>
      <sheetData sheetId="9">
        <row r="21">
          <cell r="D21">
            <v>1522577</v>
          </cell>
          <cell r="J21">
            <v>1523</v>
          </cell>
        </row>
        <row r="23">
          <cell r="D23">
            <v>1427252</v>
          </cell>
          <cell r="J23">
            <v>1427</v>
          </cell>
        </row>
        <row r="25">
          <cell r="D25">
            <v>13538</v>
          </cell>
          <cell r="J25">
            <v>14</v>
          </cell>
        </row>
        <row r="30">
          <cell r="D30">
            <v>1385042</v>
          </cell>
          <cell r="J30">
            <v>1385</v>
          </cell>
        </row>
        <row r="31">
          <cell r="D31">
            <v>227813</v>
          </cell>
          <cell r="J31">
            <v>228</v>
          </cell>
        </row>
        <row r="32">
          <cell r="D32">
            <v>137153</v>
          </cell>
          <cell r="J32">
            <v>137</v>
          </cell>
        </row>
        <row r="33">
          <cell r="D33">
            <v>148863</v>
          </cell>
          <cell r="J33">
            <v>149</v>
          </cell>
        </row>
        <row r="34">
          <cell r="D34">
            <v>109320</v>
          </cell>
          <cell r="J34">
            <v>109</v>
          </cell>
        </row>
        <row r="35">
          <cell r="D35">
            <v>173626</v>
          </cell>
          <cell r="J35">
            <v>174</v>
          </cell>
        </row>
        <row r="36">
          <cell r="D36">
            <v>235308</v>
          </cell>
          <cell r="J36">
            <v>235</v>
          </cell>
        </row>
        <row r="38">
          <cell r="D38">
            <v>583990</v>
          </cell>
          <cell r="J38">
            <v>584</v>
          </cell>
        </row>
        <row r="41">
          <cell r="D41">
            <v>1687937</v>
          </cell>
          <cell r="J41">
            <v>1688</v>
          </cell>
        </row>
        <row r="43">
          <cell r="D43">
            <v>29817</v>
          </cell>
          <cell r="J43">
            <v>30</v>
          </cell>
        </row>
        <row r="47">
          <cell r="D47">
            <v>22078</v>
          </cell>
          <cell r="J47">
            <v>22</v>
          </cell>
        </row>
        <row r="48">
          <cell r="D48">
            <v>142258</v>
          </cell>
          <cell r="J48">
            <v>142</v>
          </cell>
        </row>
        <row r="52">
          <cell r="D52">
            <v>1306323</v>
          </cell>
          <cell r="J52">
            <v>1306</v>
          </cell>
        </row>
        <row r="54">
          <cell r="D54">
            <v>1112007</v>
          </cell>
          <cell r="J54">
            <v>1112</v>
          </cell>
        </row>
        <row r="55">
          <cell r="D55">
            <v>200000</v>
          </cell>
          <cell r="J55">
            <v>200</v>
          </cell>
        </row>
        <row r="56">
          <cell r="D56">
            <v>184647</v>
          </cell>
          <cell r="J56">
            <v>185</v>
          </cell>
        </row>
        <row r="59">
          <cell r="D59">
            <v>1394270</v>
          </cell>
          <cell r="J59">
            <v>1394</v>
          </cell>
        </row>
        <row r="60">
          <cell r="J60">
            <v>0</v>
          </cell>
        </row>
        <row r="62">
          <cell r="D62">
            <v>1366230</v>
          </cell>
          <cell r="J62">
            <v>1366</v>
          </cell>
        </row>
        <row r="63">
          <cell r="D63">
            <v>179223</v>
          </cell>
          <cell r="J63">
            <v>179</v>
          </cell>
        </row>
        <row r="64">
          <cell r="D64">
            <v>992</v>
          </cell>
          <cell r="J64">
            <v>1</v>
          </cell>
        </row>
        <row r="65">
          <cell r="D65">
            <v>4677375</v>
          </cell>
          <cell r="J65">
            <v>4677</v>
          </cell>
        </row>
        <row r="67">
          <cell r="D67">
            <v>4871781</v>
          </cell>
          <cell r="J67">
            <v>4872</v>
          </cell>
        </row>
        <row r="71">
          <cell r="D71">
            <v>312631</v>
          </cell>
          <cell r="J71">
            <v>313</v>
          </cell>
        </row>
        <row r="72">
          <cell r="D72">
            <v>141454</v>
          </cell>
          <cell r="J72">
            <v>141</v>
          </cell>
        </row>
        <row r="74">
          <cell r="D74">
            <v>369681</v>
          </cell>
          <cell r="J74">
            <v>370</v>
          </cell>
        </row>
        <row r="75">
          <cell r="D75">
            <v>69000</v>
          </cell>
          <cell r="J75">
            <v>69</v>
          </cell>
        </row>
        <row r="79">
          <cell r="D79">
            <v>7654715</v>
          </cell>
          <cell r="J79">
            <v>7655</v>
          </cell>
        </row>
        <row r="80">
          <cell r="D80">
            <v>34425155</v>
          </cell>
          <cell r="J80">
            <v>34425</v>
          </cell>
        </row>
        <row r="81">
          <cell r="D81">
            <v>90242</v>
          </cell>
          <cell r="J81">
            <v>90</v>
          </cell>
        </row>
        <row r="82">
          <cell r="D82">
            <v>2198921</v>
          </cell>
          <cell r="J82">
            <v>2199</v>
          </cell>
        </row>
        <row r="84">
          <cell r="D84">
            <v>39132824</v>
          </cell>
          <cell r="J84">
            <v>39133</v>
          </cell>
        </row>
        <row r="85">
          <cell r="D85">
            <v>3602053</v>
          </cell>
          <cell r="J85">
            <v>3602</v>
          </cell>
        </row>
        <row r="86">
          <cell r="D86">
            <v>13824276</v>
          </cell>
          <cell r="J86">
            <v>13824</v>
          </cell>
        </row>
        <row r="88">
          <cell r="D88">
            <v>9055189</v>
          </cell>
          <cell r="J88">
            <v>9055</v>
          </cell>
        </row>
        <row r="91">
          <cell r="D91">
            <v>686172</v>
          </cell>
          <cell r="J91">
            <v>686</v>
          </cell>
        </row>
        <row r="93">
          <cell r="D93">
            <v>481427</v>
          </cell>
          <cell r="J93">
            <v>481</v>
          </cell>
        </row>
        <row r="94">
          <cell r="D94">
            <v>1459</v>
          </cell>
          <cell r="J94">
            <v>1</v>
          </cell>
        </row>
        <row r="97">
          <cell r="D97">
            <v>1781349</v>
          </cell>
          <cell r="J97">
            <v>1781</v>
          </cell>
        </row>
        <row r="99">
          <cell r="D99">
            <v>425000</v>
          </cell>
          <cell r="J99">
            <v>425</v>
          </cell>
        </row>
        <row r="100">
          <cell r="D100">
            <v>133591</v>
          </cell>
          <cell r="J100">
            <v>134</v>
          </cell>
        </row>
        <row r="104">
          <cell r="D104">
            <v>64903669</v>
          </cell>
          <cell r="J104">
            <v>64904</v>
          </cell>
        </row>
        <row r="105">
          <cell r="D105">
            <v>47788576</v>
          </cell>
          <cell r="J105">
            <v>47789</v>
          </cell>
        </row>
        <row r="106">
          <cell r="D106">
            <v>2328605</v>
          </cell>
          <cell r="J106">
            <v>2329</v>
          </cell>
        </row>
        <row r="107">
          <cell r="J107">
            <v>0</v>
          </cell>
        </row>
        <row r="109">
          <cell r="D109">
            <v>114056162</v>
          </cell>
          <cell r="J109">
            <v>114056</v>
          </cell>
        </row>
        <row r="110">
          <cell r="D110">
            <v>625081</v>
          </cell>
          <cell r="J110">
            <v>625</v>
          </cell>
        </row>
        <row r="111">
          <cell r="D111">
            <v>1848671</v>
          </cell>
          <cell r="J111">
            <v>1849</v>
          </cell>
        </row>
        <row r="113">
          <cell r="D113">
            <v>946220</v>
          </cell>
          <cell r="J113">
            <v>946</v>
          </cell>
        </row>
        <row r="116">
          <cell r="D116">
            <v>396041733</v>
          </cell>
          <cell r="J116">
            <v>396042</v>
          </cell>
        </row>
        <row r="117">
          <cell r="D117">
            <v>5495736</v>
          </cell>
          <cell r="J117">
            <v>5496</v>
          </cell>
        </row>
        <row r="118">
          <cell r="D118">
            <v>1414345</v>
          </cell>
          <cell r="J118">
            <v>1414</v>
          </cell>
        </row>
        <row r="119">
          <cell r="D119">
            <v>418268266</v>
          </cell>
          <cell r="J119">
            <v>418268</v>
          </cell>
        </row>
        <row r="120">
          <cell r="D120">
            <v>416418886</v>
          </cell>
          <cell r="J120">
            <v>416419</v>
          </cell>
        </row>
        <row r="121">
          <cell r="D121">
            <v>0</v>
          </cell>
        </row>
        <row r="122">
          <cell r="D122">
            <v>1849380</v>
          </cell>
          <cell r="J122">
            <v>1849</v>
          </cell>
        </row>
        <row r="123">
          <cell r="D123">
            <v>-15316452</v>
          </cell>
          <cell r="J123">
            <v>-15316</v>
          </cell>
        </row>
        <row r="124">
          <cell r="D124">
            <v>18480005</v>
          </cell>
          <cell r="J124">
            <v>18480</v>
          </cell>
        </row>
        <row r="127">
          <cell r="D127">
            <v>305217010</v>
          </cell>
          <cell r="J127">
            <v>305217</v>
          </cell>
        </row>
        <row r="128">
          <cell r="D128">
            <v>3265700</v>
          </cell>
          <cell r="J128">
            <v>3266</v>
          </cell>
        </row>
        <row r="129">
          <cell r="D129">
            <v>15925861</v>
          </cell>
          <cell r="J129">
            <v>15926</v>
          </cell>
        </row>
        <row r="131">
          <cell r="D131">
            <v>334840490</v>
          </cell>
          <cell r="J131">
            <v>334840</v>
          </cell>
        </row>
        <row r="133">
          <cell r="D133">
            <v>10434559</v>
          </cell>
          <cell r="J133">
            <v>10435</v>
          </cell>
        </row>
        <row r="136">
          <cell r="D136">
            <v>24296806</v>
          </cell>
          <cell r="J136">
            <v>24297</v>
          </cell>
        </row>
        <row r="137">
          <cell r="D137">
            <v>358956</v>
          </cell>
          <cell r="J137">
            <v>359</v>
          </cell>
        </row>
        <row r="138">
          <cell r="D138">
            <v>2470985</v>
          </cell>
          <cell r="J138">
            <v>2471</v>
          </cell>
        </row>
        <row r="139">
          <cell r="D139">
            <v>24174677</v>
          </cell>
          <cell r="J139">
            <v>24175</v>
          </cell>
        </row>
        <row r="140">
          <cell r="D140">
            <v>24174677</v>
          </cell>
          <cell r="J140">
            <v>24175</v>
          </cell>
        </row>
        <row r="141">
          <cell r="D141">
            <v>2952070</v>
          </cell>
          <cell r="J141">
            <v>2952</v>
          </cell>
        </row>
        <row r="144">
          <cell r="D144">
            <v>1043115</v>
          </cell>
          <cell r="J144">
            <v>1043</v>
          </cell>
        </row>
        <row r="145">
          <cell r="D145">
            <v>1033907</v>
          </cell>
          <cell r="J145">
            <v>1034</v>
          </cell>
        </row>
        <row r="146">
          <cell r="D146">
            <v>9208</v>
          </cell>
          <cell r="J146">
            <v>9</v>
          </cell>
        </row>
        <row r="147">
          <cell r="D147">
            <v>863277</v>
          </cell>
          <cell r="J147">
            <v>863</v>
          </cell>
        </row>
        <row r="148">
          <cell r="D148">
            <v>863277</v>
          </cell>
          <cell r="J148">
            <v>863</v>
          </cell>
        </row>
        <row r="149">
          <cell r="D149">
            <v>179838</v>
          </cell>
          <cell r="J149">
            <v>180</v>
          </cell>
        </row>
        <row r="151">
          <cell r="D151">
            <v>65833841</v>
          </cell>
          <cell r="J151">
            <v>65834</v>
          </cell>
        </row>
        <row r="152">
          <cell r="D152">
            <v>65494010</v>
          </cell>
          <cell r="J152">
            <v>65494</v>
          </cell>
        </row>
        <row r="153">
          <cell r="D153">
            <v>339831</v>
          </cell>
          <cell r="J153">
            <v>340</v>
          </cell>
        </row>
        <row r="154">
          <cell r="D154">
            <v>72792579</v>
          </cell>
          <cell r="J154">
            <v>72793</v>
          </cell>
        </row>
        <row r="155">
          <cell r="D155">
            <v>72792579</v>
          </cell>
          <cell r="J155">
            <v>72793</v>
          </cell>
        </row>
        <row r="156">
          <cell r="D156">
            <v>-6958738</v>
          </cell>
          <cell r="J156">
            <v>-6959</v>
          </cell>
        </row>
        <row r="157">
          <cell r="D157">
            <v>6958817</v>
          </cell>
          <cell r="J157">
            <v>6959</v>
          </cell>
        </row>
        <row r="159">
          <cell r="D159">
            <v>7856831</v>
          </cell>
          <cell r="J159">
            <v>7857</v>
          </cell>
        </row>
        <row r="160">
          <cell r="D160">
            <v>1871080</v>
          </cell>
          <cell r="J160">
            <v>1871</v>
          </cell>
        </row>
        <row r="161">
          <cell r="D161">
            <v>5985751</v>
          </cell>
          <cell r="J161">
            <v>5986</v>
          </cell>
        </row>
        <row r="162">
          <cell r="D162">
            <v>8914535</v>
          </cell>
          <cell r="J162">
            <v>8914</v>
          </cell>
        </row>
        <row r="163">
          <cell r="D163">
            <v>7065154</v>
          </cell>
          <cell r="J163">
            <v>7065</v>
          </cell>
        </row>
        <row r="165">
          <cell r="D165">
            <v>1849381</v>
          </cell>
          <cell r="J165">
            <v>1849</v>
          </cell>
        </row>
        <row r="166">
          <cell r="D166">
            <v>-1057704</v>
          </cell>
          <cell r="J166">
            <v>-1057</v>
          </cell>
        </row>
        <row r="167">
          <cell r="D167">
            <v>1086629</v>
          </cell>
          <cell r="J167">
            <v>1087</v>
          </cell>
        </row>
        <row r="170">
          <cell r="D170">
            <v>7059281</v>
          </cell>
          <cell r="J170">
            <v>7059</v>
          </cell>
        </row>
        <row r="171">
          <cell r="D171">
            <v>6467198</v>
          </cell>
          <cell r="J171">
            <v>6467</v>
          </cell>
        </row>
        <row r="172">
          <cell r="D172">
            <v>319701</v>
          </cell>
          <cell r="J172">
            <v>320</v>
          </cell>
        </row>
        <row r="173">
          <cell r="D173">
            <v>116472</v>
          </cell>
          <cell r="J173">
            <v>116</v>
          </cell>
        </row>
        <row r="174">
          <cell r="D174">
            <v>155910</v>
          </cell>
          <cell r="J174">
            <v>156</v>
          </cell>
        </row>
        <row r="175">
          <cell r="D175">
            <v>5189638</v>
          </cell>
          <cell r="J175">
            <v>5190</v>
          </cell>
        </row>
        <row r="176">
          <cell r="D176">
            <v>4319861</v>
          </cell>
          <cell r="J176">
            <v>4320</v>
          </cell>
        </row>
        <row r="177">
          <cell r="D177">
            <v>869777</v>
          </cell>
          <cell r="J177">
            <v>870</v>
          </cell>
        </row>
        <row r="180">
          <cell r="D180">
            <v>1523217</v>
          </cell>
          <cell r="J180">
            <v>1524</v>
          </cell>
        </row>
        <row r="181">
          <cell r="D181">
            <v>962617</v>
          </cell>
          <cell r="J181">
            <v>963</v>
          </cell>
        </row>
        <row r="182">
          <cell r="D182">
            <v>560600</v>
          </cell>
          <cell r="J182">
            <v>561</v>
          </cell>
        </row>
        <row r="183">
          <cell r="D183">
            <v>1523580</v>
          </cell>
          <cell r="J183">
            <v>1524</v>
          </cell>
        </row>
        <row r="184">
          <cell r="D184">
            <v>1523580</v>
          </cell>
          <cell r="J184">
            <v>1524</v>
          </cell>
        </row>
        <row r="186">
          <cell r="D186">
            <v>35110</v>
          </cell>
          <cell r="J186">
            <v>35</v>
          </cell>
        </row>
        <row r="187">
          <cell r="D187">
            <v>35110</v>
          </cell>
          <cell r="J187">
            <v>35</v>
          </cell>
        </row>
        <row r="188">
          <cell r="D188">
            <v>104367</v>
          </cell>
          <cell r="J188">
            <v>104</v>
          </cell>
        </row>
        <row r="189">
          <cell r="D189">
            <v>104197</v>
          </cell>
          <cell r="J189">
            <v>104</v>
          </cell>
        </row>
        <row r="190">
          <cell r="D190">
            <v>5449</v>
          </cell>
          <cell r="J190">
            <v>5</v>
          </cell>
        </row>
        <row r="191">
          <cell r="D191">
            <v>170</v>
          </cell>
          <cell r="J191">
            <v>0</v>
          </cell>
        </row>
        <row r="192">
          <cell r="D192">
            <v>-69257</v>
          </cell>
          <cell r="J192">
            <v>-69</v>
          </cell>
        </row>
        <row r="193">
          <cell r="D193">
            <v>27435</v>
          </cell>
          <cell r="J193">
            <v>27</v>
          </cell>
        </row>
      </sheetData>
      <sheetData sheetId="10">
        <row r="20">
          <cell r="D20">
            <v>1593385</v>
          </cell>
        </row>
        <row r="28">
          <cell r="D28">
            <v>2618884</v>
          </cell>
        </row>
        <row r="40">
          <cell r="D40">
            <v>1687937</v>
          </cell>
        </row>
        <row r="45">
          <cell r="D45">
            <v>166511</v>
          </cell>
        </row>
        <row r="51">
          <cell r="D51">
            <v>1419493</v>
          </cell>
        </row>
        <row r="58">
          <cell r="D58">
            <v>1411040</v>
          </cell>
        </row>
        <row r="70">
          <cell r="D70">
            <v>486254</v>
          </cell>
        </row>
        <row r="79">
          <cell r="D79">
            <v>8208322</v>
          </cell>
        </row>
        <row r="80">
          <cell r="D80">
            <v>38770463</v>
          </cell>
        </row>
        <row r="81">
          <cell r="D81">
            <v>101140</v>
          </cell>
        </row>
        <row r="82">
          <cell r="D82">
            <v>2349849</v>
          </cell>
        </row>
        <row r="90">
          <cell r="D90">
            <v>750041</v>
          </cell>
        </row>
        <row r="96">
          <cell r="D96">
            <v>1906814</v>
          </cell>
        </row>
        <row r="104">
          <cell r="D104">
            <v>71834148</v>
          </cell>
        </row>
        <row r="105">
          <cell r="D105">
            <v>51374349</v>
          </cell>
        </row>
        <row r="106">
          <cell r="D106">
            <v>2743942</v>
          </cell>
        </row>
        <row r="115">
          <cell r="D115">
            <v>442421529</v>
          </cell>
        </row>
        <row r="171">
          <cell r="D171">
            <v>7508096</v>
          </cell>
        </row>
        <row r="172">
          <cell r="D172">
            <v>348010</v>
          </cell>
        </row>
        <row r="173">
          <cell r="D173">
            <v>126136</v>
          </cell>
        </row>
        <row r="174">
          <cell r="D174">
            <v>155910</v>
          </cell>
        </row>
        <row r="180">
          <cell r="D180">
            <v>1688321</v>
          </cell>
        </row>
        <row r="186">
          <cell r="D186">
            <v>47136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febr"/>
      <sheetName val="marts"/>
      <sheetName val="aprīlis"/>
      <sheetName val="maijs"/>
      <sheetName val="jūnijs"/>
      <sheetName val="jūlijs"/>
      <sheetName val="augusts"/>
      <sheetName val="septembris"/>
      <sheetName val="oktobris"/>
      <sheetName val="novembris"/>
      <sheetName val="novembris (2)"/>
      <sheetName val="Sheet1"/>
      <sheetName val="Sheet3"/>
      <sheetName val="Natalija"/>
      <sheetName val="darbam"/>
    </sheetNames>
    <sheetDataSet>
      <sheetData sheetId="10">
        <row r="10">
          <cell r="C10">
            <v>2736180</v>
          </cell>
        </row>
        <row r="11">
          <cell r="C11">
            <v>602913</v>
          </cell>
        </row>
        <row r="12">
          <cell r="C12">
            <v>53595</v>
          </cell>
        </row>
        <row r="16">
          <cell r="C16">
            <v>463472</v>
          </cell>
        </row>
        <row r="17">
          <cell r="C17">
            <v>65227</v>
          </cell>
        </row>
        <row r="18">
          <cell r="C18">
            <v>2266154</v>
          </cell>
        </row>
        <row r="19">
          <cell r="C19">
            <v>1930563</v>
          </cell>
        </row>
        <row r="20">
          <cell r="C20">
            <v>335591</v>
          </cell>
        </row>
        <row r="25">
          <cell r="C25">
            <v>539957</v>
          </cell>
        </row>
        <row r="26">
          <cell r="C26">
            <v>16400</v>
          </cell>
        </row>
        <row r="27">
          <cell r="C27">
            <v>300</v>
          </cell>
        </row>
        <row r="29">
          <cell r="C29">
            <v>333642</v>
          </cell>
        </row>
        <row r="30">
          <cell r="C30">
            <v>189615</v>
          </cell>
        </row>
        <row r="31">
          <cell r="C31">
            <v>282433</v>
          </cell>
        </row>
        <row r="32">
          <cell r="C32">
            <v>282433</v>
          </cell>
        </row>
        <row r="33">
          <cell r="C33">
            <v>0</v>
          </cell>
        </row>
        <row r="34">
          <cell r="C34">
            <v>-224555</v>
          </cell>
        </row>
        <row r="35">
          <cell r="C35">
            <v>224555</v>
          </cell>
        </row>
        <row r="36">
          <cell r="C36">
            <v>224555</v>
          </cell>
        </row>
      </sheetData>
      <sheetData sheetId="12"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8">
          <cell r="C28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aris"/>
      <sheetName val="Marts"/>
      <sheetName val="Aprilis"/>
      <sheetName val="Maijs"/>
      <sheetName val="Junijs"/>
      <sheetName val="Jūlijs"/>
      <sheetName val="Augusts"/>
      <sheetName val="Septembris"/>
      <sheetName val="Oktobris"/>
      <sheetName val="Novembris"/>
    </sheetNames>
    <sheetDataSet>
      <sheetData sheetId="9">
        <row r="9">
          <cell r="C9">
            <v>33846</v>
          </cell>
        </row>
        <row r="10">
          <cell r="C10">
            <v>9953</v>
          </cell>
        </row>
        <row r="11">
          <cell r="C11">
            <v>1590</v>
          </cell>
        </row>
        <row r="12">
          <cell r="C12">
            <v>10185</v>
          </cell>
        </row>
        <row r="13">
          <cell r="C13">
            <v>2002</v>
          </cell>
        </row>
        <row r="14">
          <cell r="C14">
            <v>10116</v>
          </cell>
        </row>
        <row r="16">
          <cell r="C16">
            <v>5647</v>
          </cell>
        </row>
        <row r="17">
          <cell r="C17">
            <v>1528</v>
          </cell>
        </row>
        <row r="18">
          <cell r="C18">
            <v>9048</v>
          </cell>
        </row>
        <row r="19">
          <cell r="C19">
            <v>2074</v>
          </cell>
        </row>
        <row r="20">
          <cell r="C20">
            <v>10218</v>
          </cell>
        </row>
      </sheetData>
      <sheetData sheetId="10">
        <row r="9">
          <cell r="B9">
            <v>42299</v>
          </cell>
          <cell r="C9">
            <v>36973</v>
          </cell>
        </row>
        <row r="10">
          <cell r="B10">
            <v>11859</v>
          </cell>
          <cell r="C10">
            <v>10499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aris"/>
      <sheetName val="Marts"/>
      <sheetName val="Aprilis"/>
      <sheetName val="Maijs"/>
      <sheetName val="Junijs"/>
      <sheetName val="Jūlijs"/>
      <sheetName val="Augusts"/>
      <sheetName val="Septembris"/>
      <sheetName val="Oktobris"/>
      <sheetName val="Novembris"/>
    </sheetNames>
    <sheetDataSet>
      <sheetData sheetId="9">
        <row r="10">
          <cell r="C10">
            <v>33846</v>
          </cell>
        </row>
        <row r="11">
          <cell r="C11">
            <v>31193</v>
          </cell>
        </row>
        <row r="12">
          <cell r="C12">
            <v>23711</v>
          </cell>
        </row>
        <row r="13">
          <cell r="C13">
            <v>14979</v>
          </cell>
        </row>
        <row r="14">
          <cell r="C14">
            <v>2024</v>
          </cell>
        </row>
        <row r="15">
          <cell r="C15">
            <v>497</v>
          </cell>
        </row>
        <row r="16">
          <cell r="C16">
            <v>12458</v>
          </cell>
        </row>
        <row r="17">
          <cell r="C17">
            <v>12327</v>
          </cell>
        </row>
        <row r="18">
          <cell r="C18">
            <v>131</v>
          </cell>
        </row>
        <row r="19">
          <cell r="C19">
            <v>70</v>
          </cell>
        </row>
        <row r="20">
          <cell r="C20">
            <v>8662</v>
          </cell>
        </row>
        <row r="21">
          <cell r="C21">
            <v>506</v>
          </cell>
        </row>
        <row r="22">
          <cell r="C22">
            <v>716</v>
          </cell>
        </row>
        <row r="23">
          <cell r="C23">
            <v>75</v>
          </cell>
        </row>
        <row r="24">
          <cell r="C24">
            <v>4731</v>
          </cell>
        </row>
        <row r="25">
          <cell r="C25">
            <v>1984</v>
          </cell>
        </row>
        <row r="26">
          <cell r="C26">
            <v>650</v>
          </cell>
        </row>
        <row r="27">
          <cell r="C27">
            <v>7482</v>
          </cell>
        </row>
        <row r="28">
          <cell r="C28">
            <v>5988</v>
          </cell>
        </row>
        <row r="29">
          <cell r="C29">
            <v>1494</v>
          </cell>
        </row>
        <row r="30">
          <cell r="C30">
            <v>-2678</v>
          </cell>
        </row>
        <row r="31">
          <cell r="C31">
            <v>688</v>
          </cell>
        </row>
        <row r="32">
          <cell r="C32">
            <v>3366</v>
          </cell>
        </row>
        <row r="33">
          <cell r="C33">
            <v>5331</v>
          </cell>
        </row>
      </sheetData>
      <sheetData sheetId="10">
        <row r="12">
          <cell r="B12">
            <v>32178</v>
          </cell>
          <cell r="C12">
            <v>23331</v>
          </cell>
        </row>
        <row r="28">
          <cell r="B28">
            <v>22971</v>
          </cell>
          <cell r="C28">
            <v>9679</v>
          </cell>
        </row>
        <row r="29">
          <cell r="B29">
            <v>3181</v>
          </cell>
          <cell r="C29">
            <v>1606</v>
          </cell>
        </row>
        <row r="31">
          <cell r="B31">
            <v>992</v>
          </cell>
          <cell r="C31">
            <v>698</v>
          </cell>
        </row>
        <row r="32">
          <cell r="B32">
            <v>4390</v>
          </cell>
          <cell r="C32">
            <v>3414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tabSelected="1" workbookViewId="0" topLeftCell="A1">
      <selection activeCell="A8" sqref="A8"/>
    </sheetView>
  </sheetViews>
  <sheetFormatPr defaultColWidth="9.140625" defaultRowHeight="12.75"/>
  <cols>
    <col min="1" max="1" width="43.421875" style="1" customWidth="1"/>
    <col min="2" max="2" width="11.8515625" style="1" customWidth="1"/>
    <col min="3" max="3" width="13.421875" style="1" customWidth="1"/>
    <col min="4" max="4" width="11.421875" style="1" customWidth="1"/>
    <col min="5" max="5" width="12.7109375" style="1" customWidth="1"/>
  </cols>
  <sheetData>
    <row r="1" ht="12.75">
      <c r="E1" s="2"/>
    </row>
    <row r="2" spans="1:5" ht="12.75">
      <c r="A2" s="852" t="s">
        <v>735</v>
      </c>
      <c r="B2" s="852"/>
      <c r="C2" s="852"/>
      <c r="E2" s="2"/>
    </row>
    <row r="3" ht="12.75">
      <c r="E3" s="2"/>
    </row>
    <row r="4" spans="1:5" ht="11.25" customHeight="1">
      <c r="A4" s="4"/>
      <c r="B4" s="4"/>
      <c r="C4" s="4"/>
      <c r="D4" s="4"/>
      <c r="E4" s="4"/>
    </row>
    <row r="5" spans="1:5" s="5" customFormat="1" ht="15.75" customHeight="1">
      <c r="A5" s="853" t="s">
        <v>736</v>
      </c>
      <c r="B5" s="853"/>
      <c r="C5" s="853"/>
      <c r="D5" s="853"/>
      <c r="E5" s="853"/>
    </row>
    <row r="6" spans="1:5" s="5" customFormat="1" ht="15" customHeight="1">
      <c r="A6" s="853"/>
      <c r="B6" s="853"/>
      <c r="C6" s="853"/>
      <c r="D6" s="853"/>
      <c r="E6" s="853"/>
    </row>
    <row r="7" spans="1:5" s="5" customFormat="1" ht="14.25">
      <c r="A7" s="854" t="s">
        <v>307</v>
      </c>
      <c r="B7" s="854"/>
      <c r="C7" s="854"/>
      <c r="D7" s="854"/>
      <c r="E7" s="854"/>
    </row>
    <row r="8" ht="10.5" customHeight="1"/>
    <row r="9" spans="1:5" ht="12.75">
      <c r="A9" s="7"/>
      <c r="E9" s="2" t="s">
        <v>737</v>
      </c>
    </row>
    <row r="10" spans="1:5" ht="31.5" customHeight="1">
      <c r="A10" s="8" t="s">
        <v>738</v>
      </c>
      <c r="B10" s="9" t="s">
        <v>739</v>
      </c>
      <c r="C10" s="9" t="s">
        <v>740</v>
      </c>
      <c r="D10" s="9" t="s">
        <v>741</v>
      </c>
      <c r="E10" s="9" t="s">
        <v>308</v>
      </c>
    </row>
    <row r="11" spans="1:5" ht="12.75">
      <c r="A11" s="10" t="s">
        <v>742</v>
      </c>
      <c r="B11" s="11">
        <v>1270954</v>
      </c>
      <c r="C11" s="12">
        <v>411509</v>
      </c>
      <c r="D11" s="11">
        <f>B11+C11</f>
        <v>1682463</v>
      </c>
      <c r="E11" s="11">
        <f>D11-'[11]Oktobris'!D11</f>
        <v>152962</v>
      </c>
    </row>
    <row r="12" spans="1:5" ht="22.5">
      <c r="A12" s="13" t="s">
        <v>743</v>
      </c>
      <c r="B12" s="14" t="s">
        <v>744</v>
      </c>
      <c r="C12" s="14" t="s">
        <v>744</v>
      </c>
      <c r="D12" s="15">
        <f>100674+6816</f>
        <v>107490</v>
      </c>
      <c r="E12" s="15">
        <f>D12-'[11]Oktobris'!D12</f>
        <v>10479</v>
      </c>
    </row>
    <row r="13" spans="1:5" ht="22.5">
      <c r="A13" s="13" t="s">
        <v>745</v>
      </c>
      <c r="B13" s="14" t="s">
        <v>744</v>
      </c>
      <c r="C13" s="14" t="s">
        <v>744</v>
      </c>
      <c r="D13" s="15">
        <f>10797+2394</f>
        <v>13191</v>
      </c>
      <c r="E13" s="15">
        <f>D13-'[11]Oktobris'!D13</f>
        <v>1337</v>
      </c>
    </row>
    <row r="14" spans="1:5" ht="12.75">
      <c r="A14" s="16" t="s">
        <v>746</v>
      </c>
      <c r="B14" s="17" t="s">
        <v>744</v>
      </c>
      <c r="C14" s="17" t="s">
        <v>744</v>
      </c>
      <c r="D14" s="11">
        <f>D11-D12-D13</f>
        <v>1561782</v>
      </c>
      <c r="E14" s="11">
        <f>D14-'[11]Oktobris'!D14</f>
        <v>141146</v>
      </c>
    </row>
    <row r="15" spans="1:5" ht="12.75">
      <c r="A15" s="10" t="s">
        <v>747</v>
      </c>
      <c r="B15" s="11">
        <v>1304453</v>
      </c>
      <c r="C15" s="12">
        <v>438025</v>
      </c>
      <c r="D15" s="11">
        <f>B15+C15</f>
        <v>1742478</v>
      </c>
      <c r="E15" s="11">
        <f>D15-'[11]Oktobris'!D15</f>
        <v>164176</v>
      </c>
    </row>
    <row r="16" spans="1:5" ht="22.5">
      <c r="A16" s="13" t="s">
        <v>748</v>
      </c>
      <c r="B16" s="14" t="s">
        <v>744</v>
      </c>
      <c r="C16" s="14" t="s">
        <v>744</v>
      </c>
      <c r="D16" s="15">
        <f>100674+6816</f>
        <v>107490</v>
      </c>
      <c r="E16" s="15">
        <f>D16-'[11]Oktobris'!D16</f>
        <v>10479</v>
      </c>
    </row>
    <row r="17" spans="1:5" ht="22.5">
      <c r="A17" s="13" t="s">
        <v>749</v>
      </c>
      <c r="B17" s="14" t="s">
        <v>744</v>
      </c>
      <c r="C17" s="14" t="s">
        <v>744</v>
      </c>
      <c r="D17" s="15">
        <f>10797+2394</f>
        <v>13191</v>
      </c>
      <c r="E17" s="15">
        <f>D17-'[11]Oktobris'!D17</f>
        <v>1337</v>
      </c>
    </row>
    <row r="18" spans="1:5" ht="12.75">
      <c r="A18" s="16" t="s">
        <v>750</v>
      </c>
      <c r="B18" s="17" t="s">
        <v>744</v>
      </c>
      <c r="C18" s="17" t="s">
        <v>744</v>
      </c>
      <c r="D18" s="11">
        <f>D15-D16-D17</f>
        <v>1621797</v>
      </c>
      <c r="E18" s="11">
        <f>D18-'[11]Oktobris'!D18</f>
        <v>152360</v>
      </c>
    </row>
    <row r="19" spans="1:5" ht="12.75">
      <c r="A19" s="16" t="s">
        <v>751</v>
      </c>
      <c r="B19" s="11">
        <f>B11-B15</f>
        <v>-33499</v>
      </c>
      <c r="C19" s="12">
        <f>C11-C15</f>
        <v>-26516</v>
      </c>
      <c r="D19" s="11">
        <f>D14-D18</f>
        <v>-60015</v>
      </c>
      <c r="E19" s="11">
        <f>D19-'[11]Oktobris'!D19</f>
        <v>-11214</v>
      </c>
    </row>
    <row r="20" spans="1:5" ht="12.75">
      <c r="A20" s="18" t="s">
        <v>752</v>
      </c>
      <c r="B20" s="12">
        <f>B21-B24</f>
        <v>8400</v>
      </c>
      <c r="C20" s="12">
        <f>C21-C24</f>
        <v>-4057</v>
      </c>
      <c r="D20" s="12">
        <f>D23-D26</f>
        <v>-2340</v>
      </c>
      <c r="E20" s="12">
        <f>D20-'[11]Oktobris'!D20</f>
        <v>461</v>
      </c>
    </row>
    <row r="21" spans="1:5" ht="12.75">
      <c r="A21" s="19" t="s">
        <v>753</v>
      </c>
      <c r="B21" s="20">
        <v>35775</v>
      </c>
      <c r="C21" s="21">
        <v>1692</v>
      </c>
      <c r="D21" s="20">
        <f>B21+C21</f>
        <v>37467</v>
      </c>
      <c r="E21" s="20">
        <f>D21-'[11]Oktobris'!D21</f>
        <v>4557</v>
      </c>
    </row>
    <row r="22" spans="1:5" ht="22.5">
      <c r="A22" s="13" t="s">
        <v>754</v>
      </c>
      <c r="B22" s="14" t="s">
        <v>744</v>
      </c>
      <c r="C22" s="14" t="s">
        <v>744</v>
      </c>
      <c r="D22" s="15">
        <v>26088</v>
      </c>
      <c r="E22" s="15">
        <f>D22-'[11]Oktobris'!D22</f>
        <v>3141</v>
      </c>
    </row>
    <row r="23" spans="1:5" ht="12.75">
      <c r="A23" s="18" t="s">
        <v>755</v>
      </c>
      <c r="B23" s="17" t="s">
        <v>744</v>
      </c>
      <c r="C23" s="17" t="s">
        <v>744</v>
      </c>
      <c r="D23" s="11">
        <f>D21-D22</f>
        <v>11379</v>
      </c>
      <c r="E23" s="11">
        <f>D23-'[11]Oktobris'!D23</f>
        <v>1416</v>
      </c>
    </row>
    <row r="24" spans="1:5" ht="12.75">
      <c r="A24" s="19" t="s">
        <v>756</v>
      </c>
      <c r="B24" s="20">
        <v>27375</v>
      </c>
      <c r="C24" s="21">
        <v>5749</v>
      </c>
      <c r="D24" s="20">
        <f>B24+C24</f>
        <v>33124</v>
      </c>
      <c r="E24" s="20">
        <f>D24-'[11]Oktobris'!D24</f>
        <v>3234</v>
      </c>
    </row>
    <row r="25" spans="1:5" ht="22.5">
      <c r="A25" s="13" t="s">
        <v>757</v>
      </c>
      <c r="B25" s="22" t="s">
        <v>744</v>
      </c>
      <c r="C25" s="22" t="s">
        <v>744</v>
      </c>
      <c r="D25" s="15">
        <v>19405</v>
      </c>
      <c r="E25" s="15">
        <f>D25-'[11]Oktobris'!D25</f>
        <v>2279</v>
      </c>
    </row>
    <row r="26" spans="1:5" ht="12.75">
      <c r="A26" s="18" t="s">
        <v>758</v>
      </c>
      <c r="B26" s="17" t="s">
        <v>744</v>
      </c>
      <c r="C26" s="17" t="s">
        <v>744</v>
      </c>
      <c r="D26" s="11">
        <f>D24-D25</f>
        <v>13719</v>
      </c>
      <c r="E26" s="11">
        <f>D26-'[11]Oktobris'!D26</f>
        <v>955</v>
      </c>
    </row>
    <row r="27" spans="1:5" ht="12.75">
      <c r="A27" s="16" t="s">
        <v>759</v>
      </c>
      <c r="B27" s="12">
        <f>B19-B20</f>
        <v>-41899</v>
      </c>
      <c r="C27" s="12">
        <f>C19-C20</f>
        <v>-22459</v>
      </c>
      <c r="D27" s="11">
        <f>D19-D20</f>
        <v>-57675</v>
      </c>
      <c r="E27" s="11">
        <f>D27-'[11]Oktobris'!D27</f>
        <v>-11675</v>
      </c>
    </row>
    <row r="28" spans="1:5" ht="12.75">
      <c r="A28" s="10" t="s">
        <v>760</v>
      </c>
      <c r="B28" s="11">
        <f>B29+B50</f>
        <v>41899</v>
      </c>
      <c r="C28" s="12">
        <f>C29+C50</f>
        <v>22459</v>
      </c>
      <c r="D28" s="11">
        <f>D29+D50</f>
        <v>57675</v>
      </c>
      <c r="E28" s="11">
        <f>D28-'[11]Oktobris'!D28</f>
        <v>11675</v>
      </c>
    </row>
    <row r="29" spans="1:5" ht="12.75">
      <c r="A29" s="10" t="s">
        <v>761</v>
      </c>
      <c r="B29" s="11">
        <f>B30+B35+B40+B46</f>
        <v>-64697</v>
      </c>
      <c r="C29" s="12">
        <f>C30+C35+C40+C46</f>
        <v>22459</v>
      </c>
      <c r="D29" s="12">
        <f>D30+D35+D40+D46</f>
        <v>-48921</v>
      </c>
      <c r="E29" s="12">
        <f>D29-'[11]Oktobris'!D29</f>
        <v>-95855</v>
      </c>
    </row>
    <row r="30" spans="1:5" ht="12.75">
      <c r="A30" s="23" t="s">
        <v>762</v>
      </c>
      <c r="B30" s="24">
        <f>B31+B32</f>
        <v>0</v>
      </c>
      <c r="C30" s="24">
        <f>C31+C32</f>
        <v>6683</v>
      </c>
      <c r="D30" s="24">
        <f>D31+D34</f>
        <v>0</v>
      </c>
      <c r="E30" s="24">
        <f>D30-'[11]Oktobris'!D30</f>
        <v>0</v>
      </c>
    </row>
    <row r="31" spans="1:5" ht="12.75" hidden="1">
      <c r="A31" s="13" t="s">
        <v>763</v>
      </c>
      <c r="B31" s="15"/>
      <c r="C31" s="25"/>
      <c r="D31" s="15">
        <f>B31+C31</f>
        <v>0</v>
      </c>
      <c r="E31" s="15">
        <f>D31-'[11]Oktobris'!D31</f>
        <v>0</v>
      </c>
    </row>
    <row r="32" spans="1:5" ht="12.75">
      <c r="A32" s="13" t="s">
        <v>764</v>
      </c>
      <c r="B32" s="15"/>
      <c r="C32" s="25">
        <v>6683</v>
      </c>
      <c r="D32" s="15">
        <f>B32+C32</f>
        <v>6683</v>
      </c>
      <c r="E32" s="15">
        <f>D32-'[11]Oktobris'!D32</f>
        <v>862</v>
      </c>
    </row>
    <row r="33" spans="1:5" ht="12.75">
      <c r="A33" s="26" t="s">
        <v>765</v>
      </c>
      <c r="B33" s="22" t="s">
        <v>744</v>
      </c>
      <c r="C33" s="22" t="s">
        <v>744</v>
      </c>
      <c r="D33" s="27">
        <v>-6683</v>
      </c>
      <c r="E33" s="27">
        <f>D33-'[11]Oktobris'!D33</f>
        <v>-862</v>
      </c>
    </row>
    <row r="34" spans="1:5" ht="12.75" hidden="1">
      <c r="A34" s="13" t="s">
        <v>766</v>
      </c>
      <c r="B34" s="22" t="s">
        <v>744</v>
      </c>
      <c r="C34" s="22" t="s">
        <v>744</v>
      </c>
      <c r="D34" s="27"/>
      <c r="E34" s="27">
        <f>D34-'[11]Oktobris'!D34</f>
        <v>0</v>
      </c>
    </row>
    <row r="35" spans="1:5" ht="12.75">
      <c r="A35" s="28" t="s">
        <v>767</v>
      </c>
      <c r="B35" s="27">
        <f>SUM(B36:B39)</f>
        <v>-137747</v>
      </c>
      <c r="C35" s="24">
        <f>SUM(C36:C39)</f>
        <v>0</v>
      </c>
      <c r="D35" s="27">
        <f aca="true" t="shared" si="0" ref="D35:D49">B35+C35</f>
        <v>-137747</v>
      </c>
      <c r="E35" s="27">
        <f>D35-'[11]Oktobris'!D35</f>
        <v>-93500</v>
      </c>
    </row>
    <row r="36" spans="1:5" ht="12.75">
      <c r="A36" s="29" t="s">
        <v>768</v>
      </c>
      <c r="B36" s="15">
        <v>-117571</v>
      </c>
      <c r="C36" s="25"/>
      <c r="D36" s="15">
        <f t="shared" si="0"/>
        <v>-117571</v>
      </c>
      <c r="E36" s="15">
        <f>D36-'[11]Oktobris'!D36</f>
        <v>-91058</v>
      </c>
    </row>
    <row r="37" spans="1:5" ht="12.75">
      <c r="A37" s="29" t="s">
        <v>769</v>
      </c>
      <c r="B37" s="15">
        <v>10492</v>
      </c>
      <c r="C37" s="25"/>
      <c r="D37" s="15">
        <f t="shared" si="0"/>
        <v>10492</v>
      </c>
      <c r="E37" s="15">
        <f>D37-'[11]Oktobris'!D37</f>
        <v>-1826</v>
      </c>
    </row>
    <row r="38" spans="1:5" ht="22.5">
      <c r="A38" s="29" t="s">
        <v>770</v>
      </c>
      <c r="B38" s="15">
        <v>-7852</v>
      </c>
      <c r="C38" s="25"/>
      <c r="D38" s="15">
        <f t="shared" si="0"/>
        <v>-7852</v>
      </c>
      <c r="E38" s="15">
        <f>D38-'[11]Oktobris'!D38</f>
        <v>-228</v>
      </c>
    </row>
    <row r="39" spans="1:5" ht="12.75">
      <c r="A39" s="29" t="s">
        <v>771</v>
      </c>
      <c r="B39" s="15">
        <v>-22816</v>
      </c>
      <c r="C39" s="25"/>
      <c r="D39" s="15">
        <f t="shared" si="0"/>
        <v>-22816</v>
      </c>
      <c r="E39" s="15">
        <f>D39-'[11]Oktobris'!D39</f>
        <v>-388</v>
      </c>
    </row>
    <row r="40" spans="1:5" ht="12.75">
      <c r="A40" s="30" t="s">
        <v>772</v>
      </c>
      <c r="B40" s="27">
        <f>SUM(B41:B45)</f>
        <v>2060</v>
      </c>
      <c r="C40" s="25">
        <f>SUM(C41:C45)</f>
        <v>-16321</v>
      </c>
      <c r="D40" s="27">
        <f t="shared" si="0"/>
        <v>-14261</v>
      </c>
      <c r="E40" s="27">
        <f>D40-'[11]Oktobris'!D40</f>
        <v>-8867</v>
      </c>
    </row>
    <row r="41" spans="1:5" ht="12.75">
      <c r="A41" s="31" t="s">
        <v>773</v>
      </c>
      <c r="B41" s="15"/>
      <c r="C41" s="25">
        <v>939</v>
      </c>
      <c r="D41" s="15">
        <f t="shared" si="0"/>
        <v>939</v>
      </c>
      <c r="E41" s="15">
        <f>D41-'[11]Oktobris'!D41</f>
        <v>35</v>
      </c>
    </row>
    <row r="42" spans="1:5" ht="12.75">
      <c r="A42" s="29" t="s">
        <v>768</v>
      </c>
      <c r="B42" s="15">
        <v>-17291</v>
      </c>
      <c r="C42" s="25"/>
      <c r="D42" s="15">
        <f t="shared" si="0"/>
        <v>-17291</v>
      </c>
      <c r="E42" s="15">
        <f>D42-'[11]Oktobris'!D42</f>
        <v>-3307</v>
      </c>
    </row>
    <row r="43" spans="1:5" ht="12.75">
      <c r="A43" s="29" t="s">
        <v>769</v>
      </c>
      <c r="B43" s="15">
        <v>-2528</v>
      </c>
      <c r="C43" s="25">
        <v>-17260</v>
      </c>
      <c r="D43" s="15">
        <f t="shared" si="0"/>
        <v>-19788</v>
      </c>
      <c r="E43" s="15">
        <f>D43-'[11]Oktobris'!D43</f>
        <v>-9</v>
      </c>
    </row>
    <row r="44" spans="1:5" ht="22.5">
      <c r="A44" s="29" t="s">
        <v>770</v>
      </c>
      <c r="B44" s="15">
        <v>-255</v>
      </c>
      <c r="C44" s="25"/>
      <c r="D44" s="15">
        <f t="shared" si="0"/>
        <v>-255</v>
      </c>
      <c r="E44" s="15">
        <f>D44-'[11]Oktobris'!D44</f>
        <v>-119</v>
      </c>
    </row>
    <row r="45" spans="1:5" ht="12.75">
      <c r="A45" s="29" t="s">
        <v>771</v>
      </c>
      <c r="B45" s="15">
        <v>22134</v>
      </c>
      <c r="C45" s="25"/>
      <c r="D45" s="15">
        <f t="shared" si="0"/>
        <v>22134</v>
      </c>
      <c r="E45" s="15">
        <f>D45-'[11]Oktobris'!D45</f>
        <v>-5467</v>
      </c>
    </row>
    <row r="46" spans="1:5" ht="12.75">
      <c r="A46" s="30" t="s">
        <v>774</v>
      </c>
      <c r="B46" s="27">
        <f>SUM(B47:B49)</f>
        <v>70990</v>
      </c>
      <c r="C46" s="27">
        <f>SUM(C47:C49)</f>
        <v>32097</v>
      </c>
      <c r="D46" s="15">
        <f t="shared" si="0"/>
        <v>103087</v>
      </c>
      <c r="E46" s="15">
        <f>D46-'[11]Oktobris'!D46</f>
        <v>6512</v>
      </c>
    </row>
    <row r="47" spans="1:5" ht="22.5">
      <c r="A47" s="29" t="s">
        <v>775</v>
      </c>
      <c r="B47" s="15">
        <v>16521</v>
      </c>
      <c r="C47" s="25">
        <v>10499</v>
      </c>
      <c r="D47" s="15">
        <f t="shared" si="0"/>
        <v>27020</v>
      </c>
      <c r="E47" s="15">
        <f>D47-'[11]Oktobris'!D47</f>
        <v>1634</v>
      </c>
    </row>
    <row r="48" spans="1:5" ht="22.5" customHeight="1">
      <c r="A48" s="29" t="s">
        <v>776</v>
      </c>
      <c r="B48" s="15">
        <v>41663</v>
      </c>
      <c r="C48" s="25"/>
      <c r="D48" s="15">
        <f t="shared" si="0"/>
        <v>41663</v>
      </c>
      <c r="E48" s="15">
        <f>D48-'[11]Oktobris'!D48</f>
        <v>629</v>
      </c>
    </row>
    <row r="49" spans="1:5" ht="12.75">
      <c r="A49" s="29" t="s">
        <v>777</v>
      </c>
      <c r="B49" s="15">
        <v>12806</v>
      </c>
      <c r="C49" s="25">
        <v>21598</v>
      </c>
      <c r="D49" s="15">
        <f t="shared" si="0"/>
        <v>34404</v>
      </c>
      <c r="E49" s="15">
        <f>D49-'[11]Oktobris'!D49</f>
        <v>4249</v>
      </c>
    </row>
    <row r="50" spans="1:5" ht="12.75">
      <c r="A50" s="32" t="s">
        <v>778</v>
      </c>
      <c r="B50" s="11">
        <f>SUM(B51:B52)</f>
        <v>106596</v>
      </c>
      <c r="C50" s="12"/>
      <c r="D50" s="11">
        <f>B50+C50</f>
        <v>106596</v>
      </c>
      <c r="E50" s="11">
        <f>D50-'[11]Oktobris'!D50</f>
        <v>107530</v>
      </c>
    </row>
    <row r="51" spans="1:5" ht="12.75">
      <c r="A51" s="30" t="s">
        <v>779</v>
      </c>
      <c r="B51" s="27">
        <v>110086</v>
      </c>
      <c r="C51" s="25"/>
      <c r="D51" s="27">
        <f>B51+C51</f>
        <v>110086</v>
      </c>
      <c r="E51" s="27">
        <f>D51-'[11]Oktobris'!D51</f>
        <v>110612</v>
      </c>
    </row>
    <row r="52" spans="1:5" ht="12.75">
      <c r="A52" s="30" t="s">
        <v>837</v>
      </c>
      <c r="B52" s="27">
        <v>-3490</v>
      </c>
      <c r="C52" s="25"/>
      <c r="D52" s="27">
        <f>B52+C52</f>
        <v>-3490</v>
      </c>
      <c r="E52" s="27">
        <f>D52-'[11]Oktobris'!D52</f>
        <v>-3082</v>
      </c>
    </row>
    <row r="53" spans="1:5" s="38" customFormat="1" ht="11.25">
      <c r="A53" s="33"/>
      <c r="B53" s="34"/>
      <c r="C53" s="35"/>
      <c r="D53" s="36"/>
      <c r="E53" s="37"/>
    </row>
    <row r="54" spans="1:5" ht="12.75">
      <c r="A54" s="855"/>
      <c r="B54" s="855"/>
      <c r="C54" s="855"/>
      <c r="D54" s="855"/>
      <c r="E54" s="40"/>
    </row>
    <row r="56" spans="1:5" ht="12.75">
      <c r="A56" s="41" t="s">
        <v>545</v>
      </c>
      <c r="B56" s="39"/>
      <c r="C56" s="39"/>
      <c r="D56" s="39"/>
      <c r="E56" s="42"/>
    </row>
    <row r="57" spans="1:5" ht="12.75">
      <c r="A57" s="38"/>
      <c r="B57" s="38"/>
      <c r="C57" s="35"/>
      <c r="D57" s="43"/>
      <c r="E57" s="44"/>
    </row>
    <row r="58" spans="2:5" ht="12.75">
      <c r="B58" s="45"/>
      <c r="C58" s="46"/>
      <c r="D58" s="47"/>
      <c r="E58" s="40"/>
    </row>
    <row r="59" spans="1:5" ht="12.75">
      <c r="A59" s="38" t="s">
        <v>838</v>
      </c>
      <c r="B59" s="45"/>
      <c r="C59" s="46"/>
      <c r="D59" s="47"/>
      <c r="E59" s="40"/>
    </row>
    <row r="60" ht="12.75">
      <c r="A60" s="38" t="s">
        <v>309</v>
      </c>
    </row>
  </sheetData>
  <mergeCells count="4">
    <mergeCell ref="A2:C2"/>
    <mergeCell ref="A5:E6"/>
    <mergeCell ref="A7:E7"/>
    <mergeCell ref="A54:D54"/>
  </mergeCells>
  <printOptions/>
  <pageMargins left="0.75" right="0.27" top="0.25" bottom="0.2" header="0.5" footer="0.5"/>
  <pageSetup firstPageNumber="4" useFirstPageNumber="1" fitToHeight="1" fitToWidth="1" horizontalDpi="600" verticalDpi="600" orientation="portrait" paperSize="9" scale="97" r:id="rId1"/>
  <headerFooter alignWithMargins="0">
    <oddFooter>&amp;R&amp;9&amp;P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E171"/>
  <sheetViews>
    <sheetView workbookViewId="0" topLeftCell="F1">
      <selection activeCell="H7" sqref="H7"/>
    </sheetView>
  </sheetViews>
  <sheetFormatPr defaultColWidth="9.140625" defaultRowHeight="17.25" customHeight="1"/>
  <cols>
    <col min="1" max="1" width="32.00390625" style="49" hidden="1" customWidth="1"/>
    <col min="2" max="2" width="12.421875" style="49" hidden="1" customWidth="1"/>
    <col min="3" max="3" width="10.421875" style="49" hidden="1" customWidth="1"/>
    <col min="4" max="4" width="12.8515625" style="49" hidden="1" customWidth="1"/>
    <col min="5" max="5" width="9.7109375" style="49" hidden="1" customWidth="1"/>
    <col min="6" max="6" width="38.28125" style="49" customWidth="1"/>
    <col min="7" max="7" width="12.7109375" style="49" customWidth="1"/>
    <col min="8" max="8" width="11.8515625" style="49" customWidth="1"/>
    <col min="9" max="9" width="12.57421875" style="49" customWidth="1"/>
    <col min="10" max="10" width="9.8515625" style="49" customWidth="1"/>
    <col min="11" max="12" width="9.140625" style="0" hidden="1" customWidth="1"/>
    <col min="13" max="13" width="7.140625" style="789" hidden="1" customWidth="1"/>
    <col min="14" max="16384" width="11.421875" style="49" customWidth="1"/>
  </cols>
  <sheetData>
    <row r="1" spans="2:10" ht="17.25" customHeight="1">
      <c r="B1" s="51"/>
      <c r="C1" s="51"/>
      <c r="D1" s="51"/>
      <c r="E1" s="271" t="s">
        <v>214</v>
      </c>
      <c r="G1" s="51"/>
      <c r="H1" s="51"/>
      <c r="I1" s="51"/>
      <c r="J1" s="2" t="s">
        <v>214</v>
      </c>
    </row>
    <row r="2" spans="1:10" ht="17.25" customHeight="1">
      <c r="A2" s="855" t="s">
        <v>962</v>
      </c>
      <c r="B2" s="855"/>
      <c r="C2" s="855"/>
      <c r="D2" s="855"/>
      <c r="E2" s="855"/>
      <c r="F2" s="855" t="s">
        <v>962</v>
      </c>
      <c r="G2" s="855"/>
      <c r="H2" s="855"/>
      <c r="I2" s="855"/>
      <c r="J2" s="855"/>
    </row>
    <row r="3" spans="1:10" ht="7.5" customHeight="1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28.5" customHeight="1">
      <c r="A4" s="842" t="s">
        <v>215</v>
      </c>
      <c r="B4" s="842"/>
      <c r="C4" s="842"/>
      <c r="D4" s="842"/>
      <c r="E4" s="842"/>
      <c r="F4" s="842" t="s">
        <v>215</v>
      </c>
      <c r="G4" s="842"/>
      <c r="H4" s="842"/>
      <c r="I4" s="842"/>
      <c r="J4" s="842"/>
    </row>
    <row r="5" spans="1:10" ht="12.75">
      <c r="A5" s="841" t="s">
        <v>328</v>
      </c>
      <c r="B5" s="841"/>
      <c r="C5" s="841"/>
      <c r="D5" s="841"/>
      <c r="E5" s="841"/>
      <c r="F5" s="841" t="s">
        <v>328</v>
      </c>
      <c r="G5" s="841"/>
      <c r="H5" s="841"/>
      <c r="I5" s="841"/>
      <c r="J5" s="841"/>
    </row>
    <row r="6" spans="1:10" ht="17.25" customHeight="1">
      <c r="A6" s="344"/>
      <c r="B6" s="344"/>
      <c r="C6" s="344"/>
      <c r="D6" s="344"/>
      <c r="E6" s="2"/>
      <c r="F6" s="344"/>
      <c r="G6" s="344"/>
      <c r="H6" s="344"/>
      <c r="I6" s="344"/>
      <c r="J6" s="2" t="s">
        <v>842</v>
      </c>
    </row>
    <row r="7" spans="1:83" s="83" customFormat="1" ht="52.5" customHeight="1">
      <c r="A7" s="92" t="s">
        <v>738</v>
      </c>
      <c r="B7" s="683" t="s">
        <v>965</v>
      </c>
      <c r="C7" s="346" t="s">
        <v>844</v>
      </c>
      <c r="D7" s="354" t="s">
        <v>216</v>
      </c>
      <c r="E7" s="683" t="s">
        <v>312</v>
      </c>
      <c r="F7" s="274" t="s">
        <v>738</v>
      </c>
      <c r="G7" s="346" t="s">
        <v>965</v>
      </c>
      <c r="H7" s="346" t="s">
        <v>844</v>
      </c>
      <c r="I7" s="346" t="s">
        <v>216</v>
      </c>
      <c r="J7" s="683" t="s">
        <v>312</v>
      </c>
      <c r="L7" s="796" t="s">
        <v>920</v>
      </c>
      <c r="M7" s="78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</row>
    <row r="8" spans="1:10" ht="12.75">
      <c r="A8" s="274">
        <v>1</v>
      </c>
      <c r="B8" s="235">
        <v>2</v>
      </c>
      <c r="C8" s="235">
        <v>3</v>
      </c>
      <c r="D8" s="235">
        <v>4</v>
      </c>
      <c r="E8" s="347">
        <v>5</v>
      </c>
      <c r="F8" s="274">
        <v>1</v>
      </c>
      <c r="G8" s="235">
        <v>2</v>
      </c>
      <c r="H8" s="235">
        <v>3</v>
      </c>
      <c r="I8" s="235">
        <v>4</v>
      </c>
      <c r="J8" s="347">
        <v>5</v>
      </c>
    </row>
    <row r="9" spans="1:13" ht="12.75" customHeight="1">
      <c r="A9" s="348" t="s">
        <v>968</v>
      </c>
      <c r="B9" s="349">
        <f>B14+B19+B24+B29+B34+B39+B44+B49+B54+B59+B64+B69+B74+B79+B84+B89+B94+B99+B104+B109+B114+B119+B124+B129+B134+B139+B144</f>
        <v>6291341</v>
      </c>
      <c r="C9" s="349">
        <f>C14+C19+C24+C29+C34+C39+C44+C49+C54+C59+C64+C69+C74+C79+C84+C89+C94+C99+C104+C109+C114+C119+C124+C129+C134+C139+C144</f>
        <v>3736617</v>
      </c>
      <c r="D9" s="354">
        <f>C9/B9*100</f>
        <v>59.39301334961815</v>
      </c>
      <c r="E9" s="748">
        <f>E14+E19+E24+E29+E34+E39+E44+E49+E54+E59+E64+E69+E74+E79+E84+E89+E94+E99+E104+E109+E114+E119+E124+E129+E134+E139+E144</f>
        <v>343982</v>
      </c>
      <c r="F9" s="348" t="s">
        <v>968</v>
      </c>
      <c r="G9" s="349">
        <f>G14+G19+G24+G29+G34+G39+G44+G49+G54+G59+G64+G69+G74+G79+G84+G89+G94+G99+G104+G109+G114+G119+G124+G129+G134+G139+G144</f>
        <v>6291</v>
      </c>
      <c r="H9" s="349">
        <f>H14+H19+H24+H29+H34+H39+H44+H49+H54+H59+H64+H69+H74+H79+H84+H89+H94+H99+H104+H109+H114+H119+H124+H129+H134+H139+H144</f>
        <v>3736</v>
      </c>
      <c r="I9" s="350">
        <f>H9/G9*100</f>
        <v>59.38642505166111</v>
      </c>
      <c r="J9" s="349">
        <f>ROUND(E9/1000,0)-1</f>
        <v>343</v>
      </c>
      <c r="K9" s="797">
        <f aca="true" t="shared" si="0" ref="K9:K72">H9</f>
        <v>3736</v>
      </c>
      <c r="L9" s="797">
        <f>'[19]oktobris'!H9</f>
        <v>3393</v>
      </c>
      <c r="M9" s="789">
        <f aca="true" t="shared" si="1" ref="M9:M72">K9-L9</f>
        <v>343</v>
      </c>
    </row>
    <row r="10" spans="1:83" s="344" customFormat="1" ht="12.75" customHeight="1">
      <c r="A10" s="289" t="s">
        <v>217</v>
      </c>
      <c r="B10" s="351">
        <f>B15+B20+B25+B30+B35+B40+B45+B50+B55+B60+B65+B70+B75+B80+B85+B90+B95+B100+B105+B110+B115+B120+B125+B130+B135+B140+B145</f>
        <v>6812695</v>
      </c>
      <c r="C10" s="749">
        <f>SUM(C11:C12)</f>
        <v>3983805</v>
      </c>
      <c r="D10" s="354">
        <f>C10/B10*100</f>
        <v>58.476197745532424</v>
      </c>
      <c r="E10" s="750">
        <f>E15+E20+E25+E30+E35+E40+E45+E50+E55+E60+E65+E70+E75+E80+E85+E90+E95+E100+E105+E110+E115+E120+E125+E130+E135+E140+E145</f>
        <v>366616.4</v>
      </c>
      <c r="F10" s="289" t="s">
        <v>217</v>
      </c>
      <c r="G10" s="351">
        <f>G15+G20+G25+G30+G35+G40+G45+G50+G55+G60+G65+G70+G75+G80+G85+G90+G95+G100+G105+G110+G115+G120+G125+G130+G135+G140+G145</f>
        <v>6812</v>
      </c>
      <c r="H10" s="351">
        <f>H11+H12</f>
        <v>3984</v>
      </c>
      <c r="I10" s="350">
        <f>H10/G10*100</f>
        <v>58.48502642395772</v>
      </c>
      <c r="J10" s="351">
        <f>J11+J12</f>
        <v>367</v>
      </c>
      <c r="K10" s="797">
        <f t="shared" si="0"/>
        <v>3984</v>
      </c>
      <c r="L10" s="797">
        <v>3617</v>
      </c>
      <c r="M10" s="789">
        <f t="shared" si="1"/>
        <v>367</v>
      </c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</row>
    <row r="11" spans="1:83" s="83" customFormat="1" ht="12.75" customHeight="1">
      <c r="A11" s="352" t="s">
        <v>975</v>
      </c>
      <c r="B11" s="353">
        <f>B16+B21+B26+B31+B36+B41+B46+B51+B56+B61+B66+B71+B76+B81+B86+B91+B96+B101+B106+B111+B116+B121+B126+B131+B136+B141+B146</f>
        <v>6153281</v>
      </c>
      <c r="C11" s="353">
        <f>C16+C21+C26+C31+C36+C41+C46+C51+C56+C61+C66+C71+C76+C81+C86+C91+C96+C101+C106+C111+C116+C121+C126+C131+C136+C141+C146</f>
        <v>3649483</v>
      </c>
      <c r="D11" s="354">
        <f>C11/B11*100</f>
        <v>59.30954559039316</v>
      </c>
      <c r="E11" s="751">
        <f>E16+E21+E26+E31+E36+E41+E46+E51+E56+E61+E66+E71+E76+E81+E86+E91+E96+E101+E106+E111+E116+E121+E126+E131+E136+E141+E146</f>
        <v>314727</v>
      </c>
      <c r="F11" s="352" t="s">
        <v>975</v>
      </c>
      <c r="G11" s="353">
        <f>G16+G21+G26+G31+G36+G41+G46+G51+G56+G61+G66+G71+G76+G81+G86+G91+G96+G101+G106+G111+G116+G121+G126+G131+G136+G141+G146</f>
        <v>6153</v>
      </c>
      <c r="H11" s="353">
        <f>H16+H21+H26+H31+H36+H41+H46+H51+H56+H61+H66+H71+H76+H81+H86+H91+H96+H101+H106+H111+H116+H121+H126+H131+H136+H141+H146</f>
        <v>3650</v>
      </c>
      <c r="I11" s="354">
        <f>H11/G11*100</f>
        <v>59.32065659028116</v>
      </c>
      <c r="J11" s="355">
        <f>J16+J21+J26+J31+J36+J41+J46+J51+J56+J61+J66+J71+J76+J81+J86+J91+J96+J101+J106+J111+J116+J121+J126+J131+J136+J141+J146</f>
        <v>315</v>
      </c>
      <c r="K11" s="797">
        <f t="shared" si="0"/>
        <v>3650</v>
      </c>
      <c r="L11" s="797">
        <v>3335</v>
      </c>
      <c r="M11" s="789">
        <f t="shared" si="1"/>
        <v>315</v>
      </c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</row>
    <row r="12" spans="1:83" s="83" customFormat="1" ht="12.75" customHeight="1">
      <c r="A12" s="352" t="s">
        <v>976</v>
      </c>
      <c r="B12" s="353">
        <f>B17+B22+B27+B32+B37+B42+B47+B52+B57+B62+B67+B72+B77+B82+B87+B92+B97+B102+B107+B112+B117+B122+B127+B132+B137+B142+B147</f>
        <v>659414</v>
      </c>
      <c r="C12" s="353">
        <f>C17+C22+C27+C32+C37+C42+C47+C52+C57+C62+C67+C72+C77+C82+C87+C92+C97+C102+C107+C112+C117+C122+C127+C132+C137+C142+C147</f>
        <v>334322</v>
      </c>
      <c r="D12" s="354">
        <f>C12/B12*100</f>
        <v>50.69986381848126</v>
      </c>
      <c r="E12" s="751">
        <f>E17+E22+E27+E32+E37+E42+E47+E52+E57+E62+E67+E72+E77+E82+E87+E92+E97+E102+E107+E112+E117+E122+E127+E132+E137+E142+E147</f>
        <v>51889.4</v>
      </c>
      <c r="F12" s="352" t="s">
        <v>976</v>
      </c>
      <c r="G12" s="353">
        <f>G17+G22+G27+G32+G37+G42+G47+G52+G57+G62+G67+G72+G77+G82+G87+G92+G97+G102+G107+G112+G117+G122+G127+G132+G137+G142+G147</f>
        <v>659</v>
      </c>
      <c r="H12" s="353">
        <f>H17+H22+H27+H32+H37+H42+H47+H52+H57+H62+H67+H72+H77+H82+H87+H92+H97+H102+H107+H112+H117+H122+H127+H132+H137+H142+H147</f>
        <v>334</v>
      </c>
      <c r="I12" s="354">
        <f>H12/G12*100</f>
        <v>50.682852807283766</v>
      </c>
      <c r="J12" s="355">
        <f>J17+J22+J27+J32+J37+J42+J47+J52+J57+J62+J67+J72+J77+J82+J87+J92+J97+J102+J107+J112+J117+J122+J127+J132+J137+J142+J147-1</f>
        <v>52</v>
      </c>
      <c r="K12" s="797">
        <f t="shared" si="0"/>
        <v>334</v>
      </c>
      <c r="L12" s="797">
        <v>282</v>
      </c>
      <c r="M12" s="789">
        <f t="shared" si="1"/>
        <v>52</v>
      </c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</row>
    <row r="13" spans="1:83" s="83" customFormat="1" ht="12.75" customHeight="1">
      <c r="A13" s="92" t="s">
        <v>980</v>
      </c>
      <c r="B13" s="356"/>
      <c r="C13" s="356"/>
      <c r="D13" s="354"/>
      <c r="E13" s="356"/>
      <c r="F13" s="92" t="s">
        <v>980</v>
      </c>
      <c r="G13" s="356"/>
      <c r="H13" s="356"/>
      <c r="I13" s="354"/>
      <c r="J13" s="356"/>
      <c r="K13" s="797">
        <f t="shared" si="0"/>
        <v>0</v>
      </c>
      <c r="L13" s="797">
        <f>'[19]oktobris'!H13</f>
        <v>0</v>
      </c>
      <c r="M13" s="789">
        <f t="shared" si="1"/>
        <v>0</v>
      </c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</row>
    <row r="14" spans="1:83" s="83" customFormat="1" ht="12.75" customHeight="1">
      <c r="A14" s="357" t="s">
        <v>73</v>
      </c>
      <c r="B14" s="356"/>
      <c r="C14" s="356"/>
      <c r="D14" s="354" t="e">
        <f>C14/B14*100</f>
        <v>#DIV/0!</v>
      </c>
      <c r="E14" s="356">
        <f>C14-'[19]oktobris'!C14</f>
        <v>0</v>
      </c>
      <c r="F14" s="357" t="s">
        <v>73</v>
      </c>
      <c r="G14" s="356">
        <f>ROUND(B14/1000,0)</f>
        <v>0</v>
      </c>
      <c r="H14" s="356">
        <f>ROUND(C14/1000,0)</f>
        <v>0</v>
      </c>
      <c r="I14" s="752">
        <v>0</v>
      </c>
      <c r="J14" s="356">
        <f>H14</f>
        <v>0</v>
      </c>
      <c r="K14" s="797">
        <f t="shared" si="0"/>
        <v>0</v>
      </c>
      <c r="L14" s="797">
        <f>'[19]oktobris'!H14</f>
        <v>0</v>
      </c>
      <c r="M14" s="789">
        <f t="shared" si="1"/>
        <v>0</v>
      </c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</row>
    <row r="15" spans="1:83" s="83" customFormat="1" ht="12.75" customHeight="1">
      <c r="A15" s="98" t="s">
        <v>981</v>
      </c>
      <c r="B15" s="356">
        <f>SUM(B16:B17)</f>
        <v>0</v>
      </c>
      <c r="C15" s="356">
        <f>SUM(C16:C17)</f>
        <v>0</v>
      </c>
      <c r="D15" s="354" t="e">
        <f>C15/B15*100</f>
        <v>#DIV/0!</v>
      </c>
      <c r="E15" s="356">
        <f>E16+E17</f>
        <v>0</v>
      </c>
      <c r="F15" s="98" t="s">
        <v>981</v>
      </c>
      <c r="G15" s="356">
        <f>SUM(G16:G17)</f>
        <v>0</v>
      </c>
      <c r="H15" s="356">
        <f>SUM(H16:H17)</f>
        <v>0</v>
      </c>
      <c r="I15" s="752">
        <v>0</v>
      </c>
      <c r="J15" s="358">
        <f>SUM(J16:J17)</f>
        <v>0</v>
      </c>
      <c r="K15" s="797">
        <f t="shared" si="0"/>
        <v>0</v>
      </c>
      <c r="L15" s="797">
        <f>'[19]oktobris'!H15</f>
        <v>0</v>
      </c>
      <c r="M15" s="789">
        <f t="shared" si="1"/>
        <v>0</v>
      </c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</row>
    <row r="16" spans="1:83" s="83" customFormat="1" ht="12.75" customHeight="1">
      <c r="A16" s="106" t="s">
        <v>975</v>
      </c>
      <c r="B16" s="358"/>
      <c r="C16" s="358"/>
      <c r="D16" s="354" t="e">
        <f>C16/B16*100</f>
        <v>#DIV/0!</v>
      </c>
      <c r="E16" s="358">
        <f>C16-'[19]oktobris'!C16</f>
        <v>0</v>
      </c>
      <c r="F16" s="106" t="s">
        <v>975</v>
      </c>
      <c r="G16" s="358">
        <f>ROUND(B16/1000,0)</f>
        <v>0</v>
      </c>
      <c r="H16" s="358">
        <f>ROUND(C16/1000,0)</f>
        <v>0</v>
      </c>
      <c r="I16" s="354">
        <v>0</v>
      </c>
      <c r="J16" s="358">
        <f>H16</f>
        <v>0</v>
      </c>
      <c r="K16" s="797">
        <f t="shared" si="0"/>
        <v>0</v>
      </c>
      <c r="L16" s="797">
        <f>'[19]oktobris'!H16</f>
        <v>0</v>
      </c>
      <c r="M16" s="789">
        <f t="shared" si="1"/>
        <v>0</v>
      </c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</row>
    <row r="17" spans="1:83" s="83" customFormat="1" ht="12.75" customHeight="1">
      <c r="A17" s="106" t="s">
        <v>976</v>
      </c>
      <c r="B17" s="358"/>
      <c r="C17" s="358"/>
      <c r="D17" s="354" t="e">
        <f>C17/B17*100</f>
        <v>#DIV/0!</v>
      </c>
      <c r="E17" s="358">
        <f>C17-'[19]oktobris'!C17</f>
        <v>0</v>
      </c>
      <c r="F17" s="106" t="s">
        <v>976</v>
      </c>
      <c r="G17" s="358">
        <f>ROUND(B17/1000,0)</f>
        <v>0</v>
      </c>
      <c r="H17" s="358">
        <f>ROUND(C17/1000,0)</f>
        <v>0</v>
      </c>
      <c r="I17" s="354">
        <v>0</v>
      </c>
      <c r="J17" s="358">
        <f>H17</f>
        <v>0</v>
      </c>
      <c r="K17" s="797">
        <f t="shared" si="0"/>
        <v>0</v>
      </c>
      <c r="L17" s="797">
        <f>'[19]oktobris'!H17</f>
        <v>0</v>
      </c>
      <c r="M17" s="789">
        <f t="shared" si="1"/>
        <v>0</v>
      </c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</row>
    <row r="18" spans="1:83" s="83" customFormat="1" ht="12.75" customHeight="1">
      <c r="A18" s="209" t="s">
        <v>983</v>
      </c>
      <c r="B18" s="356"/>
      <c r="C18" s="356"/>
      <c r="D18" s="354"/>
      <c r="E18" s="356"/>
      <c r="F18" s="209" t="s">
        <v>983</v>
      </c>
      <c r="G18" s="356"/>
      <c r="H18" s="356"/>
      <c r="I18" s="354"/>
      <c r="J18" s="356"/>
      <c r="K18" s="797">
        <f t="shared" si="0"/>
        <v>0</v>
      </c>
      <c r="L18" s="797">
        <f>'[19]oktobris'!H18</f>
        <v>0</v>
      </c>
      <c r="M18" s="789">
        <f t="shared" si="1"/>
        <v>0</v>
      </c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</row>
    <row r="19" spans="1:83" s="83" customFormat="1" ht="12.75" customHeight="1">
      <c r="A19" s="357" t="s">
        <v>73</v>
      </c>
      <c r="B19" s="356">
        <v>14138</v>
      </c>
      <c r="C19" s="356"/>
      <c r="D19" s="354">
        <f>C19/B19*100</f>
        <v>0</v>
      </c>
      <c r="E19" s="356">
        <f>C19-'[19]oktobris'!C19</f>
        <v>0</v>
      </c>
      <c r="F19" s="357" t="s">
        <v>73</v>
      </c>
      <c r="G19" s="356">
        <f>ROUND(B19/1000,0)</f>
        <v>14</v>
      </c>
      <c r="H19" s="356">
        <f>ROUND(C19/1000,0)</f>
        <v>0</v>
      </c>
      <c r="I19" s="359">
        <f>H19/G19*100</f>
        <v>0</v>
      </c>
      <c r="J19" s="358">
        <f>ROUND(E19/1000,0)</f>
        <v>0</v>
      </c>
      <c r="K19" s="797">
        <f t="shared" si="0"/>
        <v>0</v>
      </c>
      <c r="L19" s="797">
        <f>'[19]oktobris'!H19</f>
        <v>0</v>
      </c>
      <c r="M19" s="789">
        <f t="shared" si="1"/>
        <v>0</v>
      </c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</row>
    <row r="20" spans="1:83" s="83" customFormat="1" ht="12.75" customHeight="1">
      <c r="A20" s="98" t="s">
        <v>217</v>
      </c>
      <c r="B20" s="356">
        <f>B21+B22</f>
        <v>14138</v>
      </c>
      <c r="C20" s="356">
        <f>C21+C22</f>
        <v>14138</v>
      </c>
      <c r="D20" s="354">
        <f>C20/B20*100</f>
        <v>100</v>
      </c>
      <c r="E20" s="356">
        <f>E21+E22</f>
        <v>0</v>
      </c>
      <c r="F20" s="98" t="s">
        <v>217</v>
      </c>
      <c r="G20" s="356">
        <f>G21+G22</f>
        <v>14</v>
      </c>
      <c r="H20" s="356">
        <f>H21+H22</f>
        <v>14</v>
      </c>
      <c r="I20" s="359">
        <f>H20/G20*100</f>
        <v>100</v>
      </c>
      <c r="J20" s="358">
        <f>SUM(J21:J22)</f>
        <v>0</v>
      </c>
      <c r="K20" s="797">
        <f t="shared" si="0"/>
        <v>14</v>
      </c>
      <c r="L20" s="797">
        <f>'[19]oktobris'!H20</f>
        <v>14</v>
      </c>
      <c r="M20" s="789">
        <f t="shared" si="1"/>
        <v>0</v>
      </c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</row>
    <row r="21" spans="1:83" s="83" customFormat="1" ht="12.75" customHeight="1">
      <c r="A21" s="106" t="s">
        <v>975</v>
      </c>
      <c r="B21" s="358">
        <v>14138</v>
      </c>
      <c r="C21" s="358">
        <v>14138</v>
      </c>
      <c r="D21" s="354">
        <f>C21/B21*100</f>
        <v>100</v>
      </c>
      <c r="E21" s="358">
        <f>C21-'[19]oktobris'!C21</f>
        <v>0</v>
      </c>
      <c r="F21" s="106" t="s">
        <v>975</v>
      </c>
      <c r="G21" s="358">
        <f>ROUND(B21/1000,0)</f>
        <v>14</v>
      </c>
      <c r="H21" s="358">
        <f>ROUND(C21/1000,0)</f>
        <v>14</v>
      </c>
      <c r="I21" s="360">
        <f>H21/G21*100</f>
        <v>100</v>
      </c>
      <c r="J21" s="358">
        <f>ROUND(E21/1000,0)</f>
        <v>0</v>
      </c>
      <c r="K21" s="797">
        <f t="shared" si="0"/>
        <v>14</v>
      </c>
      <c r="L21" s="797">
        <v>14</v>
      </c>
      <c r="M21" s="789">
        <f t="shared" si="1"/>
        <v>0</v>
      </c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</row>
    <row r="22" spans="1:83" s="83" customFormat="1" ht="12.75" customHeight="1">
      <c r="A22" s="106" t="s">
        <v>976</v>
      </c>
      <c r="B22" s="358"/>
      <c r="C22" s="358"/>
      <c r="D22" s="354"/>
      <c r="E22" s="358">
        <f>C22-'[19]oktobris'!C22</f>
        <v>0</v>
      </c>
      <c r="F22" s="106" t="s">
        <v>976</v>
      </c>
      <c r="G22" s="358">
        <f>ROUND(B22/1000,0)</f>
        <v>0</v>
      </c>
      <c r="H22" s="358">
        <f>ROUND(C22/1000,0)</f>
        <v>0</v>
      </c>
      <c r="I22" s="360">
        <v>0</v>
      </c>
      <c r="J22" s="358">
        <f>ROUND(E22/1000,0)</f>
        <v>0</v>
      </c>
      <c r="K22" s="797">
        <f t="shared" si="0"/>
        <v>0</v>
      </c>
      <c r="L22" s="797">
        <f>'[19]oktobris'!H22</f>
        <v>0</v>
      </c>
      <c r="M22" s="789">
        <f t="shared" si="1"/>
        <v>0</v>
      </c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</row>
    <row r="23" spans="1:83" s="83" customFormat="1" ht="12.75" customHeight="1">
      <c r="A23" s="209" t="s">
        <v>985</v>
      </c>
      <c r="B23" s="358"/>
      <c r="C23" s="358"/>
      <c r="D23" s="354"/>
      <c r="E23" s="358"/>
      <c r="F23" s="209" t="s">
        <v>985</v>
      </c>
      <c r="G23" s="356"/>
      <c r="H23" s="356"/>
      <c r="I23" s="354"/>
      <c r="J23" s="358"/>
      <c r="K23" s="797">
        <f t="shared" si="0"/>
        <v>0</v>
      </c>
      <c r="L23" s="797">
        <f>'[19]oktobris'!H23</f>
        <v>0</v>
      </c>
      <c r="M23" s="789">
        <f t="shared" si="1"/>
        <v>0</v>
      </c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</row>
    <row r="24" spans="1:83" s="83" customFormat="1" ht="12.75" customHeight="1">
      <c r="A24" s="357" t="s">
        <v>73</v>
      </c>
      <c r="B24" s="356"/>
      <c r="C24" s="356"/>
      <c r="D24" s="354"/>
      <c r="E24" s="358">
        <f>C24-'[19]oktobris'!C24</f>
        <v>0</v>
      </c>
      <c r="F24" s="357" t="s">
        <v>73</v>
      </c>
      <c r="G24" s="356">
        <f>ROUND(B24/1000,0)</f>
        <v>0</v>
      </c>
      <c r="H24" s="356">
        <f>ROUND(C24/1000,0)</f>
        <v>0</v>
      </c>
      <c r="I24" s="359">
        <v>0</v>
      </c>
      <c r="J24" s="358">
        <f>ROUND(E24/1000,0)</f>
        <v>0</v>
      </c>
      <c r="K24" s="797">
        <f t="shared" si="0"/>
        <v>0</v>
      </c>
      <c r="L24" s="797">
        <f>'[19]oktobris'!H24</f>
        <v>0</v>
      </c>
      <c r="M24" s="789">
        <f t="shared" si="1"/>
        <v>0</v>
      </c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</row>
    <row r="25" spans="1:83" s="83" customFormat="1" ht="12.75" customHeight="1">
      <c r="A25" s="98" t="s">
        <v>217</v>
      </c>
      <c r="B25" s="356">
        <f>B26+B27</f>
        <v>24532</v>
      </c>
      <c r="C25" s="356">
        <f>C26+C27</f>
        <v>20958</v>
      </c>
      <c r="D25" s="354">
        <f>C25/B25*100</f>
        <v>85.43127343877384</v>
      </c>
      <c r="E25" s="356">
        <f>E26+E27</f>
        <v>1296</v>
      </c>
      <c r="F25" s="98" t="s">
        <v>217</v>
      </c>
      <c r="G25" s="356">
        <f>G26+G27</f>
        <v>25</v>
      </c>
      <c r="H25" s="356">
        <f>H26+H27</f>
        <v>21</v>
      </c>
      <c r="I25" s="359">
        <f>H25/G25*100</f>
        <v>84</v>
      </c>
      <c r="J25" s="358">
        <f>SUM(J26:J27)</f>
        <v>1</v>
      </c>
      <c r="K25" s="797">
        <f t="shared" si="0"/>
        <v>21</v>
      </c>
      <c r="L25" s="797">
        <f>'[19]oktobris'!H25</f>
        <v>20</v>
      </c>
      <c r="M25" s="789">
        <f t="shared" si="1"/>
        <v>1</v>
      </c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</row>
    <row r="26" spans="1:83" s="83" customFormat="1" ht="12.75" customHeight="1">
      <c r="A26" s="106" t="s">
        <v>975</v>
      </c>
      <c r="B26" s="358">
        <v>24532</v>
      </c>
      <c r="C26" s="358">
        <v>20958</v>
      </c>
      <c r="D26" s="354">
        <f>C26/B26*100</f>
        <v>85.43127343877384</v>
      </c>
      <c r="E26" s="358">
        <f>C26-'[19]oktobris'!C26</f>
        <v>1296</v>
      </c>
      <c r="F26" s="106" t="s">
        <v>975</v>
      </c>
      <c r="G26" s="358">
        <f>ROUND(B26/1000,0)</f>
        <v>25</v>
      </c>
      <c r="H26" s="358">
        <f>ROUND(C26/1000,0)</f>
        <v>21</v>
      </c>
      <c r="I26" s="360">
        <f>H26/G26*100</f>
        <v>84</v>
      </c>
      <c r="J26" s="358">
        <f>ROUND(E26/1000,0)</f>
        <v>1</v>
      </c>
      <c r="K26" s="797">
        <f t="shared" si="0"/>
        <v>21</v>
      </c>
      <c r="L26" s="797">
        <f>'[19]oktobris'!H26</f>
        <v>20</v>
      </c>
      <c r="M26" s="789">
        <f t="shared" si="1"/>
        <v>1</v>
      </c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</row>
    <row r="27" spans="1:83" s="83" customFormat="1" ht="12.75" customHeight="1">
      <c r="A27" s="106" t="s">
        <v>976</v>
      </c>
      <c r="B27" s="358"/>
      <c r="C27" s="358"/>
      <c r="D27" s="354"/>
      <c r="E27" s="358">
        <f>C27-'[19]oktobris'!C27</f>
        <v>0</v>
      </c>
      <c r="F27" s="106" t="s">
        <v>976</v>
      </c>
      <c r="G27" s="358">
        <f>ROUND(B27/1000,0)</f>
        <v>0</v>
      </c>
      <c r="H27" s="358">
        <f>ROUND(C27/1000,0)</f>
        <v>0</v>
      </c>
      <c r="I27" s="360">
        <v>0</v>
      </c>
      <c r="J27" s="358">
        <f>ROUND(E27/1000,0)</f>
        <v>0</v>
      </c>
      <c r="K27" s="797">
        <f t="shared" si="0"/>
        <v>0</v>
      </c>
      <c r="L27" s="797">
        <f>'[19]oktobris'!H27</f>
        <v>0</v>
      </c>
      <c r="M27" s="789">
        <f t="shared" si="1"/>
        <v>0</v>
      </c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</row>
    <row r="28" spans="1:83" s="83" customFormat="1" ht="12.75" customHeight="1">
      <c r="A28" s="209" t="s">
        <v>987</v>
      </c>
      <c r="B28" s="358"/>
      <c r="C28" s="358"/>
      <c r="D28" s="354"/>
      <c r="E28" s="358"/>
      <c r="F28" s="209" t="s">
        <v>987</v>
      </c>
      <c r="G28" s="356"/>
      <c r="H28" s="356"/>
      <c r="I28" s="354"/>
      <c r="J28" s="358"/>
      <c r="K28" s="797">
        <f t="shared" si="0"/>
        <v>0</v>
      </c>
      <c r="L28" s="797">
        <f>'[19]oktobris'!H28</f>
        <v>0</v>
      </c>
      <c r="M28" s="789">
        <f t="shared" si="1"/>
        <v>0</v>
      </c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</row>
    <row r="29" spans="1:83" s="83" customFormat="1" ht="12.75" customHeight="1">
      <c r="A29" s="357" t="s">
        <v>73</v>
      </c>
      <c r="B29" s="356">
        <v>44904</v>
      </c>
      <c r="C29" s="356">
        <v>78861</v>
      </c>
      <c r="D29" s="354">
        <f>C29/B29*100</f>
        <v>175.62132549438803</v>
      </c>
      <c r="E29" s="358">
        <f>C29-'[19]oktobris'!C29</f>
        <v>52281</v>
      </c>
      <c r="F29" s="357" t="s">
        <v>73</v>
      </c>
      <c r="G29" s="356">
        <f>ROUND(B29/1000,0)</f>
        <v>45</v>
      </c>
      <c r="H29" s="356">
        <f>ROUND(C29/1000,0)</f>
        <v>79</v>
      </c>
      <c r="I29" s="359">
        <f>H29/G29*100</f>
        <v>175.55555555555554</v>
      </c>
      <c r="J29" s="358">
        <f>ROUND(E29/1000,0)</f>
        <v>52</v>
      </c>
      <c r="K29" s="797">
        <f t="shared" si="0"/>
        <v>79</v>
      </c>
      <c r="L29" s="797">
        <f>'[19]oktobris'!H29</f>
        <v>27</v>
      </c>
      <c r="M29" s="789">
        <f t="shared" si="1"/>
        <v>52</v>
      </c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</row>
    <row r="30" spans="1:83" s="83" customFormat="1" ht="12.75" customHeight="1">
      <c r="A30" s="98" t="s">
        <v>217</v>
      </c>
      <c r="B30" s="356">
        <f>B31+B32</f>
        <v>47589</v>
      </c>
      <c r="C30" s="356">
        <f>C31+C32</f>
        <v>27241</v>
      </c>
      <c r="D30" s="354">
        <f>C30/B30*100</f>
        <v>57.2422198407195</v>
      </c>
      <c r="E30" s="358">
        <f>E31+E32</f>
        <v>1012</v>
      </c>
      <c r="F30" s="98" t="s">
        <v>217</v>
      </c>
      <c r="G30" s="356">
        <f>G31+G32</f>
        <v>47</v>
      </c>
      <c r="H30" s="356">
        <f>H31+H32</f>
        <v>28</v>
      </c>
      <c r="I30" s="359">
        <f>H30/G30*100</f>
        <v>59.57446808510638</v>
      </c>
      <c r="J30" s="358">
        <f>SUM(J31:J32)</f>
        <v>2</v>
      </c>
      <c r="K30" s="797">
        <f t="shared" si="0"/>
        <v>28</v>
      </c>
      <c r="L30" s="797">
        <f>'[19]oktobris'!H30-1</f>
        <v>26</v>
      </c>
      <c r="M30" s="789">
        <f t="shared" si="1"/>
        <v>2</v>
      </c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</row>
    <row r="31" spans="1:83" s="83" customFormat="1" ht="12.75" customHeight="1">
      <c r="A31" s="215" t="s">
        <v>975</v>
      </c>
      <c r="B31" s="358">
        <v>18388</v>
      </c>
      <c r="C31" s="358">
        <v>4558</v>
      </c>
      <c r="D31" s="354">
        <f>C31/B31*100</f>
        <v>24.78790515553622</v>
      </c>
      <c r="E31" s="358">
        <f>C31-'[19]oktobris'!C31</f>
        <v>1012</v>
      </c>
      <c r="F31" s="106" t="s">
        <v>975</v>
      </c>
      <c r="G31" s="358">
        <f>ROUND(B31/1000,0)</f>
        <v>18</v>
      </c>
      <c r="H31" s="358">
        <f>ROUND(C31/1000,0)</f>
        <v>5</v>
      </c>
      <c r="I31" s="360">
        <f>H31/G31*100</f>
        <v>27.77777777777778</v>
      </c>
      <c r="J31" s="358">
        <f>ROUND(E31/1000,0)+1</f>
        <v>2</v>
      </c>
      <c r="K31" s="797">
        <f t="shared" si="0"/>
        <v>5</v>
      </c>
      <c r="L31" s="797">
        <f>'[19]oktobris'!H31-1</f>
        <v>3</v>
      </c>
      <c r="M31" s="789">
        <f t="shared" si="1"/>
        <v>2</v>
      </c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</row>
    <row r="32" spans="1:83" s="83" customFormat="1" ht="12.75" customHeight="1">
      <c r="A32" s="215" t="s">
        <v>976</v>
      </c>
      <c r="B32" s="358">
        <v>29201</v>
      </c>
      <c r="C32" s="358">
        <v>22683</v>
      </c>
      <c r="D32" s="354">
        <f>C32/B32*100</f>
        <v>77.67884661484196</v>
      </c>
      <c r="E32" s="358">
        <f>C32-'[19]oktobris'!C32</f>
        <v>0</v>
      </c>
      <c r="F32" s="106" t="s">
        <v>976</v>
      </c>
      <c r="G32" s="358">
        <f>ROUND(B32/1000,0)</f>
        <v>29</v>
      </c>
      <c r="H32" s="358">
        <f>ROUND(C32/1000,0)</f>
        <v>23</v>
      </c>
      <c r="I32" s="360">
        <f>H32/G32*100</f>
        <v>79.3103448275862</v>
      </c>
      <c r="J32" s="358">
        <f>ROUND(E32/1000,0)</f>
        <v>0</v>
      </c>
      <c r="K32" s="797">
        <f t="shared" si="0"/>
        <v>23</v>
      </c>
      <c r="L32" s="797">
        <f>'[19]oktobris'!H32</f>
        <v>23</v>
      </c>
      <c r="M32" s="789">
        <f t="shared" si="1"/>
        <v>0</v>
      </c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</row>
    <row r="33" spans="1:83" s="83" customFormat="1" ht="12.75" customHeight="1">
      <c r="A33" s="209" t="s">
        <v>989</v>
      </c>
      <c r="B33" s="358"/>
      <c r="C33" s="358"/>
      <c r="D33" s="354"/>
      <c r="E33" s="358"/>
      <c r="F33" s="209" t="s">
        <v>989</v>
      </c>
      <c r="G33" s="356"/>
      <c r="H33" s="356"/>
      <c r="I33" s="360"/>
      <c r="J33" s="358"/>
      <c r="K33" s="797">
        <f t="shared" si="0"/>
        <v>0</v>
      </c>
      <c r="L33" s="797">
        <f>'[19]oktobris'!H33</f>
        <v>0</v>
      </c>
      <c r="M33" s="789">
        <f t="shared" si="1"/>
        <v>0</v>
      </c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</row>
    <row r="34" spans="1:83" s="83" customFormat="1" ht="12.75" customHeight="1">
      <c r="A34" s="357" t="s">
        <v>73</v>
      </c>
      <c r="B34" s="356">
        <v>5676</v>
      </c>
      <c r="C34" s="356">
        <v>5168</v>
      </c>
      <c r="D34" s="354">
        <f>C34/B34*100</f>
        <v>91.05003523608175</v>
      </c>
      <c r="E34" s="358">
        <f>C34-'[19]oktobris'!C34</f>
        <v>0</v>
      </c>
      <c r="F34" s="357" t="s">
        <v>73</v>
      </c>
      <c r="G34" s="356">
        <f>ROUND(B34/1000,0)</f>
        <v>6</v>
      </c>
      <c r="H34" s="356">
        <f>ROUND(C34/1000,0)</f>
        <v>5</v>
      </c>
      <c r="I34" s="359">
        <f>H34/G34*100</f>
        <v>83.33333333333334</v>
      </c>
      <c r="J34" s="358">
        <f>ROUND(E34/1000,0)</f>
        <v>0</v>
      </c>
      <c r="K34" s="797">
        <f t="shared" si="0"/>
        <v>5</v>
      </c>
      <c r="L34" s="797">
        <f>'[19]oktobris'!H34</f>
        <v>5</v>
      </c>
      <c r="M34" s="789">
        <f t="shared" si="1"/>
        <v>0</v>
      </c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</row>
    <row r="35" spans="1:83" s="83" customFormat="1" ht="12.75" customHeight="1">
      <c r="A35" s="98" t="s">
        <v>217</v>
      </c>
      <c r="B35" s="356">
        <f>B36+B37</f>
        <v>5676</v>
      </c>
      <c r="C35" s="356">
        <f>C36+C37</f>
        <v>5168</v>
      </c>
      <c r="D35" s="354">
        <f>C35/B35*100</f>
        <v>91.05003523608175</v>
      </c>
      <c r="E35" s="358">
        <f>E36+E37</f>
        <v>0</v>
      </c>
      <c r="F35" s="98" t="s">
        <v>217</v>
      </c>
      <c r="G35" s="356">
        <f>G36+G37</f>
        <v>6</v>
      </c>
      <c r="H35" s="356">
        <f>H36+H37</f>
        <v>5</v>
      </c>
      <c r="I35" s="359">
        <f>H35/G35*100</f>
        <v>83.33333333333334</v>
      </c>
      <c r="J35" s="358">
        <f>SUM(J36:J37)</f>
        <v>0</v>
      </c>
      <c r="K35" s="797">
        <f t="shared" si="0"/>
        <v>5</v>
      </c>
      <c r="L35" s="797">
        <f>'[19]oktobris'!H35</f>
        <v>5</v>
      </c>
      <c r="M35" s="789">
        <f t="shared" si="1"/>
        <v>0</v>
      </c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</row>
    <row r="36" spans="1:83" s="83" customFormat="1" ht="12.75" customHeight="1">
      <c r="A36" s="215" t="s">
        <v>975</v>
      </c>
      <c r="B36" s="358">
        <v>5676</v>
      </c>
      <c r="C36" s="358">
        <v>5168</v>
      </c>
      <c r="D36" s="354">
        <f>C36/B36*100</f>
        <v>91.05003523608175</v>
      </c>
      <c r="E36" s="358">
        <f>C36-'[19]oktobris'!C36</f>
        <v>0</v>
      </c>
      <c r="F36" s="106" t="s">
        <v>975</v>
      </c>
      <c r="G36" s="358">
        <f>ROUND(B36/1000,0)</f>
        <v>6</v>
      </c>
      <c r="H36" s="358">
        <f>ROUND(C36/1000,0)</f>
        <v>5</v>
      </c>
      <c r="I36" s="360">
        <f>H36/G36*100</f>
        <v>83.33333333333334</v>
      </c>
      <c r="J36" s="358">
        <f>ROUND(E36/1000,0)</f>
        <v>0</v>
      </c>
      <c r="K36" s="797">
        <f t="shared" si="0"/>
        <v>5</v>
      </c>
      <c r="L36" s="797">
        <f>'[19]oktobris'!H36</f>
        <v>5</v>
      </c>
      <c r="M36" s="789">
        <f t="shared" si="1"/>
        <v>0</v>
      </c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</row>
    <row r="37" spans="1:83" s="83" customFormat="1" ht="12.75" customHeight="1">
      <c r="A37" s="215" t="s">
        <v>976</v>
      </c>
      <c r="B37" s="358"/>
      <c r="C37" s="358"/>
      <c r="D37" s="354"/>
      <c r="E37" s="358">
        <f>C37-'[19]oktobris'!C37</f>
        <v>0</v>
      </c>
      <c r="F37" s="106" t="s">
        <v>976</v>
      </c>
      <c r="G37" s="358">
        <f>ROUND(B37/1000,0)</f>
        <v>0</v>
      </c>
      <c r="H37" s="358">
        <f>ROUND(C37/1000,0)</f>
        <v>0</v>
      </c>
      <c r="I37" s="360">
        <v>0</v>
      </c>
      <c r="J37" s="358">
        <f>ROUND(E37/1000,0)</f>
        <v>0</v>
      </c>
      <c r="K37" s="797">
        <f t="shared" si="0"/>
        <v>0</v>
      </c>
      <c r="L37" s="797">
        <f>'[19]oktobris'!H37</f>
        <v>0</v>
      </c>
      <c r="M37" s="789">
        <f t="shared" si="1"/>
        <v>0</v>
      </c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</row>
    <row r="38" spans="1:83" s="83" customFormat="1" ht="12.75" customHeight="1">
      <c r="A38" s="209" t="s">
        <v>991</v>
      </c>
      <c r="B38" s="358"/>
      <c r="C38" s="358"/>
      <c r="D38" s="354"/>
      <c r="E38" s="358"/>
      <c r="F38" s="209" t="s">
        <v>991</v>
      </c>
      <c r="G38" s="356"/>
      <c r="H38" s="356"/>
      <c r="I38" s="354"/>
      <c r="J38" s="358"/>
      <c r="K38" s="797">
        <f t="shared" si="0"/>
        <v>0</v>
      </c>
      <c r="L38" s="797">
        <f>'[19]oktobris'!H38</f>
        <v>0</v>
      </c>
      <c r="M38" s="789">
        <f t="shared" si="1"/>
        <v>0</v>
      </c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</row>
    <row r="39" spans="1:83" s="83" customFormat="1" ht="12.75" customHeight="1">
      <c r="A39" s="357" t="s">
        <v>73</v>
      </c>
      <c r="B39" s="356">
        <v>164500</v>
      </c>
      <c r="C39" s="356">
        <v>155706</v>
      </c>
      <c r="D39" s="354">
        <f>C39/B39*100</f>
        <v>94.65410334346504</v>
      </c>
      <c r="E39" s="358">
        <f>C39-'[19]oktobris'!C39</f>
        <v>14218</v>
      </c>
      <c r="F39" s="357" t="s">
        <v>73</v>
      </c>
      <c r="G39" s="356">
        <f>ROUND(B39/1000,0)</f>
        <v>165</v>
      </c>
      <c r="H39" s="356">
        <f>ROUND(C39/1000,0)</f>
        <v>156</v>
      </c>
      <c r="I39" s="359">
        <f>H39/G39*100</f>
        <v>94.54545454545455</v>
      </c>
      <c r="J39" s="358">
        <f>ROUND(E39/1000,0)+1</f>
        <v>15</v>
      </c>
      <c r="K39" s="797">
        <f t="shared" si="0"/>
        <v>156</v>
      </c>
      <c r="L39" s="797">
        <f>'[19]oktobris'!H39</f>
        <v>141</v>
      </c>
      <c r="M39" s="789">
        <f t="shared" si="1"/>
        <v>15</v>
      </c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</row>
    <row r="40" spans="1:83" s="83" customFormat="1" ht="12.75" customHeight="1">
      <c r="A40" s="98" t="s">
        <v>974</v>
      </c>
      <c r="B40" s="356">
        <f>B41+B42</f>
        <v>166540</v>
      </c>
      <c r="C40" s="356">
        <f>C41+C42</f>
        <v>124484</v>
      </c>
      <c r="D40" s="354">
        <f>C40/B40*100</f>
        <v>74.74720787798726</v>
      </c>
      <c r="E40" s="358">
        <f>E41+E42</f>
        <v>18311</v>
      </c>
      <c r="F40" s="98" t="s">
        <v>974</v>
      </c>
      <c r="G40" s="356">
        <f>G41+G42</f>
        <v>166</v>
      </c>
      <c r="H40" s="356">
        <f>H41+H42</f>
        <v>124</v>
      </c>
      <c r="I40" s="359">
        <f>H40/G40*100</f>
        <v>74.69879518072288</v>
      </c>
      <c r="J40" s="358">
        <f>SUM(J41:J42)</f>
        <v>18</v>
      </c>
      <c r="K40" s="797">
        <f t="shared" si="0"/>
        <v>124</v>
      </c>
      <c r="L40" s="797">
        <f>'[19]oktobris'!H40</f>
        <v>106</v>
      </c>
      <c r="M40" s="789">
        <f t="shared" si="1"/>
        <v>18</v>
      </c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</row>
    <row r="41" spans="1:83" s="83" customFormat="1" ht="12.75" customHeight="1">
      <c r="A41" s="106" t="s">
        <v>975</v>
      </c>
      <c r="B41" s="358">
        <v>166540</v>
      </c>
      <c r="C41" s="364">
        <v>124484</v>
      </c>
      <c r="D41" s="354">
        <f>C41/B41*100</f>
        <v>74.74720787798726</v>
      </c>
      <c r="E41" s="358">
        <f>C41-'[19]oktobris'!C41</f>
        <v>18311</v>
      </c>
      <c r="F41" s="106" t="s">
        <v>975</v>
      </c>
      <c r="G41" s="358">
        <f>ROUND(B41/1000,0)-1</f>
        <v>166</v>
      </c>
      <c r="H41" s="358">
        <f>ROUND(C41/1000,0)</f>
        <v>124</v>
      </c>
      <c r="I41" s="360">
        <f>H41/G41*100</f>
        <v>74.69879518072288</v>
      </c>
      <c r="J41" s="358">
        <f>ROUND(E41/1000,0)</f>
        <v>18</v>
      </c>
      <c r="K41" s="797">
        <f t="shared" si="0"/>
        <v>124</v>
      </c>
      <c r="L41" s="797">
        <f>'[19]oktobris'!H41</f>
        <v>106</v>
      </c>
      <c r="M41" s="789">
        <f t="shared" si="1"/>
        <v>18</v>
      </c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</row>
    <row r="42" spans="1:83" s="83" customFormat="1" ht="12.75" customHeight="1">
      <c r="A42" s="106" t="s">
        <v>976</v>
      </c>
      <c r="B42" s="358"/>
      <c r="C42" s="358"/>
      <c r="D42" s="354"/>
      <c r="E42" s="358">
        <f>C42-'[19]oktobris'!C42</f>
        <v>0</v>
      </c>
      <c r="F42" s="106" t="s">
        <v>976</v>
      </c>
      <c r="G42" s="358">
        <f>ROUND(B42/1000,0)</f>
        <v>0</v>
      </c>
      <c r="H42" s="358">
        <f>ROUND(C42/1000,0)</f>
        <v>0</v>
      </c>
      <c r="I42" s="360">
        <v>0</v>
      </c>
      <c r="J42" s="358">
        <f>ROUND(E42/1000,0)</f>
        <v>0</v>
      </c>
      <c r="K42" s="797">
        <f t="shared" si="0"/>
        <v>0</v>
      </c>
      <c r="L42" s="797">
        <f>'[19]oktobris'!H42</f>
        <v>0</v>
      </c>
      <c r="M42" s="789">
        <f t="shared" si="1"/>
        <v>0</v>
      </c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</row>
    <row r="43" spans="1:83" s="83" customFormat="1" ht="12.75" customHeight="1">
      <c r="A43" s="209" t="s">
        <v>993</v>
      </c>
      <c r="B43" s="358"/>
      <c r="C43" s="358"/>
      <c r="D43" s="354"/>
      <c r="E43" s="358"/>
      <c r="F43" s="209" t="s">
        <v>993</v>
      </c>
      <c r="G43" s="356"/>
      <c r="H43" s="356"/>
      <c r="I43" s="360"/>
      <c r="J43" s="358"/>
      <c r="K43" s="797">
        <f t="shared" si="0"/>
        <v>0</v>
      </c>
      <c r="L43" s="797">
        <f>'[19]oktobris'!H43</f>
        <v>0</v>
      </c>
      <c r="M43" s="789">
        <f t="shared" si="1"/>
        <v>0</v>
      </c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</row>
    <row r="44" spans="1:83" s="753" customFormat="1" ht="12.75" customHeight="1">
      <c r="A44" s="361" t="s">
        <v>73</v>
      </c>
      <c r="B44" s="362">
        <v>73912</v>
      </c>
      <c r="C44" s="810">
        <f>5245-52</f>
        <v>5193</v>
      </c>
      <c r="D44" s="369">
        <f>C44/B44*100</f>
        <v>7.025922718908973</v>
      </c>
      <c r="E44" s="811">
        <f>C44-'[19]oktobris'!C44</f>
        <v>-58</v>
      </c>
      <c r="F44" s="361" t="s">
        <v>704</v>
      </c>
      <c r="G44" s="362">
        <f>ROUND(B44/1000,0)</f>
        <v>74</v>
      </c>
      <c r="H44" s="362">
        <f>ROUND(C44/1000,0)</f>
        <v>5</v>
      </c>
      <c r="I44" s="363">
        <f>H44/G44*100</f>
        <v>6.756756756756757</v>
      </c>
      <c r="J44" s="364">
        <f>ROUND(E44/1000,0)</f>
        <v>0</v>
      </c>
      <c r="K44" s="797">
        <f t="shared" si="0"/>
        <v>5</v>
      </c>
      <c r="L44" s="797">
        <f>'[19]oktobris'!H44</f>
        <v>5</v>
      </c>
      <c r="M44" s="789">
        <f t="shared" si="1"/>
        <v>0</v>
      </c>
      <c r="N44" s="220"/>
      <c r="O44" s="220"/>
      <c r="P44" s="220"/>
      <c r="Q44" s="220"/>
      <c r="R44" s="220"/>
      <c r="S44" s="220"/>
      <c r="T44" s="220"/>
      <c r="U44" s="220"/>
      <c r="V44" s="220"/>
      <c r="W44" s="220"/>
      <c r="X44" s="220"/>
      <c r="Y44" s="220"/>
      <c r="Z44" s="220"/>
      <c r="AA44" s="220"/>
      <c r="AB44" s="220"/>
      <c r="AC44" s="220"/>
      <c r="AD44" s="220"/>
      <c r="AE44" s="220"/>
      <c r="AF44" s="220"/>
      <c r="AG44" s="220"/>
      <c r="AH44" s="220"/>
      <c r="AI44" s="220"/>
      <c r="AJ44" s="220"/>
      <c r="AK44" s="220"/>
      <c r="AL44" s="220"/>
      <c r="AM44" s="220"/>
      <c r="AN44" s="220"/>
      <c r="AO44" s="220"/>
      <c r="AP44" s="220"/>
      <c r="AQ44" s="220"/>
      <c r="AR44" s="220"/>
      <c r="AS44" s="220"/>
      <c r="AT44" s="220"/>
      <c r="AU44" s="220"/>
      <c r="AV44" s="220"/>
      <c r="AW44" s="220"/>
      <c r="AX44" s="220"/>
      <c r="AY44" s="220"/>
      <c r="AZ44" s="220"/>
      <c r="BA44" s="220"/>
      <c r="BB44" s="220"/>
      <c r="BC44" s="220"/>
      <c r="BD44" s="220"/>
      <c r="BE44" s="220"/>
      <c r="BF44" s="220"/>
      <c r="BG44" s="220"/>
      <c r="BH44" s="220"/>
      <c r="BI44" s="220"/>
      <c r="BJ44" s="220"/>
      <c r="BK44" s="220"/>
      <c r="BL44" s="220"/>
      <c r="BM44" s="220"/>
      <c r="BN44" s="220"/>
      <c r="BO44" s="220"/>
      <c r="BP44" s="220"/>
      <c r="BQ44" s="220"/>
      <c r="BR44" s="220"/>
      <c r="BS44" s="220"/>
      <c r="BT44" s="220"/>
      <c r="BU44" s="220"/>
      <c r="BV44" s="220"/>
      <c r="BW44" s="220"/>
      <c r="BX44" s="220"/>
      <c r="BY44" s="220"/>
      <c r="BZ44" s="220"/>
      <c r="CA44" s="220"/>
      <c r="CB44" s="220"/>
      <c r="CC44" s="220"/>
      <c r="CD44" s="220"/>
      <c r="CE44" s="220"/>
    </row>
    <row r="45" spans="1:83" s="753" customFormat="1" ht="12.75" customHeight="1">
      <c r="A45" s="365" t="s">
        <v>217</v>
      </c>
      <c r="B45" s="362">
        <f>B46+B47</f>
        <v>73912</v>
      </c>
      <c r="C45" s="362">
        <f>C46+C47</f>
        <v>70477</v>
      </c>
      <c r="D45" s="369">
        <f>C45/B45*100</f>
        <v>95.35258144820868</v>
      </c>
      <c r="E45" s="811">
        <f>E46+E47</f>
        <v>0</v>
      </c>
      <c r="F45" s="365" t="s">
        <v>217</v>
      </c>
      <c r="G45" s="362">
        <f>G46+G47</f>
        <v>74</v>
      </c>
      <c r="H45" s="362">
        <f>H46+H47</f>
        <v>70</v>
      </c>
      <c r="I45" s="363">
        <f>H45/G45*100</f>
        <v>94.5945945945946</v>
      </c>
      <c r="J45" s="364">
        <f>SUM(J46:J47)</f>
        <v>0</v>
      </c>
      <c r="K45" s="797">
        <f t="shared" si="0"/>
        <v>70</v>
      </c>
      <c r="L45" s="797">
        <f>'[19]oktobris'!H45</f>
        <v>70</v>
      </c>
      <c r="M45" s="789">
        <f t="shared" si="1"/>
        <v>0</v>
      </c>
      <c r="N45" s="220"/>
      <c r="O45" s="220"/>
      <c r="P45" s="220"/>
      <c r="Q45" s="220"/>
      <c r="R45" s="220"/>
      <c r="S45" s="220"/>
      <c r="T45" s="220"/>
      <c r="U45" s="220"/>
      <c r="V45" s="220"/>
      <c r="W45" s="220"/>
      <c r="X45" s="220"/>
      <c r="Y45" s="220"/>
      <c r="Z45" s="220"/>
      <c r="AA45" s="220"/>
      <c r="AB45" s="220"/>
      <c r="AC45" s="220"/>
      <c r="AD45" s="220"/>
      <c r="AE45" s="220"/>
      <c r="AF45" s="220"/>
      <c r="AG45" s="220"/>
      <c r="AH45" s="220"/>
      <c r="AI45" s="220"/>
      <c r="AJ45" s="220"/>
      <c r="AK45" s="220"/>
      <c r="AL45" s="220"/>
      <c r="AM45" s="220"/>
      <c r="AN45" s="220"/>
      <c r="AO45" s="220"/>
      <c r="AP45" s="220"/>
      <c r="AQ45" s="220"/>
      <c r="AR45" s="220"/>
      <c r="AS45" s="220"/>
      <c r="AT45" s="220"/>
      <c r="AU45" s="220"/>
      <c r="AV45" s="220"/>
      <c r="AW45" s="220"/>
      <c r="AX45" s="220"/>
      <c r="AY45" s="220"/>
      <c r="AZ45" s="220"/>
      <c r="BA45" s="220"/>
      <c r="BB45" s="220"/>
      <c r="BC45" s="220"/>
      <c r="BD45" s="220"/>
      <c r="BE45" s="220"/>
      <c r="BF45" s="220"/>
      <c r="BG45" s="220"/>
      <c r="BH45" s="220"/>
      <c r="BI45" s="220"/>
      <c r="BJ45" s="220"/>
      <c r="BK45" s="220"/>
      <c r="BL45" s="220"/>
      <c r="BM45" s="220"/>
      <c r="BN45" s="220"/>
      <c r="BO45" s="220"/>
      <c r="BP45" s="220"/>
      <c r="BQ45" s="220"/>
      <c r="BR45" s="220"/>
      <c r="BS45" s="220"/>
      <c r="BT45" s="220"/>
      <c r="BU45" s="220"/>
      <c r="BV45" s="220"/>
      <c r="BW45" s="220"/>
      <c r="BX45" s="220"/>
      <c r="BY45" s="220"/>
      <c r="BZ45" s="220"/>
      <c r="CA45" s="220"/>
      <c r="CB45" s="220"/>
      <c r="CC45" s="220"/>
      <c r="CD45" s="220"/>
      <c r="CE45" s="220"/>
    </row>
    <row r="46" spans="1:83" s="753" customFormat="1" ht="12.75" customHeight="1">
      <c r="A46" s="812" t="s">
        <v>975</v>
      </c>
      <c r="B46" s="811">
        <v>73772</v>
      </c>
      <c r="C46" s="811">
        <f>70389-52</f>
        <v>70337</v>
      </c>
      <c r="D46" s="369">
        <f>C46/B46*100</f>
        <v>95.34376186086863</v>
      </c>
      <c r="E46" s="811">
        <f>C46-'[19]oktobris'!C46</f>
        <v>0</v>
      </c>
      <c r="F46" s="366" t="s">
        <v>975</v>
      </c>
      <c r="G46" s="364">
        <f>ROUND(B46/1000,0)</f>
        <v>74</v>
      </c>
      <c r="H46" s="364">
        <f>ROUND(C46/1000,0)</f>
        <v>70</v>
      </c>
      <c r="I46" s="367">
        <f>H46/G46*100</f>
        <v>94.5945945945946</v>
      </c>
      <c r="J46" s="364">
        <f>(ROUND(E46/1000,0))</f>
        <v>0</v>
      </c>
      <c r="K46" s="797">
        <f t="shared" si="0"/>
        <v>70</v>
      </c>
      <c r="L46" s="797">
        <f>'[19]oktobris'!H46</f>
        <v>70</v>
      </c>
      <c r="M46" s="789">
        <f t="shared" si="1"/>
        <v>0</v>
      </c>
      <c r="N46" s="220"/>
      <c r="O46" s="220"/>
      <c r="P46" s="220"/>
      <c r="Q46" s="220"/>
      <c r="R46" s="220"/>
      <c r="S46" s="220"/>
      <c r="T46" s="220"/>
      <c r="U46" s="220"/>
      <c r="V46" s="220"/>
      <c r="W46" s="220"/>
      <c r="X46" s="220"/>
      <c r="Y46" s="220"/>
      <c r="Z46" s="220"/>
      <c r="AA46" s="220"/>
      <c r="AB46" s="220"/>
      <c r="AC46" s="220"/>
      <c r="AD46" s="220"/>
      <c r="AE46" s="220"/>
      <c r="AF46" s="220"/>
      <c r="AG46" s="220"/>
      <c r="AH46" s="220"/>
      <c r="AI46" s="220"/>
      <c r="AJ46" s="220"/>
      <c r="AK46" s="220"/>
      <c r="AL46" s="220"/>
      <c r="AM46" s="220"/>
      <c r="AN46" s="220"/>
      <c r="AO46" s="220"/>
      <c r="AP46" s="220"/>
      <c r="AQ46" s="220"/>
      <c r="AR46" s="220"/>
      <c r="AS46" s="220"/>
      <c r="AT46" s="220"/>
      <c r="AU46" s="220"/>
      <c r="AV46" s="220"/>
      <c r="AW46" s="220"/>
      <c r="AX46" s="220"/>
      <c r="AY46" s="220"/>
      <c r="AZ46" s="220"/>
      <c r="BA46" s="220"/>
      <c r="BB46" s="220"/>
      <c r="BC46" s="220"/>
      <c r="BD46" s="220"/>
      <c r="BE46" s="220"/>
      <c r="BF46" s="220"/>
      <c r="BG46" s="220"/>
      <c r="BH46" s="220"/>
      <c r="BI46" s="220"/>
      <c r="BJ46" s="220"/>
      <c r="BK46" s="220"/>
      <c r="BL46" s="220"/>
      <c r="BM46" s="220"/>
      <c r="BN46" s="220"/>
      <c r="BO46" s="220"/>
      <c r="BP46" s="220"/>
      <c r="BQ46" s="220"/>
      <c r="BR46" s="220"/>
      <c r="BS46" s="220"/>
      <c r="BT46" s="220"/>
      <c r="BU46" s="220"/>
      <c r="BV46" s="220"/>
      <c r="BW46" s="220"/>
      <c r="BX46" s="220"/>
      <c r="BY46" s="220"/>
      <c r="BZ46" s="220"/>
      <c r="CA46" s="220"/>
      <c r="CB46" s="220"/>
      <c r="CC46" s="220"/>
      <c r="CD46" s="220"/>
      <c r="CE46" s="220"/>
    </row>
    <row r="47" spans="1:83" s="753" customFormat="1" ht="12.75" customHeight="1">
      <c r="A47" s="366" t="s">
        <v>976</v>
      </c>
      <c r="B47" s="364">
        <v>140</v>
      </c>
      <c r="C47" s="364">
        <v>140</v>
      </c>
      <c r="D47" s="369"/>
      <c r="E47" s="364">
        <f>C47-'[19]oktobris'!C47</f>
        <v>0</v>
      </c>
      <c r="F47" s="366" t="s">
        <v>976</v>
      </c>
      <c r="G47" s="364">
        <f>ROUND(B47/1000,0)</f>
        <v>0</v>
      </c>
      <c r="H47" s="364">
        <f>ROUND(C47/1000,0)</f>
        <v>0</v>
      </c>
      <c r="I47" s="367">
        <v>0</v>
      </c>
      <c r="J47" s="364">
        <f>ROUND(E47/1000,0)</f>
        <v>0</v>
      </c>
      <c r="K47" s="797">
        <f t="shared" si="0"/>
        <v>0</v>
      </c>
      <c r="L47" s="797">
        <f>'[19]oktobris'!H47</f>
        <v>0</v>
      </c>
      <c r="M47" s="789">
        <f t="shared" si="1"/>
        <v>0</v>
      </c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  <c r="AB47" s="220"/>
      <c r="AC47" s="220"/>
      <c r="AD47" s="220"/>
      <c r="AE47" s="220"/>
      <c r="AF47" s="220"/>
      <c r="AG47" s="220"/>
      <c r="AH47" s="220"/>
      <c r="AI47" s="220"/>
      <c r="AJ47" s="220"/>
      <c r="AK47" s="220"/>
      <c r="AL47" s="220"/>
      <c r="AM47" s="220"/>
      <c r="AN47" s="220"/>
      <c r="AO47" s="220"/>
      <c r="AP47" s="220"/>
      <c r="AQ47" s="220"/>
      <c r="AR47" s="220"/>
      <c r="AS47" s="220"/>
      <c r="AT47" s="220"/>
      <c r="AU47" s="220"/>
      <c r="AV47" s="220"/>
      <c r="AW47" s="220"/>
      <c r="AX47" s="220"/>
      <c r="AY47" s="220"/>
      <c r="AZ47" s="220"/>
      <c r="BA47" s="220"/>
      <c r="BB47" s="220"/>
      <c r="BC47" s="220"/>
      <c r="BD47" s="220"/>
      <c r="BE47" s="220"/>
      <c r="BF47" s="220"/>
      <c r="BG47" s="220"/>
      <c r="BH47" s="220"/>
      <c r="BI47" s="220"/>
      <c r="BJ47" s="220"/>
      <c r="BK47" s="220"/>
      <c r="BL47" s="220"/>
      <c r="BM47" s="220"/>
      <c r="BN47" s="220"/>
      <c r="BO47" s="220"/>
      <c r="BP47" s="220"/>
      <c r="BQ47" s="220"/>
      <c r="BR47" s="220"/>
      <c r="BS47" s="220"/>
      <c r="BT47" s="220"/>
      <c r="BU47" s="220"/>
      <c r="BV47" s="220"/>
      <c r="BW47" s="220"/>
      <c r="BX47" s="220"/>
      <c r="BY47" s="220"/>
      <c r="BZ47" s="220"/>
      <c r="CA47" s="220"/>
      <c r="CB47" s="220"/>
      <c r="CC47" s="220"/>
      <c r="CD47" s="220"/>
      <c r="CE47" s="220"/>
    </row>
    <row r="48" spans="1:83" s="753" customFormat="1" ht="12.75" customHeight="1">
      <c r="A48" s="368" t="s">
        <v>995</v>
      </c>
      <c r="B48" s="364"/>
      <c r="C48" s="364"/>
      <c r="D48" s="369"/>
      <c r="E48" s="364"/>
      <c r="F48" s="368" t="s">
        <v>995</v>
      </c>
      <c r="G48" s="362"/>
      <c r="H48" s="362"/>
      <c r="I48" s="369"/>
      <c r="J48" s="364"/>
      <c r="K48" s="797">
        <f t="shared" si="0"/>
        <v>0</v>
      </c>
      <c r="L48" s="797">
        <f>'[19]oktobris'!H48</f>
        <v>0</v>
      </c>
      <c r="M48" s="789">
        <f t="shared" si="1"/>
        <v>0</v>
      </c>
      <c r="N48" s="220"/>
      <c r="O48" s="220"/>
      <c r="P48" s="220"/>
      <c r="Q48" s="220"/>
      <c r="R48" s="220"/>
      <c r="S48" s="220"/>
      <c r="T48" s="220"/>
      <c r="U48" s="220"/>
      <c r="V48" s="220"/>
      <c r="W48" s="220"/>
      <c r="X48" s="220"/>
      <c r="Y48" s="220"/>
      <c r="Z48" s="220"/>
      <c r="AA48" s="220"/>
      <c r="AB48" s="220"/>
      <c r="AC48" s="220"/>
      <c r="AD48" s="220"/>
      <c r="AE48" s="220"/>
      <c r="AF48" s="220"/>
      <c r="AG48" s="220"/>
      <c r="AH48" s="220"/>
      <c r="AI48" s="220"/>
      <c r="AJ48" s="220"/>
      <c r="AK48" s="220"/>
      <c r="AL48" s="220"/>
      <c r="AM48" s="220"/>
      <c r="AN48" s="220"/>
      <c r="AO48" s="220"/>
      <c r="AP48" s="220"/>
      <c r="AQ48" s="220"/>
      <c r="AR48" s="220"/>
      <c r="AS48" s="220"/>
      <c r="AT48" s="220"/>
      <c r="AU48" s="220"/>
      <c r="AV48" s="220"/>
      <c r="AW48" s="220"/>
      <c r="AX48" s="220"/>
      <c r="AY48" s="220"/>
      <c r="AZ48" s="220"/>
      <c r="BA48" s="220"/>
      <c r="BB48" s="220"/>
      <c r="BC48" s="220"/>
      <c r="BD48" s="220"/>
      <c r="BE48" s="220"/>
      <c r="BF48" s="220"/>
      <c r="BG48" s="220"/>
      <c r="BH48" s="220"/>
      <c r="BI48" s="220"/>
      <c r="BJ48" s="220"/>
      <c r="BK48" s="220"/>
      <c r="BL48" s="220"/>
      <c r="BM48" s="220"/>
      <c r="BN48" s="220"/>
      <c r="BO48" s="220"/>
      <c r="BP48" s="220"/>
      <c r="BQ48" s="220"/>
      <c r="BR48" s="220"/>
      <c r="BS48" s="220"/>
      <c r="BT48" s="220"/>
      <c r="BU48" s="220"/>
      <c r="BV48" s="220"/>
      <c r="BW48" s="220"/>
      <c r="BX48" s="220"/>
      <c r="BY48" s="220"/>
      <c r="BZ48" s="220"/>
      <c r="CA48" s="220"/>
      <c r="CB48" s="220"/>
      <c r="CC48" s="220"/>
      <c r="CD48" s="220"/>
      <c r="CE48" s="220"/>
    </row>
    <row r="49" spans="1:83" s="83" customFormat="1" ht="12.75" customHeight="1">
      <c r="A49" s="357" t="s">
        <v>73</v>
      </c>
      <c r="B49" s="356">
        <v>407079</v>
      </c>
      <c r="C49" s="356">
        <v>171815</v>
      </c>
      <c r="D49" s="354">
        <f>C49/B49*100</f>
        <v>42.206795241218536</v>
      </c>
      <c r="E49" s="358">
        <f>C49-'[19]oktobris'!C49</f>
        <v>17377</v>
      </c>
      <c r="F49" s="357" t="s">
        <v>73</v>
      </c>
      <c r="G49" s="356">
        <f>ROUND(B49/1000,0)</f>
        <v>407</v>
      </c>
      <c r="H49" s="356">
        <f>ROUND(C49/1000,0)</f>
        <v>172</v>
      </c>
      <c r="I49" s="359">
        <f>H49/G49*100</f>
        <v>42.26044226044226</v>
      </c>
      <c r="J49" s="358">
        <f>ROUND(E49/1000,0)+1</f>
        <v>18</v>
      </c>
      <c r="K49" s="797">
        <f t="shared" si="0"/>
        <v>172</v>
      </c>
      <c r="L49" s="797">
        <f>'[19]oktobris'!H49</f>
        <v>154</v>
      </c>
      <c r="M49" s="789">
        <f t="shared" si="1"/>
        <v>18</v>
      </c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</row>
    <row r="50" spans="1:83" s="83" customFormat="1" ht="12.75" customHeight="1">
      <c r="A50" s="98" t="s">
        <v>217</v>
      </c>
      <c r="B50" s="356">
        <f>B51+B52</f>
        <v>413327</v>
      </c>
      <c r="C50" s="356">
        <f>C51+C52</f>
        <v>178150</v>
      </c>
      <c r="D50" s="354">
        <f>C50/B50*100</f>
        <v>43.101466877315055</v>
      </c>
      <c r="E50" s="358">
        <f>E51+E52</f>
        <v>14361</v>
      </c>
      <c r="F50" s="98" t="s">
        <v>217</v>
      </c>
      <c r="G50" s="356">
        <f>G51+G52</f>
        <v>413</v>
      </c>
      <c r="H50" s="356">
        <f>H51+H52</f>
        <v>179</v>
      </c>
      <c r="I50" s="359">
        <f>H50/G50*100</f>
        <v>43.341404358353515</v>
      </c>
      <c r="J50" s="358">
        <f>SUM(J51:J52)</f>
        <v>15</v>
      </c>
      <c r="K50" s="797">
        <f t="shared" si="0"/>
        <v>179</v>
      </c>
      <c r="L50" s="797">
        <f>'[19]oktobris'!H50</f>
        <v>164</v>
      </c>
      <c r="M50" s="789">
        <f t="shared" si="1"/>
        <v>15</v>
      </c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</row>
    <row r="51" spans="1:83" s="83" customFormat="1" ht="12.75" customHeight="1">
      <c r="A51" s="106" t="s">
        <v>975</v>
      </c>
      <c r="B51" s="364">
        <v>249160</v>
      </c>
      <c r="C51" s="358">
        <v>98515</v>
      </c>
      <c r="D51" s="354">
        <f>C51/B51*100</f>
        <v>39.53885053780703</v>
      </c>
      <c r="E51" s="358">
        <f>C51-'[19]oktobris'!C51</f>
        <v>8949</v>
      </c>
      <c r="F51" s="106" t="s">
        <v>975</v>
      </c>
      <c r="G51" s="358">
        <f>ROUND(B51/1000,0)</f>
        <v>249</v>
      </c>
      <c r="H51" s="358">
        <f>ROUND(C51/1000,0)</f>
        <v>99</v>
      </c>
      <c r="I51" s="360">
        <f>H51/G51*100</f>
        <v>39.75903614457831</v>
      </c>
      <c r="J51" s="358">
        <f>ROUND(E51/1000,0)</f>
        <v>9</v>
      </c>
      <c r="K51" s="797">
        <f t="shared" si="0"/>
        <v>99</v>
      </c>
      <c r="L51" s="797">
        <f>'[19]oktobris'!H51</f>
        <v>90</v>
      </c>
      <c r="M51" s="789">
        <f t="shared" si="1"/>
        <v>9</v>
      </c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</row>
    <row r="52" spans="1:83" s="83" customFormat="1" ht="12.75" customHeight="1">
      <c r="A52" s="106" t="s">
        <v>976</v>
      </c>
      <c r="B52" s="358">
        <v>164167</v>
      </c>
      <c r="C52" s="358">
        <v>79635</v>
      </c>
      <c r="D52" s="354"/>
      <c r="E52" s="358">
        <f>C52-'[19]oktobris'!C52</f>
        <v>5412</v>
      </c>
      <c r="F52" s="106" t="s">
        <v>976</v>
      </c>
      <c r="G52" s="358">
        <f>ROUND(B52/1000,0)</f>
        <v>164</v>
      </c>
      <c r="H52" s="358">
        <f>ROUND(C52/1000,0)</f>
        <v>80</v>
      </c>
      <c r="I52" s="360">
        <f>H52/G52*100</f>
        <v>48.78048780487805</v>
      </c>
      <c r="J52" s="358">
        <f>ROUND(E52/1000,0)+1</f>
        <v>6</v>
      </c>
      <c r="K52" s="797">
        <f t="shared" si="0"/>
        <v>80</v>
      </c>
      <c r="L52" s="797">
        <f>'[19]oktobris'!H52</f>
        <v>74</v>
      </c>
      <c r="M52" s="789">
        <f t="shared" si="1"/>
        <v>6</v>
      </c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</row>
    <row r="53" spans="1:83" s="83" customFormat="1" ht="12.75" customHeight="1">
      <c r="A53" s="92" t="s">
        <v>997</v>
      </c>
      <c r="B53" s="358"/>
      <c r="C53" s="358"/>
      <c r="D53" s="354"/>
      <c r="E53" s="358"/>
      <c r="F53" s="209" t="s">
        <v>997</v>
      </c>
      <c r="G53" s="356"/>
      <c r="H53" s="356"/>
      <c r="I53" s="354"/>
      <c r="J53" s="358"/>
      <c r="K53" s="797">
        <f t="shared" si="0"/>
        <v>0</v>
      </c>
      <c r="L53" s="797">
        <f>'[19]oktobris'!H53</f>
        <v>0</v>
      </c>
      <c r="M53" s="789">
        <f t="shared" si="1"/>
        <v>0</v>
      </c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</row>
    <row r="54" spans="1:83" s="83" customFormat="1" ht="12.75" customHeight="1">
      <c r="A54" s="357" t="s">
        <v>73</v>
      </c>
      <c r="B54" s="356">
        <v>2043958</v>
      </c>
      <c r="C54" s="356">
        <v>888698</v>
      </c>
      <c r="D54" s="354">
        <f>C54/B54*100</f>
        <v>43.47926914349512</v>
      </c>
      <c r="E54" s="358">
        <f>C54-'[19]oktobris'!C54</f>
        <v>51562</v>
      </c>
      <c r="F54" s="357" t="s">
        <v>73</v>
      </c>
      <c r="G54" s="356">
        <f>ROUND(B54/1000,0)</f>
        <v>2044</v>
      </c>
      <c r="H54" s="356">
        <f>ROUND(C54/1000,0)</f>
        <v>889</v>
      </c>
      <c r="I54" s="359">
        <f>H54/G54*100</f>
        <v>43.49315068493151</v>
      </c>
      <c r="J54" s="358">
        <f>ROUND(E54/1000,0)</f>
        <v>52</v>
      </c>
      <c r="K54" s="797">
        <f t="shared" si="0"/>
        <v>889</v>
      </c>
      <c r="L54" s="797">
        <f>'[19]oktobris'!H54</f>
        <v>837</v>
      </c>
      <c r="M54" s="789">
        <f t="shared" si="1"/>
        <v>52</v>
      </c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</row>
    <row r="55" spans="1:83" s="83" customFormat="1" ht="12.75" customHeight="1">
      <c r="A55" s="98" t="s">
        <v>217</v>
      </c>
      <c r="B55" s="356">
        <f>B56+B57</f>
        <v>2079506</v>
      </c>
      <c r="C55" s="356">
        <f>C56+C57</f>
        <v>933202</v>
      </c>
      <c r="D55" s="354">
        <f>C55/B55*100</f>
        <v>44.87613885220817</v>
      </c>
      <c r="E55" s="358">
        <f>E56+E57</f>
        <v>40076</v>
      </c>
      <c r="F55" s="98" t="s">
        <v>217</v>
      </c>
      <c r="G55" s="356">
        <f>SUM(G56:G57)</f>
        <v>2079</v>
      </c>
      <c r="H55" s="356">
        <f>SUM(H56:H57)</f>
        <v>933</v>
      </c>
      <c r="I55" s="359">
        <f>H55/G55*100</f>
        <v>44.877344877344875</v>
      </c>
      <c r="J55" s="358">
        <f>SUM(J56:J57)</f>
        <v>40</v>
      </c>
      <c r="K55" s="797">
        <f t="shared" si="0"/>
        <v>933</v>
      </c>
      <c r="L55" s="797">
        <f>'[19]oktobris'!H55</f>
        <v>894</v>
      </c>
      <c r="M55" s="789">
        <f t="shared" si="1"/>
        <v>39</v>
      </c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</row>
    <row r="56" spans="1:83" s="83" customFormat="1" ht="12.75" customHeight="1">
      <c r="A56" s="106" t="s">
        <v>975</v>
      </c>
      <c r="B56" s="358">
        <v>1871365</v>
      </c>
      <c r="C56" s="358">
        <v>874047</v>
      </c>
      <c r="D56" s="354">
        <f>C56/B56*100</f>
        <v>46.706388117764305</v>
      </c>
      <c r="E56" s="358">
        <f>C56-'[19]oktobris'!C56</f>
        <v>35498</v>
      </c>
      <c r="F56" s="106" t="s">
        <v>975</v>
      </c>
      <c r="G56" s="358">
        <f>ROUND(B56/1000,0)</f>
        <v>1871</v>
      </c>
      <c r="H56" s="358">
        <f>ROUND(C56/1000,0)</f>
        <v>874</v>
      </c>
      <c r="I56" s="360">
        <f>H56/G56*100</f>
        <v>46.712987707108496</v>
      </c>
      <c r="J56" s="358">
        <f>ROUND(E56/1000,0)</f>
        <v>35</v>
      </c>
      <c r="K56" s="797">
        <f t="shared" si="0"/>
        <v>874</v>
      </c>
      <c r="L56" s="797">
        <f>'[19]oktobris'!H56</f>
        <v>839</v>
      </c>
      <c r="M56" s="789">
        <f t="shared" si="1"/>
        <v>35</v>
      </c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</row>
    <row r="57" spans="1:83" s="83" customFormat="1" ht="12.75" customHeight="1">
      <c r="A57" s="106" t="s">
        <v>976</v>
      </c>
      <c r="B57" s="358">
        <v>208141</v>
      </c>
      <c r="C57" s="358">
        <v>59155</v>
      </c>
      <c r="D57" s="354">
        <f>C57/B57*100</f>
        <v>28.42063793293969</v>
      </c>
      <c r="E57" s="358">
        <f>C57-'[19]oktobris'!C57</f>
        <v>4578</v>
      </c>
      <c r="F57" s="106" t="s">
        <v>976</v>
      </c>
      <c r="G57" s="358">
        <f>ROUND(B57/1000,0)</f>
        <v>208</v>
      </c>
      <c r="H57" s="358">
        <f>ROUND(C57/1000,0)</f>
        <v>59</v>
      </c>
      <c r="I57" s="360">
        <f>H57/G57*100</f>
        <v>28.365384615384613</v>
      </c>
      <c r="J57" s="358">
        <f>ROUND(E57/1000,0)</f>
        <v>5</v>
      </c>
      <c r="K57" s="797">
        <f t="shared" si="0"/>
        <v>59</v>
      </c>
      <c r="L57" s="797">
        <f>'[19]oktobris'!H57-1</f>
        <v>54</v>
      </c>
      <c r="M57" s="789">
        <f t="shared" si="1"/>
        <v>5</v>
      </c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</row>
    <row r="58" spans="1:83" s="83" customFormat="1" ht="12.75" customHeight="1">
      <c r="A58" s="209" t="s">
        <v>999</v>
      </c>
      <c r="B58" s="358"/>
      <c r="C58" s="358"/>
      <c r="D58" s="354"/>
      <c r="E58" s="358"/>
      <c r="F58" s="209" t="s">
        <v>999</v>
      </c>
      <c r="G58" s="356"/>
      <c r="H58" s="356"/>
      <c r="I58" s="354"/>
      <c r="J58" s="358"/>
      <c r="K58" s="797">
        <f t="shared" si="0"/>
        <v>0</v>
      </c>
      <c r="L58" s="797">
        <f>'[19]oktobris'!H58</f>
        <v>0</v>
      </c>
      <c r="M58" s="789">
        <f t="shared" si="1"/>
        <v>0</v>
      </c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</row>
    <row r="59" spans="1:83" s="83" customFormat="1" ht="12.75" customHeight="1">
      <c r="A59" s="357" t="s">
        <v>73</v>
      </c>
      <c r="B59" s="356">
        <v>394456</v>
      </c>
      <c r="C59" s="356">
        <v>209785</v>
      </c>
      <c r="D59" s="354">
        <f>C59/B59*100</f>
        <v>53.18337152939745</v>
      </c>
      <c r="E59" s="358">
        <f>C59-'[19]oktobris'!C59</f>
        <v>11130</v>
      </c>
      <c r="F59" s="357" t="s">
        <v>73</v>
      </c>
      <c r="G59" s="356">
        <f>ROUND(B59/1000,0)</f>
        <v>394</v>
      </c>
      <c r="H59" s="356">
        <f>ROUND(C59/1000,0)</f>
        <v>210</v>
      </c>
      <c r="I59" s="359">
        <f>H59/G59*100</f>
        <v>53.299492385786806</v>
      </c>
      <c r="J59" s="358">
        <f>ROUND(E59/1000,0)</f>
        <v>11</v>
      </c>
      <c r="K59" s="797">
        <f t="shared" si="0"/>
        <v>210</v>
      </c>
      <c r="L59" s="797">
        <f>'[19]oktobris'!H59</f>
        <v>199</v>
      </c>
      <c r="M59" s="789">
        <f t="shared" si="1"/>
        <v>11</v>
      </c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</row>
    <row r="60" spans="1:83" s="83" customFormat="1" ht="12.75" customHeight="1">
      <c r="A60" s="98" t="s">
        <v>217</v>
      </c>
      <c r="B60" s="356">
        <f>SUM(B61:B62)</f>
        <v>420556</v>
      </c>
      <c r="C60" s="356">
        <f>SUM(C61:C62)</f>
        <v>254827</v>
      </c>
      <c r="D60" s="354">
        <f>C60/B60*100</f>
        <v>60.59288180408792</v>
      </c>
      <c r="E60" s="358">
        <f>E61+E62</f>
        <v>27819</v>
      </c>
      <c r="F60" s="98" t="s">
        <v>217</v>
      </c>
      <c r="G60" s="356">
        <f>SUM(G61:G62)</f>
        <v>421</v>
      </c>
      <c r="H60" s="356">
        <f>SUM(H61:H62)</f>
        <v>255</v>
      </c>
      <c r="I60" s="359">
        <f>H60/G60*100</f>
        <v>60.57007125890736</v>
      </c>
      <c r="J60" s="358">
        <f>SUM(J61:J62)</f>
        <v>28</v>
      </c>
      <c r="K60" s="797">
        <f t="shared" si="0"/>
        <v>255</v>
      </c>
      <c r="L60" s="797">
        <f>'[19]oktobris'!H60</f>
        <v>227</v>
      </c>
      <c r="M60" s="789">
        <f t="shared" si="1"/>
        <v>28</v>
      </c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</row>
    <row r="61" spans="1:13" ht="12.75" customHeight="1">
      <c r="A61" s="106" t="s">
        <v>975</v>
      </c>
      <c r="B61" s="358">
        <v>346655</v>
      </c>
      <c r="C61" s="358">
        <v>204691</v>
      </c>
      <c r="D61" s="354">
        <f>C61/B61*100</f>
        <v>59.04746794363271</v>
      </c>
      <c r="E61" s="358">
        <f>C61-'[19]oktobris'!C61</f>
        <v>17664</v>
      </c>
      <c r="F61" s="106" t="s">
        <v>975</v>
      </c>
      <c r="G61" s="358">
        <f>ROUND(B61/1000,0)</f>
        <v>347</v>
      </c>
      <c r="H61" s="358">
        <f>ROUND(C61/1000,0)</f>
        <v>205</v>
      </c>
      <c r="I61" s="360">
        <f>H61/G61*100</f>
        <v>59.0778097982709</v>
      </c>
      <c r="J61" s="358">
        <f>ROUND(E61/1000,0)</f>
        <v>18</v>
      </c>
      <c r="K61" s="797">
        <f t="shared" si="0"/>
        <v>205</v>
      </c>
      <c r="L61" s="797">
        <f>'[19]oktobris'!H61</f>
        <v>187</v>
      </c>
      <c r="M61" s="789">
        <f t="shared" si="1"/>
        <v>18</v>
      </c>
    </row>
    <row r="62" spans="1:13" ht="12.75" customHeight="1">
      <c r="A62" s="106" t="s">
        <v>976</v>
      </c>
      <c r="B62" s="358">
        <v>73901</v>
      </c>
      <c r="C62" s="358">
        <v>50136</v>
      </c>
      <c r="D62" s="354">
        <f>C62/B62*100</f>
        <v>67.84211309725173</v>
      </c>
      <c r="E62" s="358">
        <f>C62-'[19]oktobris'!C62</f>
        <v>10155</v>
      </c>
      <c r="F62" s="106" t="s">
        <v>976</v>
      </c>
      <c r="G62" s="358">
        <f>ROUND(B62/1000,0)</f>
        <v>74</v>
      </c>
      <c r="H62" s="358">
        <f>ROUND(C62/1000,0)</f>
        <v>50</v>
      </c>
      <c r="I62" s="360">
        <f>H62/G62*100</f>
        <v>67.56756756756756</v>
      </c>
      <c r="J62" s="358">
        <f>ROUND(E62/1000,0)</f>
        <v>10</v>
      </c>
      <c r="K62" s="797">
        <f t="shared" si="0"/>
        <v>50</v>
      </c>
      <c r="L62" s="797">
        <f>'[19]oktobris'!H62</f>
        <v>40</v>
      </c>
      <c r="M62" s="789">
        <f t="shared" si="1"/>
        <v>10</v>
      </c>
    </row>
    <row r="63" spans="1:13" ht="12.75" customHeight="1">
      <c r="A63" s="209" t="s">
        <v>1001</v>
      </c>
      <c r="B63" s="358"/>
      <c r="C63" s="358"/>
      <c r="D63" s="354"/>
      <c r="E63" s="358"/>
      <c r="F63" s="209" t="s">
        <v>1001</v>
      </c>
      <c r="G63" s="356"/>
      <c r="H63" s="356"/>
      <c r="I63" s="354"/>
      <c r="J63" s="358"/>
      <c r="K63" s="797">
        <f t="shared" si="0"/>
        <v>0</v>
      </c>
      <c r="L63" s="797">
        <f>'[19]oktobris'!H63</f>
        <v>0</v>
      </c>
      <c r="M63" s="789">
        <f t="shared" si="1"/>
        <v>0</v>
      </c>
    </row>
    <row r="64" spans="1:13" ht="12.75" customHeight="1">
      <c r="A64" s="357" t="s">
        <v>73</v>
      </c>
      <c r="B64" s="356">
        <v>0</v>
      </c>
      <c r="C64" s="356">
        <v>0</v>
      </c>
      <c r="D64" s="354" t="e">
        <f>C64/B64*100</f>
        <v>#DIV/0!</v>
      </c>
      <c r="E64" s="364">
        <f>C64-'[19]oktobris'!C64</f>
        <v>0</v>
      </c>
      <c r="F64" s="357" t="s">
        <v>73</v>
      </c>
      <c r="G64" s="356">
        <f>ROUND(B64/1000,0)</f>
        <v>0</v>
      </c>
      <c r="H64" s="356">
        <f>ROUND(C64/1000,0)</f>
        <v>0</v>
      </c>
      <c r="I64" s="356">
        <v>0</v>
      </c>
      <c r="J64" s="358">
        <f>ROUND(E64/1000,0)</f>
        <v>0</v>
      </c>
      <c r="K64" s="797">
        <f t="shared" si="0"/>
        <v>0</v>
      </c>
      <c r="L64" s="797">
        <f>'[19]oktobris'!H64</f>
        <v>0</v>
      </c>
      <c r="M64" s="789">
        <f t="shared" si="1"/>
        <v>0</v>
      </c>
    </row>
    <row r="65" spans="1:13" ht="12.75" customHeight="1">
      <c r="A65" s="98" t="s">
        <v>217</v>
      </c>
      <c r="B65" s="356">
        <f>SUM(B66:B67)</f>
        <v>0</v>
      </c>
      <c r="C65" s="356">
        <f>SUM(C66:C67)</f>
        <v>0</v>
      </c>
      <c r="D65" s="354" t="e">
        <f>C65/B65*100</f>
        <v>#DIV/0!</v>
      </c>
      <c r="E65" s="358">
        <f>C65-'[4]janvāris'!C66</f>
        <v>0</v>
      </c>
      <c r="F65" s="98" t="s">
        <v>217</v>
      </c>
      <c r="G65" s="356">
        <f>SUM(G66:G67)</f>
        <v>0</v>
      </c>
      <c r="H65" s="356">
        <f>SUM(H66:H67)</f>
        <v>0</v>
      </c>
      <c r="I65" s="356">
        <f>SUM(I66:I67)</f>
        <v>0</v>
      </c>
      <c r="J65" s="358">
        <f>SUM(J66:J67)</f>
        <v>0</v>
      </c>
      <c r="K65" s="797">
        <f t="shared" si="0"/>
        <v>0</v>
      </c>
      <c r="L65" s="797">
        <f>'[19]oktobris'!H65</f>
        <v>0</v>
      </c>
      <c r="M65" s="789">
        <f t="shared" si="1"/>
        <v>0</v>
      </c>
    </row>
    <row r="66" spans="1:13" ht="12.75" customHeight="1">
      <c r="A66" s="106" t="s">
        <v>975</v>
      </c>
      <c r="B66" s="358"/>
      <c r="C66" s="358"/>
      <c r="D66" s="354" t="e">
        <f>C66/B66*100</f>
        <v>#DIV/0!</v>
      </c>
      <c r="E66" s="358">
        <f>C66-'[19]oktobris'!C66</f>
        <v>0</v>
      </c>
      <c r="F66" s="106" t="s">
        <v>975</v>
      </c>
      <c r="G66" s="358">
        <f>ROUND(B66/1000,0)</f>
        <v>0</v>
      </c>
      <c r="H66" s="358">
        <f>ROUND(C66/1000,0)</f>
        <v>0</v>
      </c>
      <c r="I66" s="360">
        <v>0</v>
      </c>
      <c r="J66" s="358">
        <f>ROUND(E66/1000,0)</f>
        <v>0</v>
      </c>
      <c r="K66" s="797">
        <f t="shared" si="0"/>
        <v>0</v>
      </c>
      <c r="L66" s="797">
        <f>'[19]oktobris'!H66</f>
        <v>0</v>
      </c>
      <c r="M66" s="789">
        <f t="shared" si="1"/>
        <v>0</v>
      </c>
    </row>
    <row r="67" spans="1:13" ht="12.75" customHeight="1">
      <c r="A67" s="106" t="s">
        <v>976</v>
      </c>
      <c r="B67" s="358"/>
      <c r="C67" s="358"/>
      <c r="D67" s="354" t="e">
        <f>C67/B67*100</f>
        <v>#DIV/0!</v>
      </c>
      <c r="E67" s="358">
        <f>C67-'[19]oktobris'!C67</f>
        <v>0</v>
      </c>
      <c r="F67" s="106" t="s">
        <v>976</v>
      </c>
      <c r="G67" s="358">
        <f>ROUND(B67/1000,0)</f>
        <v>0</v>
      </c>
      <c r="H67" s="358">
        <f>ROUND(C67/1000,0)</f>
        <v>0</v>
      </c>
      <c r="I67" s="360">
        <v>0</v>
      </c>
      <c r="J67" s="358">
        <f>ROUND(E67/1000,0)</f>
        <v>0</v>
      </c>
      <c r="K67" s="797">
        <f t="shared" si="0"/>
        <v>0</v>
      </c>
      <c r="L67" s="797">
        <f>'[19]oktobris'!H67</f>
        <v>0</v>
      </c>
      <c r="M67" s="789">
        <f t="shared" si="1"/>
        <v>0</v>
      </c>
    </row>
    <row r="68" spans="1:13" ht="12.75" customHeight="1">
      <c r="A68" s="209" t="s">
        <v>1003</v>
      </c>
      <c r="B68" s="356"/>
      <c r="C68" s="356"/>
      <c r="D68" s="354"/>
      <c r="E68" s="358"/>
      <c r="F68" s="209" t="s">
        <v>1003</v>
      </c>
      <c r="G68" s="356"/>
      <c r="H68" s="356"/>
      <c r="I68" s="354"/>
      <c r="J68" s="358"/>
      <c r="K68" s="797">
        <f t="shared" si="0"/>
        <v>0</v>
      </c>
      <c r="L68" s="797">
        <f>'[19]oktobris'!H68</f>
        <v>0</v>
      </c>
      <c r="M68" s="789">
        <f t="shared" si="1"/>
        <v>0</v>
      </c>
    </row>
    <row r="69" spans="1:13" s="220" customFormat="1" ht="12.75" customHeight="1">
      <c r="A69" s="361" t="s">
        <v>73</v>
      </c>
      <c r="B69" s="362">
        <v>897358</v>
      </c>
      <c r="C69" s="362">
        <f>562833+53595+2387</f>
        <v>618815</v>
      </c>
      <c r="D69" s="369">
        <f>C69/B69*100</f>
        <v>68.95965712681004</v>
      </c>
      <c r="E69" s="364">
        <f>C69-'[19]oktobris'!C69</f>
        <v>40131</v>
      </c>
      <c r="F69" s="361" t="s">
        <v>704</v>
      </c>
      <c r="G69" s="362">
        <f>ROUND(B69/1000,0)</f>
        <v>897</v>
      </c>
      <c r="H69" s="362">
        <f>ROUND(C69/1000,0)-1</f>
        <v>618</v>
      </c>
      <c r="I69" s="363">
        <f>H69/G69*100</f>
        <v>68.89632107023411</v>
      </c>
      <c r="J69" s="364">
        <f>ROUND(E69/1000,0)-1</f>
        <v>39</v>
      </c>
      <c r="K69" s="797">
        <f t="shared" si="0"/>
        <v>618</v>
      </c>
      <c r="L69" s="797">
        <f>'[19]oktobris'!H69</f>
        <v>579</v>
      </c>
      <c r="M69" s="789">
        <f t="shared" si="1"/>
        <v>39</v>
      </c>
    </row>
    <row r="70" spans="1:13" s="220" customFormat="1" ht="12.75" customHeight="1">
      <c r="A70" s="365" t="s">
        <v>217</v>
      </c>
      <c r="B70" s="362">
        <f>SUM(B71:B72)</f>
        <v>968459</v>
      </c>
      <c r="C70" s="362">
        <f>SUM(C71:C72)</f>
        <v>755163</v>
      </c>
      <c r="D70" s="369">
        <f>C70/B70*100</f>
        <v>77.97573258134831</v>
      </c>
      <c r="E70" s="364">
        <f>E71+E72</f>
        <v>28156</v>
      </c>
      <c r="F70" s="365" t="s">
        <v>217</v>
      </c>
      <c r="G70" s="362">
        <f>SUM(G71:G72)</f>
        <v>969</v>
      </c>
      <c r="H70" s="362">
        <f>SUM(H71:H72)</f>
        <v>756</v>
      </c>
      <c r="I70" s="363">
        <f>H70/G70*100</f>
        <v>78.0185758513932</v>
      </c>
      <c r="J70" s="364">
        <f>SUM(J71:J72)</f>
        <v>29</v>
      </c>
      <c r="K70" s="797">
        <f t="shared" si="0"/>
        <v>756</v>
      </c>
      <c r="L70" s="797">
        <f>'[19]oktobris'!H70</f>
        <v>727</v>
      </c>
      <c r="M70" s="789">
        <f t="shared" si="1"/>
        <v>29</v>
      </c>
    </row>
    <row r="71" spans="1:13" s="220" customFormat="1" ht="12.75" customHeight="1">
      <c r="A71" s="366" t="s">
        <v>975</v>
      </c>
      <c r="B71" s="364">
        <v>945802</v>
      </c>
      <c r="C71" s="364">
        <f>685535+53595+2387</f>
        <v>741517</v>
      </c>
      <c r="D71" s="369">
        <f>C71/B71*100</f>
        <v>78.40087037244582</v>
      </c>
      <c r="E71" s="364">
        <f>C71-'[19]oktobris'!C71</f>
        <v>27769</v>
      </c>
      <c r="F71" s="366" t="s">
        <v>705</v>
      </c>
      <c r="G71" s="364">
        <f>ROUND(B71/1000,0)</f>
        <v>946</v>
      </c>
      <c r="H71" s="364">
        <f>ROUND(C71/1000,0)</f>
        <v>742</v>
      </c>
      <c r="I71" s="367">
        <f>H71/G71*100</f>
        <v>78.43551797040169</v>
      </c>
      <c r="J71" s="364">
        <f>ROUND(E71/1000,0)</f>
        <v>28</v>
      </c>
      <c r="K71" s="797">
        <f t="shared" si="0"/>
        <v>742</v>
      </c>
      <c r="L71" s="797">
        <f>'[19]oktobris'!H71</f>
        <v>714</v>
      </c>
      <c r="M71" s="789">
        <f t="shared" si="1"/>
        <v>28</v>
      </c>
    </row>
    <row r="72" spans="1:13" s="220" customFormat="1" ht="12.75" customHeight="1">
      <c r="A72" s="366" t="s">
        <v>976</v>
      </c>
      <c r="B72" s="364">
        <v>22657</v>
      </c>
      <c r="C72" s="364">
        <v>13646</v>
      </c>
      <c r="D72" s="369">
        <f>C72/B72*100</f>
        <v>60.22862691441938</v>
      </c>
      <c r="E72" s="364">
        <f>C72-'[19]oktobris'!C72</f>
        <v>387</v>
      </c>
      <c r="F72" s="366" t="s">
        <v>976</v>
      </c>
      <c r="G72" s="364">
        <v>23</v>
      </c>
      <c r="H72" s="364">
        <f>ROUND(C72/1000,0)</f>
        <v>14</v>
      </c>
      <c r="I72" s="367">
        <f>H72/G72*100</f>
        <v>60.86956521739131</v>
      </c>
      <c r="J72" s="364">
        <f>ROUND(E72/1000,0)+1</f>
        <v>1</v>
      </c>
      <c r="K72" s="797">
        <f t="shared" si="0"/>
        <v>14</v>
      </c>
      <c r="L72" s="797">
        <f>'[19]oktobris'!H72</f>
        <v>13</v>
      </c>
      <c r="M72" s="789">
        <f t="shared" si="1"/>
        <v>1</v>
      </c>
    </row>
    <row r="73" spans="1:13" ht="12.75" customHeight="1">
      <c r="A73" s="209" t="s">
        <v>1005</v>
      </c>
      <c r="B73" s="356"/>
      <c r="C73" s="356"/>
      <c r="D73" s="354"/>
      <c r="E73" s="358"/>
      <c r="F73" s="209" t="s">
        <v>1005</v>
      </c>
      <c r="G73" s="356"/>
      <c r="H73" s="356"/>
      <c r="I73" s="354"/>
      <c r="J73" s="358"/>
      <c r="K73" s="797">
        <f aca="true" t="shared" si="2" ref="K73:K136">H73</f>
        <v>0</v>
      </c>
      <c r="L73" s="797">
        <f>'[19]oktobris'!H73</f>
        <v>0</v>
      </c>
      <c r="M73" s="789">
        <f aca="true" t="shared" si="3" ref="M73:M136">K73-L73</f>
        <v>0</v>
      </c>
    </row>
    <row r="74" spans="1:13" ht="12.75" customHeight="1">
      <c r="A74" s="357" t="s">
        <v>73</v>
      </c>
      <c r="B74" s="356">
        <v>286245</v>
      </c>
      <c r="C74" s="356">
        <v>123450</v>
      </c>
      <c r="D74" s="354">
        <f>C74/B74*100</f>
        <v>43.12739087145627</v>
      </c>
      <c r="E74" s="358">
        <f>C74-'[19]oktobris'!C74</f>
        <v>-6051</v>
      </c>
      <c r="F74" s="357" t="s">
        <v>73</v>
      </c>
      <c r="G74" s="356">
        <f>ROUND(B74/1000,0)</f>
        <v>286</v>
      </c>
      <c r="H74" s="356">
        <f>ROUND(C74/1000,0)</f>
        <v>123</v>
      </c>
      <c r="I74" s="359">
        <f>H74/G74*100</f>
        <v>43.00699300699301</v>
      </c>
      <c r="J74" s="358">
        <f>ROUND(E74/1000,0)-1</f>
        <v>-7</v>
      </c>
      <c r="K74" s="797">
        <f t="shared" si="2"/>
        <v>123</v>
      </c>
      <c r="L74" s="797">
        <f>'[19]oktobris'!H74</f>
        <v>130</v>
      </c>
      <c r="M74" s="789">
        <f t="shared" si="3"/>
        <v>-7</v>
      </c>
    </row>
    <row r="75" spans="1:13" ht="12.75" customHeight="1">
      <c r="A75" s="98" t="s">
        <v>217</v>
      </c>
      <c r="B75" s="356">
        <f>SUM(B76:B77)</f>
        <v>324380</v>
      </c>
      <c r="C75" s="356">
        <f>SUM(C76:C77)</f>
        <v>94021</v>
      </c>
      <c r="D75" s="354">
        <f>C75/B75*100</f>
        <v>28.98483260373636</v>
      </c>
      <c r="E75" s="356">
        <f>E76+E77</f>
        <v>28065</v>
      </c>
      <c r="F75" s="98" t="s">
        <v>217</v>
      </c>
      <c r="G75" s="356">
        <f>SUM(G76:G77)</f>
        <v>324</v>
      </c>
      <c r="H75" s="356">
        <f>SUM(H76:H77)</f>
        <v>94</v>
      </c>
      <c r="I75" s="359">
        <f>H75/G75*100</f>
        <v>29.01234567901235</v>
      </c>
      <c r="J75" s="358">
        <f>SUM(J76:J77)</f>
        <v>28</v>
      </c>
      <c r="K75" s="797">
        <f t="shared" si="2"/>
        <v>94</v>
      </c>
      <c r="L75" s="797">
        <f>'[19]oktobris'!H75</f>
        <v>66</v>
      </c>
      <c r="M75" s="789">
        <f t="shared" si="3"/>
        <v>28</v>
      </c>
    </row>
    <row r="76" spans="1:13" ht="12.75" customHeight="1">
      <c r="A76" s="106" t="s">
        <v>975</v>
      </c>
      <c r="B76" s="358">
        <v>318125</v>
      </c>
      <c r="C76" s="358">
        <v>90281</v>
      </c>
      <c r="D76" s="354">
        <f>C76/B76*100</f>
        <v>28.37909626719057</v>
      </c>
      <c r="E76" s="358">
        <f>C76-'[19]oktobris'!C76</f>
        <v>28065</v>
      </c>
      <c r="F76" s="106" t="s">
        <v>975</v>
      </c>
      <c r="G76" s="358">
        <f>ROUND(B76/1000,0)</f>
        <v>318</v>
      </c>
      <c r="H76" s="358">
        <f>ROUND(C76/1000,0)</f>
        <v>90</v>
      </c>
      <c r="I76" s="360">
        <f>H76/G76*100</f>
        <v>28.30188679245283</v>
      </c>
      <c r="J76" s="358">
        <f>ROUND(E76/1000,0)</f>
        <v>28</v>
      </c>
      <c r="K76" s="797">
        <f t="shared" si="2"/>
        <v>90</v>
      </c>
      <c r="L76" s="797">
        <f>'[19]oktobris'!H76</f>
        <v>62</v>
      </c>
      <c r="M76" s="789">
        <f t="shared" si="3"/>
        <v>28</v>
      </c>
    </row>
    <row r="77" spans="1:13" ht="12.75" customHeight="1">
      <c r="A77" s="106" t="s">
        <v>976</v>
      </c>
      <c r="B77" s="358">
        <v>6255</v>
      </c>
      <c r="C77" s="358">
        <v>3740</v>
      </c>
      <c r="D77" s="354">
        <f>C77/B77*100</f>
        <v>59.79216626698641</v>
      </c>
      <c r="E77" s="358">
        <f>C77-'[19]oktobris'!C77</f>
        <v>0</v>
      </c>
      <c r="F77" s="106" t="s">
        <v>976</v>
      </c>
      <c r="G77" s="358">
        <f>ROUND(B77/1000,0)</f>
        <v>6</v>
      </c>
      <c r="H77" s="358">
        <f>ROUND(C77/1000,0)</f>
        <v>4</v>
      </c>
      <c r="I77" s="360">
        <f>H77/G77*100</f>
        <v>66.66666666666666</v>
      </c>
      <c r="J77" s="358">
        <f>ROUND(E77/1000,0)</f>
        <v>0</v>
      </c>
      <c r="K77" s="797">
        <f t="shared" si="2"/>
        <v>4</v>
      </c>
      <c r="L77" s="797">
        <f>'[19]oktobris'!H77</f>
        <v>4</v>
      </c>
      <c r="M77" s="789">
        <f t="shared" si="3"/>
        <v>0</v>
      </c>
    </row>
    <row r="78" spans="1:13" ht="25.5">
      <c r="A78" s="92" t="s">
        <v>1007</v>
      </c>
      <c r="B78" s="356"/>
      <c r="C78" s="356"/>
      <c r="D78" s="354"/>
      <c r="E78" s="358"/>
      <c r="F78" s="92" t="s">
        <v>1007</v>
      </c>
      <c r="G78" s="356"/>
      <c r="H78" s="356"/>
      <c r="I78" s="354"/>
      <c r="J78" s="358"/>
      <c r="K78" s="797">
        <f t="shared" si="2"/>
        <v>0</v>
      </c>
      <c r="L78" s="797">
        <f>'[19]oktobris'!H78</f>
        <v>0</v>
      </c>
      <c r="M78" s="789">
        <f t="shared" si="3"/>
        <v>0</v>
      </c>
    </row>
    <row r="79" spans="1:13" ht="12.75" customHeight="1">
      <c r="A79" s="357" t="s">
        <v>73</v>
      </c>
      <c r="B79" s="362">
        <v>75929</v>
      </c>
      <c r="C79" s="356">
        <v>64427</v>
      </c>
      <c r="D79" s="354">
        <f>C79/B79*100</f>
        <v>84.85163771418036</v>
      </c>
      <c r="E79" s="358">
        <f>C79-'[19]oktobris'!C79</f>
        <v>28995</v>
      </c>
      <c r="F79" s="357" t="s">
        <v>73</v>
      </c>
      <c r="G79" s="356">
        <f>ROUND(B79/1000,0)</f>
        <v>76</v>
      </c>
      <c r="H79" s="356">
        <f>ROUND(C79/1000,0)</f>
        <v>64</v>
      </c>
      <c r="I79" s="359">
        <f>H79/G79*100</f>
        <v>84.21052631578947</v>
      </c>
      <c r="J79" s="358">
        <f>ROUND(E79/1000,0)</f>
        <v>29</v>
      </c>
      <c r="K79" s="797">
        <f t="shared" si="2"/>
        <v>64</v>
      </c>
      <c r="L79" s="797">
        <f>'[19]oktobris'!H79</f>
        <v>35</v>
      </c>
      <c r="M79" s="789">
        <f t="shared" si="3"/>
        <v>29</v>
      </c>
    </row>
    <row r="80" spans="1:13" ht="12.75" customHeight="1">
      <c r="A80" s="98" t="s">
        <v>217</v>
      </c>
      <c r="B80" s="362">
        <f>SUM(B81:B82)</f>
        <v>253688</v>
      </c>
      <c r="C80" s="362">
        <f>SUM(C81:C82)</f>
        <v>104931</v>
      </c>
      <c r="D80" s="354">
        <f>C80/B80*100</f>
        <v>41.362224464696794</v>
      </c>
      <c r="E80" s="362">
        <f>E81+E82</f>
        <v>26988</v>
      </c>
      <c r="F80" s="98" t="s">
        <v>217</v>
      </c>
      <c r="G80" s="356">
        <f>SUM(G81:G82)</f>
        <v>254</v>
      </c>
      <c r="H80" s="356">
        <f>SUM(H81:H82)</f>
        <v>105</v>
      </c>
      <c r="I80" s="359">
        <f>H80/G80*100</f>
        <v>41.338582677165356</v>
      </c>
      <c r="J80" s="358">
        <f>SUM(J81:J82)</f>
        <v>27</v>
      </c>
      <c r="K80" s="797">
        <f t="shared" si="2"/>
        <v>105</v>
      </c>
      <c r="L80" s="797">
        <f>'[19]oktobris'!H80</f>
        <v>78</v>
      </c>
      <c r="M80" s="789">
        <f t="shared" si="3"/>
        <v>27</v>
      </c>
    </row>
    <row r="81" spans="1:13" ht="12.75" customHeight="1">
      <c r="A81" s="106" t="s">
        <v>975</v>
      </c>
      <c r="B81" s="364">
        <v>240084</v>
      </c>
      <c r="C81" s="358">
        <v>95966</v>
      </c>
      <c r="D81" s="354">
        <f>C81/B81*100</f>
        <v>39.97184318821746</v>
      </c>
      <c r="E81" s="358">
        <f>C81-'[19]oktobris'!C81</f>
        <v>26988</v>
      </c>
      <c r="F81" s="106" t="s">
        <v>975</v>
      </c>
      <c r="G81" s="358">
        <f>ROUND(B81/1000,0)</f>
        <v>240</v>
      </c>
      <c r="H81" s="358">
        <f>ROUND(C81/1000,0)</f>
        <v>96</v>
      </c>
      <c r="I81" s="360">
        <f>H81/G81*100</f>
        <v>40</v>
      </c>
      <c r="J81" s="358">
        <f>ROUND(E81/1000,0)</f>
        <v>27</v>
      </c>
      <c r="K81" s="797">
        <f t="shared" si="2"/>
        <v>96</v>
      </c>
      <c r="L81" s="797">
        <f>'[19]oktobris'!H81</f>
        <v>69</v>
      </c>
      <c r="M81" s="789">
        <f t="shared" si="3"/>
        <v>27</v>
      </c>
    </row>
    <row r="82" spans="1:13" ht="12.75" customHeight="1">
      <c r="A82" s="106" t="s">
        <v>976</v>
      </c>
      <c r="B82" s="364">
        <v>13604</v>
      </c>
      <c r="C82" s="358">
        <v>8965</v>
      </c>
      <c r="D82" s="354">
        <f>C82/B82*100</f>
        <v>65.89973537194943</v>
      </c>
      <c r="E82" s="358">
        <f>C82-'[19]oktobris'!C82</f>
        <v>0</v>
      </c>
      <c r="F82" s="106" t="s">
        <v>976</v>
      </c>
      <c r="G82" s="358">
        <f>ROUND(B82/1000,0)</f>
        <v>14</v>
      </c>
      <c r="H82" s="358">
        <f>ROUND(C82/1000,0)</f>
        <v>9</v>
      </c>
      <c r="I82" s="360">
        <f>H82/G82*100</f>
        <v>64.28571428571429</v>
      </c>
      <c r="J82" s="358">
        <f>ROUND(E82/1000,0)</f>
        <v>0</v>
      </c>
      <c r="K82" s="797">
        <f t="shared" si="2"/>
        <v>9</v>
      </c>
      <c r="L82" s="797">
        <f>'[19]oktobris'!H82</f>
        <v>9</v>
      </c>
      <c r="M82" s="789">
        <f t="shared" si="3"/>
        <v>0</v>
      </c>
    </row>
    <row r="83" spans="1:13" ht="12.75" customHeight="1">
      <c r="A83" s="209" t="s">
        <v>1009</v>
      </c>
      <c r="B83" s="362"/>
      <c r="C83" s="356"/>
      <c r="D83" s="354"/>
      <c r="E83" s="358"/>
      <c r="F83" s="209" t="s">
        <v>1009</v>
      </c>
      <c r="G83" s="356"/>
      <c r="H83" s="356"/>
      <c r="I83" s="354"/>
      <c r="J83" s="358"/>
      <c r="K83" s="797">
        <f t="shared" si="2"/>
        <v>0</v>
      </c>
      <c r="L83" s="797">
        <f>'[19]oktobris'!H83</f>
        <v>0</v>
      </c>
      <c r="M83" s="789">
        <f t="shared" si="3"/>
        <v>0</v>
      </c>
    </row>
    <row r="84" spans="1:13" ht="12.75" customHeight="1">
      <c r="A84" s="357" t="s">
        <v>73</v>
      </c>
      <c r="B84" s="362">
        <v>1440260</v>
      </c>
      <c r="C84" s="356">
        <v>1182700</v>
      </c>
      <c r="D84" s="354">
        <f>C84/B84*100</f>
        <v>82.1171177426298</v>
      </c>
      <c r="E84" s="358">
        <f>C84-'[19]oktobris'!C84</f>
        <v>118711</v>
      </c>
      <c r="F84" s="357" t="s">
        <v>73</v>
      </c>
      <c r="G84" s="356">
        <f>ROUND(B84/1000,0)</f>
        <v>1440</v>
      </c>
      <c r="H84" s="356">
        <f>ROUND(C84/1000,0)</f>
        <v>1183</v>
      </c>
      <c r="I84" s="359">
        <f>H84/G84*100</f>
        <v>82.15277777777777</v>
      </c>
      <c r="J84" s="358">
        <f>ROUND(E84/1000,0)</f>
        <v>119</v>
      </c>
      <c r="K84" s="797">
        <f t="shared" si="2"/>
        <v>1183</v>
      </c>
      <c r="L84" s="797">
        <f>'[19]oktobris'!H84</f>
        <v>1064</v>
      </c>
      <c r="M84" s="789">
        <f t="shared" si="3"/>
        <v>119</v>
      </c>
    </row>
    <row r="85" spans="1:13" ht="12.75" customHeight="1">
      <c r="A85" s="98" t="s">
        <v>217</v>
      </c>
      <c r="B85" s="356">
        <f>SUM(B86:B87)</f>
        <v>1577466</v>
      </c>
      <c r="C85" s="356">
        <f>SUM(C86:C87)</f>
        <v>1166456</v>
      </c>
      <c r="D85" s="354">
        <f>C85/B85*100</f>
        <v>73.94492179229219</v>
      </c>
      <c r="E85" s="358">
        <f>E86+E87</f>
        <v>158749</v>
      </c>
      <c r="F85" s="98" t="s">
        <v>217</v>
      </c>
      <c r="G85" s="356">
        <f>SUM(G86:G87)</f>
        <v>1577</v>
      </c>
      <c r="H85" s="356">
        <f>SUM(H86:H87)</f>
        <v>1166</v>
      </c>
      <c r="I85" s="359">
        <f>H85/G85*100</f>
        <v>73.93785668991757</v>
      </c>
      <c r="J85" s="358">
        <f>SUM(J86:J87)</f>
        <v>158</v>
      </c>
      <c r="K85" s="797">
        <f t="shared" si="2"/>
        <v>1166</v>
      </c>
      <c r="L85" s="797">
        <f>'[19]oktobris'!H85</f>
        <v>1008</v>
      </c>
      <c r="M85" s="789">
        <f t="shared" si="3"/>
        <v>158</v>
      </c>
    </row>
    <row r="86" spans="1:13" ht="12.75" customHeight="1">
      <c r="A86" s="106" t="s">
        <v>975</v>
      </c>
      <c r="B86" s="358">
        <v>1436118</v>
      </c>
      <c r="C86" s="358">
        <v>1071028</v>
      </c>
      <c r="D86" s="354">
        <f>C86/B86*100</f>
        <v>74.5779942873775</v>
      </c>
      <c r="E86" s="358">
        <f>C86-'[19]oktobris'!C86</f>
        <v>127392</v>
      </c>
      <c r="F86" s="106" t="s">
        <v>975</v>
      </c>
      <c r="G86" s="358">
        <f>ROUND(B86/1000,0)</f>
        <v>1436</v>
      </c>
      <c r="H86" s="358">
        <f>ROUND(C86/1000,0)</f>
        <v>1071</v>
      </c>
      <c r="I86" s="360">
        <f>H86/G86*100</f>
        <v>74.58217270194986</v>
      </c>
      <c r="J86" s="358">
        <f>ROUND(E86/1000,0)</f>
        <v>127</v>
      </c>
      <c r="K86" s="797">
        <f t="shared" si="2"/>
        <v>1071</v>
      </c>
      <c r="L86" s="797">
        <f>'[19]oktobris'!H86</f>
        <v>944</v>
      </c>
      <c r="M86" s="789">
        <f t="shared" si="3"/>
        <v>127</v>
      </c>
    </row>
    <row r="87" spans="1:13" ht="12.75" customHeight="1">
      <c r="A87" s="106" t="s">
        <v>976</v>
      </c>
      <c r="B87" s="358">
        <v>141348</v>
      </c>
      <c r="C87" s="358">
        <v>95428</v>
      </c>
      <c r="D87" s="354">
        <f>C87/B87*100</f>
        <v>67.5128052749243</v>
      </c>
      <c r="E87" s="358">
        <f>C87-'[19]oktobris'!C87</f>
        <v>31357</v>
      </c>
      <c r="F87" s="106" t="s">
        <v>976</v>
      </c>
      <c r="G87" s="358">
        <v>141</v>
      </c>
      <c r="H87" s="358">
        <f>ROUND(C87/1000,0)</f>
        <v>95</v>
      </c>
      <c r="I87" s="360">
        <f>H87/G87*100</f>
        <v>67.37588652482269</v>
      </c>
      <c r="J87" s="358">
        <f>ROUND(E87/1000,0)</f>
        <v>31</v>
      </c>
      <c r="K87" s="797">
        <f t="shared" si="2"/>
        <v>95</v>
      </c>
      <c r="L87" s="797">
        <f>'[19]oktobris'!H87</f>
        <v>64</v>
      </c>
      <c r="M87" s="789">
        <f t="shared" si="3"/>
        <v>31</v>
      </c>
    </row>
    <row r="88" spans="1:13" ht="12.75" customHeight="1">
      <c r="A88" s="209" t="s">
        <v>1011</v>
      </c>
      <c r="B88" s="358"/>
      <c r="C88" s="358"/>
      <c r="D88" s="354"/>
      <c r="E88" s="358"/>
      <c r="F88" s="209" t="s">
        <v>1011</v>
      </c>
      <c r="G88" s="356"/>
      <c r="H88" s="356"/>
      <c r="I88" s="354"/>
      <c r="J88" s="358"/>
      <c r="K88" s="797">
        <f t="shared" si="2"/>
        <v>0</v>
      </c>
      <c r="L88" s="797">
        <f>'[19]oktobris'!H88</f>
        <v>0</v>
      </c>
      <c r="M88" s="789">
        <f t="shared" si="3"/>
        <v>0</v>
      </c>
    </row>
    <row r="89" spans="1:13" ht="12.75" customHeight="1">
      <c r="A89" s="357" t="s">
        <v>73</v>
      </c>
      <c r="B89" s="358"/>
      <c r="C89" s="358"/>
      <c r="D89" s="354" t="e">
        <f>C89/B89*100</f>
        <v>#DIV/0!</v>
      </c>
      <c r="E89" s="358">
        <f>C89-'[19]oktobris'!C89</f>
        <v>0</v>
      </c>
      <c r="F89" s="357" t="s">
        <v>73</v>
      </c>
      <c r="G89" s="356">
        <f>ROUND(B89/1000,0)</f>
        <v>0</v>
      </c>
      <c r="H89" s="356">
        <f>ROUND(C89/1000,0)</f>
        <v>0</v>
      </c>
      <c r="I89" s="359"/>
      <c r="J89" s="358">
        <f>ROUND(E89/1000,0)</f>
        <v>0</v>
      </c>
      <c r="K89" s="797">
        <f t="shared" si="2"/>
        <v>0</v>
      </c>
      <c r="L89" s="797">
        <f>'[19]oktobris'!H89</f>
        <v>0</v>
      </c>
      <c r="M89" s="789">
        <f t="shared" si="3"/>
        <v>0</v>
      </c>
    </row>
    <row r="90" spans="1:13" ht="12.75" customHeight="1">
      <c r="A90" s="98" t="s">
        <v>217</v>
      </c>
      <c r="B90" s="358">
        <f>SUM(B91:B92)</f>
        <v>0</v>
      </c>
      <c r="C90" s="358">
        <f>SUM(C91:C92)</f>
        <v>0</v>
      </c>
      <c r="D90" s="354" t="e">
        <f>C90/B90*100</f>
        <v>#DIV/0!</v>
      </c>
      <c r="E90" s="358">
        <f>E91+E92</f>
        <v>0</v>
      </c>
      <c r="F90" s="98" t="s">
        <v>217</v>
      </c>
      <c r="G90" s="356">
        <f>SUM(G91:G92)</f>
        <v>0</v>
      </c>
      <c r="H90" s="356">
        <f>SUM(H91:H92)</f>
        <v>0</v>
      </c>
      <c r="I90" s="359"/>
      <c r="J90" s="358">
        <f>SUM(J91:J92)</f>
        <v>0</v>
      </c>
      <c r="K90" s="797">
        <f t="shared" si="2"/>
        <v>0</v>
      </c>
      <c r="L90" s="797">
        <f>'[19]oktobris'!H90</f>
        <v>0</v>
      </c>
      <c r="M90" s="789">
        <f t="shared" si="3"/>
        <v>0</v>
      </c>
    </row>
    <row r="91" spans="1:13" ht="12.75" customHeight="1">
      <c r="A91" s="106" t="s">
        <v>975</v>
      </c>
      <c r="B91" s="358"/>
      <c r="C91" s="358"/>
      <c r="D91" s="354" t="e">
        <f>C91/B91*100</f>
        <v>#DIV/0!</v>
      </c>
      <c r="E91" s="358">
        <f>C91-'[19]oktobris'!C91</f>
        <v>0</v>
      </c>
      <c r="F91" s="106" t="s">
        <v>975</v>
      </c>
      <c r="G91" s="358">
        <f>ROUND(B91/1000,0)</f>
        <v>0</v>
      </c>
      <c r="H91" s="358">
        <f>ROUND(C91/1000,0)</f>
        <v>0</v>
      </c>
      <c r="I91" s="360"/>
      <c r="J91" s="358">
        <f>ROUND(E91/1000,0)</f>
        <v>0</v>
      </c>
      <c r="K91" s="797">
        <f t="shared" si="2"/>
        <v>0</v>
      </c>
      <c r="L91" s="797">
        <f>'[19]oktobris'!H91</f>
        <v>0</v>
      </c>
      <c r="M91" s="789">
        <f t="shared" si="3"/>
        <v>0</v>
      </c>
    </row>
    <row r="92" spans="1:13" ht="12.75" customHeight="1">
      <c r="A92" s="106" t="s">
        <v>976</v>
      </c>
      <c r="B92" s="358"/>
      <c r="C92" s="358"/>
      <c r="D92" s="354" t="e">
        <f>C92/B92*100</f>
        <v>#DIV/0!</v>
      </c>
      <c r="E92" s="358">
        <f>C92-'[19]oktobris'!C92</f>
        <v>0</v>
      </c>
      <c r="F92" s="106" t="s">
        <v>976</v>
      </c>
      <c r="G92" s="358">
        <f>ROUND(B92/1000,0)</f>
        <v>0</v>
      </c>
      <c r="H92" s="358">
        <f>ROUND(C92/1000,0)</f>
        <v>0</v>
      </c>
      <c r="I92" s="360"/>
      <c r="J92" s="358">
        <f>ROUND(E92/1000,0)</f>
        <v>0</v>
      </c>
      <c r="K92" s="797">
        <f t="shared" si="2"/>
        <v>0</v>
      </c>
      <c r="L92" s="797">
        <f>'[19]oktobris'!H92</f>
        <v>0</v>
      </c>
      <c r="M92" s="789">
        <f t="shared" si="3"/>
        <v>0</v>
      </c>
    </row>
    <row r="93" spans="1:13" ht="12.75" customHeight="1">
      <c r="A93" s="209" t="s">
        <v>1013</v>
      </c>
      <c r="B93" s="358"/>
      <c r="C93" s="358"/>
      <c r="D93" s="354"/>
      <c r="E93" s="358"/>
      <c r="F93" s="209" t="s">
        <v>1013</v>
      </c>
      <c r="G93" s="356"/>
      <c r="H93" s="356"/>
      <c r="I93" s="354"/>
      <c r="J93" s="358"/>
      <c r="K93" s="797">
        <f t="shared" si="2"/>
        <v>0</v>
      </c>
      <c r="L93" s="797">
        <f>'[19]oktobris'!H93</f>
        <v>0</v>
      </c>
      <c r="M93" s="789">
        <f t="shared" si="3"/>
        <v>0</v>
      </c>
    </row>
    <row r="94" spans="1:13" ht="12.75" customHeight="1">
      <c r="A94" s="357" t="s">
        <v>73</v>
      </c>
      <c r="B94" s="356"/>
      <c r="C94" s="356"/>
      <c r="D94" s="354" t="e">
        <f>C94/B94*100</f>
        <v>#DIV/0!</v>
      </c>
      <c r="E94" s="358">
        <f>C94-'[19]oktobris'!C94</f>
        <v>0</v>
      </c>
      <c r="F94" s="357" t="s">
        <v>73</v>
      </c>
      <c r="G94" s="356">
        <f>ROUND(B94/1000,0)</f>
        <v>0</v>
      </c>
      <c r="H94" s="356">
        <f>ROUND(C94/1000,0)</f>
        <v>0</v>
      </c>
      <c r="I94" s="359"/>
      <c r="J94" s="358">
        <f>ROUND(E94/1000,0)</f>
        <v>0</v>
      </c>
      <c r="K94" s="797">
        <f t="shared" si="2"/>
        <v>0</v>
      </c>
      <c r="L94" s="797">
        <f>'[19]oktobris'!H94</f>
        <v>0</v>
      </c>
      <c r="M94" s="789">
        <f t="shared" si="3"/>
        <v>0</v>
      </c>
    </row>
    <row r="95" spans="1:13" ht="12.75" customHeight="1">
      <c r="A95" s="98" t="s">
        <v>217</v>
      </c>
      <c r="B95" s="356">
        <f>SUM(B96:B97)</f>
        <v>0</v>
      </c>
      <c r="C95" s="356">
        <f>SUM(C96:C97)</f>
        <v>0</v>
      </c>
      <c r="D95" s="354" t="e">
        <f>C95/B95*100</f>
        <v>#DIV/0!</v>
      </c>
      <c r="E95" s="358">
        <f>E96+E97</f>
        <v>0</v>
      </c>
      <c r="F95" s="98" t="s">
        <v>217</v>
      </c>
      <c r="G95" s="356">
        <f>SUM(G96:G97)</f>
        <v>0</v>
      </c>
      <c r="H95" s="356">
        <f>SUM(H96:H97)</f>
        <v>0</v>
      </c>
      <c r="I95" s="359"/>
      <c r="J95" s="358">
        <f>SUM(J96:J97)</f>
        <v>0</v>
      </c>
      <c r="K95" s="797">
        <f t="shared" si="2"/>
        <v>0</v>
      </c>
      <c r="L95" s="797">
        <f>'[19]oktobris'!H95</f>
        <v>0</v>
      </c>
      <c r="M95" s="789">
        <f t="shared" si="3"/>
        <v>0</v>
      </c>
    </row>
    <row r="96" spans="1:13" ht="12.75" customHeight="1">
      <c r="A96" s="106" t="s">
        <v>975</v>
      </c>
      <c r="B96" s="358"/>
      <c r="C96" s="358"/>
      <c r="D96" s="354" t="e">
        <f>C96/B96*100</f>
        <v>#DIV/0!</v>
      </c>
      <c r="E96" s="358">
        <f>C96-'[19]oktobris'!C96</f>
        <v>0</v>
      </c>
      <c r="F96" s="106" t="s">
        <v>975</v>
      </c>
      <c r="G96" s="358">
        <f>ROUND(B96/1000,0)</f>
        <v>0</v>
      </c>
      <c r="H96" s="358">
        <f>ROUND(C96/1000,0)</f>
        <v>0</v>
      </c>
      <c r="I96" s="360"/>
      <c r="J96" s="358">
        <f>ROUND(E96/1000,0)</f>
        <v>0</v>
      </c>
      <c r="K96" s="797">
        <f t="shared" si="2"/>
        <v>0</v>
      </c>
      <c r="L96" s="797">
        <f>'[19]oktobris'!H96</f>
        <v>0</v>
      </c>
      <c r="M96" s="789">
        <f t="shared" si="3"/>
        <v>0</v>
      </c>
    </row>
    <row r="97" spans="1:13" ht="12.75" customHeight="1">
      <c r="A97" s="106" t="s">
        <v>976</v>
      </c>
      <c r="B97" s="358"/>
      <c r="C97" s="364"/>
      <c r="D97" s="354" t="e">
        <f>C97/B97*100</f>
        <v>#DIV/0!</v>
      </c>
      <c r="E97" s="358">
        <f>C97-'[19]oktobris'!C97</f>
        <v>0</v>
      </c>
      <c r="F97" s="106" t="s">
        <v>976</v>
      </c>
      <c r="G97" s="358">
        <f>ROUND(B97/1000,0)</f>
        <v>0</v>
      </c>
      <c r="H97" s="358">
        <f>ROUND(C97/1000,0)</f>
        <v>0</v>
      </c>
      <c r="I97" s="360"/>
      <c r="J97" s="358">
        <f>ROUND(E97/1000,0)</f>
        <v>0</v>
      </c>
      <c r="K97" s="797">
        <f t="shared" si="2"/>
        <v>0</v>
      </c>
      <c r="L97" s="797">
        <f>'[19]oktobris'!H97</f>
        <v>0</v>
      </c>
      <c r="M97" s="789">
        <f t="shared" si="3"/>
        <v>0</v>
      </c>
    </row>
    <row r="98" spans="1:13" ht="12.75" customHeight="1">
      <c r="A98" s="209" t="s">
        <v>1015</v>
      </c>
      <c r="B98" s="356"/>
      <c r="C98" s="356"/>
      <c r="D98" s="354"/>
      <c r="E98" s="358"/>
      <c r="F98" s="209" t="s">
        <v>1015</v>
      </c>
      <c r="G98" s="356"/>
      <c r="H98" s="356"/>
      <c r="I98" s="354"/>
      <c r="J98" s="358"/>
      <c r="K98" s="797">
        <f t="shared" si="2"/>
        <v>0</v>
      </c>
      <c r="L98" s="797">
        <f>'[19]oktobris'!H98</f>
        <v>0</v>
      </c>
      <c r="M98" s="789">
        <f t="shared" si="3"/>
        <v>0</v>
      </c>
    </row>
    <row r="99" spans="1:13" ht="12.75" customHeight="1">
      <c r="A99" s="357" t="s">
        <v>73</v>
      </c>
      <c r="B99" s="356"/>
      <c r="C99" s="356"/>
      <c r="D99" s="354" t="e">
        <f>C99/B99*100</f>
        <v>#DIV/0!</v>
      </c>
      <c r="E99" s="358">
        <f>C99-'[19]oktobris'!C99</f>
        <v>0</v>
      </c>
      <c r="F99" s="357" t="s">
        <v>73</v>
      </c>
      <c r="G99" s="356">
        <f>ROUND(B99/1000,0)</f>
        <v>0</v>
      </c>
      <c r="H99" s="356">
        <f>ROUND(C99/1000,0)</f>
        <v>0</v>
      </c>
      <c r="I99" s="359"/>
      <c r="J99" s="358">
        <f>ROUND(E99/1000,0)</f>
        <v>0</v>
      </c>
      <c r="K99" s="797">
        <f t="shared" si="2"/>
        <v>0</v>
      </c>
      <c r="L99" s="797">
        <f>'[19]oktobris'!H99</f>
        <v>0</v>
      </c>
      <c r="M99" s="789">
        <f t="shared" si="3"/>
        <v>0</v>
      </c>
    </row>
    <row r="100" spans="1:13" ht="12.75" customHeight="1">
      <c r="A100" s="98" t="s">
        <v>217</v>
      </c>
      <c r="B100" s="356">
        <f>SUM(B101:B102)</f>
        <v>0</v>
      </c>
      <c r="C100" s="356">
        <f>SUM(C101:C102)</f>
        <v>0</v>
      </c>
      <c r="D100" s="354" t="e">
        <f>C100/B100*100</f>
        <v>#DIV/0!</v>
      </c>
      <c r="E100" s="356">
        <f>E101+E102</f>
        <v>0</v>
      </c>
      <c r="F100" s="98" t="s">
        <v>217</v>
      </c>
      <c r="G100" s="356">
        <f>SUM(G101:G102)</f>
        <v>0</v>
      </c>
      <c r="H100" s="356">
        <f>SUM(H101:H102)</f>
        <v>0</v>
      </c>
      <c r="I100" s="359"/>
      <c r="J100" s="358">
        <f>SUM(J101:J102)</f>
        <v>0</v>
      </c>
      <c r="K100" s="797">
        <f t="shared" si="2"/>
        <v>0</v>
      </c>
      <c r="L100" s="797">
        <f>'[19]oktobris'!H100</f>
        <v>0</v>
      </c>
      <c r="M100" s="789">
        <f t="shared" si="3"/>
        <v>0</v>
      </c>
    </row>
    <row r="101" spans="1:13" ht="12.75" customHeight="1">
      <c r="A101" s="106" t="s">
        <v>975</v>
      </c>
      <c r="B101" s="356"/>
      <c r="C101" s="356"/>
      <c r="D101" s="354" t="e">
        <f>C101/B101*100</f>
        <v>#DIV/0!</v>
      </c>
      <c r="E101" s="356">
        <f>C101-'[19]oktobris'!C101</f>
        <v>0</v>
      </c>
      <c r="F101" s="106" t="s">
        <v>975</v>
      </c>
      <c r="G101" s="358">
        <f>ROUND(B101/1000,0)</f>
        <v>0</v>
      </c>
      <c r="H101" s="358">
        <f>ROUND(C101/1000,0)</f>
        <v>0</v>
      </c>
      <c r="I101" s="360"/>
      <c r="J101" s="358">
        <f>ROUND(E101/1000,0)</f>
        <v>0</v>
      </c>
      <c r="K101" s="797">
        <f t="shared" si="2"/>
        <v>0</v>
      </c>
      <c r="L101" s="797">
        <f>'[19]oktobris'!H101</f>
        <v>0</v>
      </c>
      <c r="M101" s="789">
        <f t="shared" si="3"/>
        <v>0</v>
      </c>
    </row>
    <row r="102" spans="1:13" ht="12.75" customHeight="1">
      <c r="A102" s="106" t="s">
        <v>976</v>
      </c>
      <c r="B102" s="356"/>
      <c r="C102" s="356"/>
      <c r="D102" s="354" t="e">
        <f>C102/B102*100</f>
        <v>#DIV/0!</v>
      </c>
      <c r="E102" s="356">
        <f>C102-'[19]oktobris'!C102</f>
        <v>0</v>
      </c>
      <c r="F102" s="106" t="s">
        <v>976</v>
      </c>
      <c r="G102" s="358">
        <f>ROUND(B102/1000,0)</f>
        <v>0</v>
      </c>
      <c r="H102" s="358">
        <f>ROUND(C102/1000,0)</f>
        <v>0</v>
      </c>
      <c r="I102" s="360"/>
      <c r="J102" s="358">
        <f>ROUND(E102/1000,0)</f>
        <v>0</v>
      </c>
      <c r="K102" s="797">
        <f t="shared" si="2"/>
        <v>0</v>
      </c>
      <c r="L102" s="797">
        <f>'[19]oktobris'!H102</f>
        <v>0</v>
      </c>
      <c r="M102" s="789">
        <f t="shared" si="3"/>
        <v>0</v>
      </c>
    </row>
    <row r="103" spans="1:13" ht="12.75" customHeight="1">
      <c r="A103" s="209" t="s">
        <v>1017</v>
      </c>
      <c r="B103" s="356"/>
      <c r="C103" s="356"/>
      <c r="D103" s="354"/>
      <c r="E103" s="356"/>
      <c r="F103" s="209" t="s">
        <v>1017</v>
      </c>
      <c r="G103" s="356"/>
      <c r="H103" s="356"/>
      <c r="I103" s="354"/>
      <c r="J103" s="358"/>
      <c r="K103" s="797">
        <f t="shared" si="2"/>
        <v>0</v>
      </c>
      <c r="L103" s="797">
        <f>'[19]oktobris'!H103</f>
        <v>0</v>
      </c>
      <c r="M103" s="789">
        <f t="shared" si="3"/>
        <v>0</v>
      </c>
    </row>
    <row r="104" spans="1:13" ht="12.75" customHeight="1">
      <c r="A104" s="357" t="s">
        <v>73</v>
      </c>
      <c r="B104" s="356"/>
      <c r="C104" s="356"/>
      <c r="D104" s="354" t="e">
        <f>C104/B104*100</f>
        <v>#DIV/0!</v>
      </c>
      <c r="E104" s="356">
        <f>C104-'[19]oktobris'!C104</f>
        <v>0</v>
      </c>
      <c r="F104" s="357" t="s">
        <v>73</v>
      </c>
      <c r="G104" s="356">
        <f>ROUND(B104/1000,0)</f>
        <v>0</v>
      </c>
      <c r="H104" s="356">
        <f>ROUND(C104/1000,0)</f>
        <v>0</v>
      </c>
      <c r="I104" s="359"/>
      <c r="J104" s="358">
        <f>ROUND(E104/1000,0)</f>
        <v>0</v>
      </c>
      <c r="K104" s="797">
        <f t="shared" si="2"/>
        <v>0</v>
      </c>
      <c r="L104" s="797">
        <f>'[19]oktobris'!H104</f>
        <v>0</v>
      </c>
      <c r="M104" s="789">
        <f t="shared" si="3"/>
        <v>0</v>
      </c>
    </row>
    <row r="105" spans="1:13" ht="12.75" customHeight="1">
      <c r="A105" s="98" t="s">
        <v>217</v>
      </c>
      <c r="B105" s="356">
        <f>SUM(B106:B107)</f>
        <v>0</v>
      </c>
      <c r="C105" s="356">
        <f>SUM(C106:C107)</f>
        <v>0</v>
      </c>
      <c r="D105" s="354" t="e">
        <f>C105/B105*100</f>
        <v>#DIV/0!</v>
      </c>
      <c r="E105" s="356">
        <f>E106+E107</f>
        <v>0</v>
      </c>
      <c r="F105" s="98" t="s">
        <v>217</v>
      </c>
      <c r="G105" s="356">
        <f>SUM(G106:G107)</f>
        <v>0</v>
      </c>
      <c r="H105" s="356">
        <f>SUM(H106:H107)</f>
        <v>0</v>
      </c>
      <c r="I105" s="359"/>
      <c r="J105" s="358">
        <f>SUM(J106:J107)</f>
        <v>0</v>
      </c>
      <c r="K105" s="797">
        <f t="shared" si="2"/>
        <v>0</v>
      </c>
      <c r="L105" s="797">
        <f>'[19]oktobris'!H105</f>
        <v>0</v>
      </c>
      <c r="M105" s="789">
        <f t="shared" si="3"/>
        <v>0</v>
      </c>
    </row>
    <row r="106" spans="1:13" ht="12.75" customHeight="1">
      <c r="A106" s="106" t="s">
        <v>975</v>
      </c>
      <c r="B106" s="356"/>
      <c r="C106" s="356"/>
      <c r="D106" s="354" t="e">
        <f>C106/B106*100</f>
        <v>#DIV/0!</v>
      </c>
      <c r="E106" s="356">
        <f>C106-'[19]oktobris'!C106</f>
        <v>0</v>
      </c>
      <c r="F106" s="106" t="s">
        <v>975</v>
      </c>
      <c r="G106" s="358">
        <f>ROUND(B106/1000,0)</f>
        <v>0</v>
      </c>
      <c r="H106" s="358">
        <f>ROUND(C106/1000,0)</f>
        <v>0</v>
      </c>
      <c r="I106" s="360"/>
      <c r="J106" s="358">
        <f>ROUND(E106/1000,0)</f>
        <v>0</v>
      </c>
      <c r="K106" s="797">
        <f t="shared" si="2"/>
        <v>0</v>
      </c>
      <c r="L106" s="797">
        <f>'[19]oktobris'!H106</f>
        <v>0</v>
      </c>
      <c r="M106" s="789">
        <f t="shared" si="3"/>
        <v>0</v>
      </c>
    </row>
    <row r="107" spans="1:13" ht="12.75" customHeight="1">
      <c r="A107" s="106" t="s">
        <v>976</v>
      </c>
      <c r="B107" s="358"/>
      <c r="C107" s="358"/>
      <c r="D107" s="354" t="e">
        <f>C107/B107*100</f>
        <v>#DIV/0!</v>
      </c>
      <c r="E107" s="358">
        <f>C107-'[19]oktobris'!C107</f>
        <v>0</v>
      </c>
      <c r="F107" s="106" t="s">
        <v>976</v>
      </c>
      <c r="G107" s="358">
        <f>ROUND(B107/1000,0)</f>
        <v>0</v>
      </c>
      <c r="H107" s="358">
        <f>ROUND(C107/1000,0)</f>
        <v>0</v>
      </c>
      <c r="I107" s="360"/>
      <c r="J107" s="358">
        <f>ROUND(E107/1000,0)</f>
        <v>0</v>
      </c>
      <c r="K107" s="797">
        <f t="shared" si="2"/>
        <v>0</v>
      </c>
      <c r="L107" s="797">
        <f>'[19]oktobris'!H107</f>
        <v>0</v>
      </c>
      <c r="M107" s="789">
        <f t="shared" si="3"/>
        <v>0</v>
      </c>
    </row>
    <row r="108" spans="1:13" ht="12.75" customHeight="1">
      <c r="A108" s="209" t="s">
        <v>1019</v>
      </c>
      <c r="B108" s="358"/>
      <c r="C108" s="358"/>
      <c r="D108" s="354"/>
      <c r="E108" s="358"/>
      <c r="F108" s="209" t="s">
        <v>1019</v>
      </c>
      <c r="G108" s="356"/>
      <c r="H108" s="356"/>
      <c r="I108" s="354"/>
      <c r="J108" s="358"/>
      <c r="K108" s="797">
        <f t="shared" si="2"/>
        <v>0</v>
      </c>
      <c r="L108" s="797">
        <f>'[19]oktobris'!H108</f>
        <v>0</v>
      </c>
      <c r="M108" s="789">
        <f t="shared" si="3"/>
        <v>0</v>
      </c>
    </row>
    <row r="109" spans="1:13" ht="12.75" customHeight="1">
      <c r="A109" s="357" t="s">
        <v>73</v>
      </c>
      <c r="B109" s="358"/>
      <c r="C109" s="358"/>
      <c r="D109" s="354" t="e">
        <f>C109/B109*100</f>
        <v>#DIV/0!</v>
      </c>
      <c r="E109" s="358">
        <f>C109-'[19]oktobris'!C109</f>
        <v>0</v>
      </c>
      <c r="F109" s="357" t="s">
        <v>73</v>
      </c>
      <c r="G109" s="356">
        <f>ROUND(B109/1000,0)</f>
        <v>0</v>
      </c>
      <c r="H109" s="356">
        <f>ROUND(C109/1000,0)</f>
        <v>0</v>
      </c>
      <c r="I109" s="359"/>
      <c r="J109" s="358">
        <f>ROUND(E109/1000,0)</f>
        <v>0</v>
      </c>
      <c r="K109" s="797">
        <f t="shared" si="2"/>
        <v>0</v>
      </c>
      <c r="L109" s="797">
        <f>'[19]oktobris'!H109</f>
        <v>0</v>
      </c>
      <c r="M109" s="789">
        <f t="shared" si="3"/>
        <v>0</v>
      </c>
    </row>
    <row r="110" spans="1:13" ht="12.75" customHeight="1">
      <c r="A110" s="98" t="s">
        <v>217</v>
      </c>
      <c r="B110" s="356">
        <f>SUM(B111:B112)</f>
        <v>0</v>
      </c>
      <c r="C110" s="356">
        <f>SUM(C111:C112)</f>
        <v>0</v>
      </c>
      <c r="D110" s="354" t="e">
        <f>C110/B110*100</f>
        <v>#DIV/0!</v>
      </c>
      <c r="E110" s="356">
        <f>E111+E112</f>
        <v>0</v>
      </c>
      <c r="F110" s="98" t="s">
        <v>217</v>
      </c>
      <c r="G110" s="356">
        <f>SUM(G111:G112)</f>
        <v>0</v>
      </c>
      <c r="H110" s="356">
        <f>SUM(H111:H112)</f>
        <v>0</v>
      </c>
      <c r="I110" s="359"/>
      <c r="J110" s="358">
        <f>SUM(J111:J112)</f>
        <v>0</v>
      </c>
      <c r="K110" s="797">
        <f t="shared" si="2"/>
        <v>0</v>
      </c>
      <c r="L110" s="797">
        <f>'[19]oktobris'!H110</f>
        <v>0</v>
      </c>
      <c r="M110" s="789">
        <f t="shared" si="3"/>
        <v>0</v>
      </c>
    </row>
    <row r="111" spans="1:13" ht="12.75" customHeight="1">
      <c r="A111" s="106" t="s">
        <v>975</v>
      </c>
      <c r="B111" s="356"/>
      <c r="C111" s="362"/>
      <c r="D111" s="354" t="e">
        <f>C111/B111*100</f>
        <v>#DIV/0!</v>
      </c>
      <c r="E111" s="362">
        <f>C111-'[19]oktobris'!C111</f>
        <v>0</v>
      </c>
      <c r="F111" s="106" t="s">
        <v>975</v>
      </c>
      <c r="G111" s="358">
        <f>ROUND(B111/1000,0)</f>
        <v>0</v>
      </c>
      <c r="H111" s="358">
        <f>ROUND(C111/1000,0)</f>
        <v>0</v>
      </c>
      <c r="I111" s="360"/>
      <c r="J111" s="358">
        <f>ROUND(E111/1000,0)</f>
        <v>0</v>
      </c>
      <c r="K111" s="797">
        <f t="shared" si="2"/>
        <v>0</v>
      </c>
      <c r="L111" s="797">
        <f>'[19]oktobris'!H111</f>
        <v>0</v>
      </c>
      <c r="M111" s="789">
        <f t="shared" si="3"/>
        <v>0</v>
      </c>
    </row>
    <row r="112" spans="1:13" ht="12.75" customHeight="1">
      <c r="A112" s="106" t="s">
        <v>976</v>
      </c>
      <c r="B112" s="356"/>
      <c r="C112" s="362"/>
      <c r="D112" s="354" t="e">
        <f>C112/B112*100</f>
        <v>#DIV/0!</v>
      </c>
      <c r="E112" s="362">
        <f>C112-'[19]oktobris'!C112</f>
        <v>0</v>
      </c>
      <c r="F112" s="106" t="s">
        <v>976</v>
      </c>
      <c r="G112" s="358">
        <f>ROUND(B112/1000,0)</f>
        <v>0</v>
      </c>
      <c r="H112" s="358">
        <f>ROUND(C112/1000,0)</f>
        <v>0</v>
      </c>
      <c r="I112" s="360"/>
      <c r="J112" s="358">
        <f>ROUND(E112/1000,0)</f>
        <v>0</v>
      </c>
      <c r="K112" s="797">
        <f t="shared" si="2"/>
        <v>0</v>
      </c>
      <c r="L112" s="797">
        <f>'[19]oktobris'!H112</f>
        <v>0</v>
      </c>
      <c r="M112" s="789">
        <f t="shared" si="3"/>
        <v>0</v>
      </c>
    </row>
    <row r="113" spans="1:13" ht="12.75" customHeight="1">
      <c r="A113" s="754" t="s">
        <v>1021</v>
      </c>
      <c r="B113" s="356"/>
      <c r="C113" s="362"/>
      <c r="D113" s="354"/>
      <c r="E113" s="362"/>
      <c r="F113" s="209" t="s">
        <v>1021</v>
      </c>
      <c r="G113" s="356"/>
      <c r="H113" s="356"/>
      <c r="I113" s="354"/>
      <c r="J113" s="358"/>
      <c r="K113" s="797">
        <f t="shared" si="2"/>
        <v>0</v>
      </c>
      <c r="L113" s="797">
        <f>'[19]oktobris'!H113</f>
        <v>0</v>
      </c>
      <c r="M113" s="789">
        <f t="shared" si="3"/>
        <v>0</v>
      </c>
    </row>
    <row r="114" spans="1:13" ht="12.75" customHeight="1">
      <c r="A114" s="357" t="s">
        <v>73</v>
      </c>
      <c r="B114" s="356"/>
      <c r="C114" s="362"/>
      <c r="D114" s="354" t="e">
        <f>C114/B114*100</f>
        <v>#DIV/0!</v>
      </c>
      <c r="E114" s="362">
        <f>C114-'[19]oktobris'!C114</f>
        <v>0</v>
      </c>
      <c r="F114" s="357" t="s">
        <v>73</v>
      </c>
      <c r="G114" s="356">
        <f>ROUND(B114/1000,0)</f>
        <v>0</v>
      </c>
      <c r="H114" s="356">
        <f>ROUND(C114/1000,0)</f>
        <v>0</v>
      </c>
      <c r="I114" s="359"/>
      <c r="J114" s="358">
        <f>ROUND(E114/1000,0)</f>
        <v>0</v>
      </c>
      <c r="K114" s="797">
        <f t="shared" si="2"/>
        <v>0</v>
      </c>
      <c r="L114" s="797">
        <f>'[19]oktobris'!H114</f>
        <v>0</v>
      </c>
      <c r="M114" s="789">
        <f t="shared" si="3"/>
        <v>0</v>
      </c>
    </row>
    <row r="115" spans="1:13" ht="12.75" customHeight="1">
      <c r="A115" s="98" t="s">
        <v>217</v>
      </c>
      <c r="B115" s="356">
        <f>SUM(B116:B117)</f>
        <v>0</v>
      </c>
      <c r="C115" s="356">
        <f>SUM(C116:C117)</f>
        <v>0</v>
      </c>
      <c r="D115" s="354" t="e">
        <f>C115/B115*100</f>
        <v>#DIV/0!</v>
      </c>
      <c r="E115" s="356">
        <f>E116+E117</f>
        <v>0</v>
      </c>
      <c r="F115" s="98" t="s">
        <v>217</v>
      </c>
      <c r="G115" s="356">
        <f>SUM(G116:G117)</f>
        <v>0</v>
      </c>
      <c r="H115" s="356">
        <f>SUM(H116:H117)</f>
        <v>0</v>
      </c>
      <c r="I115" s="359"/>
      <c r="J115" s="358">
        <f>SUM(J116:J117)</f>
        <v>0</v>
      </c>
      <c r="K115" s="797">
        <f t="shared" si="2"/>
        <v>0</v>
      </c>
      <c r="L115" s="797">
        <f>'[19]oktobris'!H115</f>
        <v>0</v>
      </c>
      <c r="M115" s="789">
        <f t="shared" si="3"/>
        <v>0</v>
      </c>
    </row>
    <row r="116" spans="1:13" ht="12.75" customHeight="1">
      <c r="A116" s="106" t="s">
        <v>975</v>
      </c>
      <c r="B116" s="358"/>
      <c r="C116" s="358"/>
      <c r="D116" s="354" t="e">
        <f>C116/B116*100</f>
        <v>#DIV/0!</v>
      </c>
      <c r="E116" s="358">
        <f>C116-'[19]oktobris'!C116</f>
        <v>0</v>
      </c>
      <c r="F116" s="106" t="s">
        <v>975</v>
      </c>
      <c r="G116" s="358">
        <f>ROUND(B116/1000,0)</f>
        <v>0</v>
      </c>
      <c r="H116" s="358">
        <f>ROUND(C116/1000,0)</f>
        <v>0</v>
      </c>
      <c r="I116" s="360"/>
      <c r="J116" s="358">
        <f>ROUND(E116/1000,0)</f>
        <v>0</v>
      </c>
      <c r="K116" s="797">
        <f t="shared" si="2"/>
        <v>0</v>
      </c>
      <c r="L116" s="797">
        <f>'[19]oktobris'!H116</f>
        <v>0</v>
      </c>
      <c r="M116" s="789">
        <f t="shared" si="3"/>
        <v>0</v>
      </c>
    </row>
    <row r="117" spans="1:13" ht="12.75" customHeight="1">
      <c r="A117" s="106" t="s">
        <v>976</v>
      </c>
      <c r="B117" s="358"/>
      <c r="C117" s="358"/>
      <c r="D117" s="354" t="e">
        <f>C117/B117*100</f>
        <v>#DIV/0!</v>
      </c>
      <c r="E117" s="358">
        <f>C117-'[19]oktobris'!C117</f>
        <v>0</v>
      </c>
      <c r="F117" s="106" t="s">
        <v>976</v>
      </c>
      <c r="G117" s="358">
        <f>ROUND(B117/1000,0)</f>
        <v>0</v>
      </c>
      <c r="H117" s="358">
        <f>ROUND(C117/1000,0)</f>
        <v>0</v>
      </c>
      <c r="I117" s="360"/>
      <c r="J117" s="358">
        <f>ROUND(E117/1000,0)</f>
        <v>0</v>
      </c>
      <c r="K117" s="797">
        <f t="shared" si="2"/>
        <v>0</v>
      </c>
      <c r="L117" s="797">
        <f>'[19]oktobris'!H117</f>
        <v>0</v>
      </c>
      <c r="M117" s="789">
        <f t="shared" si="3"/>
        <v>0</v>
      </c>
    </row>
    <row r="118" spans="1:13" ht="12.75" customHeight="1">
      <c r="A118" s="92" t="s">
        <v>1023</v>
      </c>
      <c r="B118" s="356"/>
      <c r="C118" s="356"/>
      <c r="D118" s="354"/>
      <c r="E118" s="356"/>
      <c r="F118" s="209" t="s">
        <v>1023</v>
      </c>
      <c r="G118" s="356"/>
      <c r="H118" s="356"/>
      <c r="I118" s="354"/>
      <c r="J118" s="358"/>
      <c r="K118" s="797">
        <f t="shared" si="2"/>
        <v>0</v>
      </c>
      <c r="L118" s="797">
        <f>'[19]oktobris'!H118</f>
        <v>0</v>
      </c>
      <c r="M118" s="789">
        <f t="shared" si="3"/>
        <v>0</v>
      </c>
    </row>
    <row r="119" spans="1:13" ht="12.75" customHeight="1">
      <c r="A119" s="357" t="s">
        <v>73</v>
      </c>
      <c r="B119" s="358"/>
      <c r="C119" s="358"/>
      <c r="D119" s="354" t="e">
        <f>C119/B119*100</f>
        <v>#DIV/0!</v>
      </c>
      <c r="E119" s="358">
        <f>C119-'[19]oktobris'!C119</f>
        <v>0</v>
      </c>
      <c r="F119" s="357" t="s">
        <v>73</v>
      </c>
      <c r="G119" s="356">
        <f>ROUND(B119/1000,0)</f>
        <v>0</v>
      </c>
      <c r="H119" s="356">
        <f>ROUND(C119/1000,0)</f>
        <v>0</v>
      </c>
      <c r="I119" s="359"/>
      <c r="J119" s="358">
        <f>ROUND(E119/1000,0)</f>
        <v>0</v>
      </c>
      <c r="K119" s="797">
        <f t="shared" si="2"/>
        <v>0</v>
      </c>
      <c r="L119" s="797">
        <f>'[19]oktobris'!H119</f>
        <v>0</v>
      </c>
      <c r="M119" s="789">
        <f t="shared" si="3"/>
        <v>0</v>
      </c>
    </row>
    <row r="120" spans="1:13" ht="12.75" customHeight="1">
      <c r="A120" s="98" t="s">
        <v>217</v>
      </c>
      <c r="B120" s="356">
        <f>SUM(B121:B122)</f>
        <v>0</v>
      </c>
      <c r="C120" s="356">
        <f>SUM(C121:C122)</f>
        <v>0</v>
      </c>
      <c r="D120" s="354" t="e">
        <f>C120/B120*100</f>
        <v>#DIV/0!</v>
      </c>
      <c r="E120" s="356">
        <f>E121+E122</f>
        <v>0</v>
      </c>
      <c r="F120" s="98" t="s">
        <v>217</v>
      </c>
      <c r="G120" s="356">
        <f>SUM(G121:G122)</f>
        <v>0</v>
      </c>
      <c r="H120" s="356">
        <f>SUM(H121:H122)</f>
        <v>0</v>
      </c>
      <c r="I120" s="359"/>
      <c r="J120" s="358">
        <f>SUM(J121:J122)</f>
        <v>0</v>
      </c>
      <c r="K120" s="797">
        <f t="shared" si="2"/>
        <v>0</v>
      </c>
      <c r="L120" s="797">
        <f>'[19]oktobris'!H120</f>
        <v>0</v>
      </c>
      <c r="M120" s="789">
        <f t="shared" si="3"/>
        <v>0</v>
      </c>
    </row>
    <row r="121" spans="1:13" ht="12.75" customHeight="1">
      <c r="A121" s="106" t="s">
        <v>975</v>
      </c>
      <c r="B121" s="358"/>
      <c r="C121" s="358"/>
      <c r="D121" s="354" t="e">
        <f>C121/B121*100</f>
        <v>#DIV/0!</v>
      </c>
      <c r="E121" s="358">
        <f>C121-'[19]oktobris'!C121</f>
        <v>0</v>
      </c>
      <c r="F121" s="106" t="s">
        <v>975</v>
      </c>
      <c r="G121" s="358">
        <f>ROUND(B121/1000,0)</f>
        <v>0</v>
      </c>
      <c r="H121" s="358">
        <f>ROUND(C121/1000,0)</f>
        <v>0</v>
      </c>
      <c r="I121" s="360"/>
      <c r="J121" s="358">
        <f>ROUND(E121/1000,0)</f>
        <v>0</v>
      </c>
      <c r="K121" s="797">
        <f t="shared" si="2"/>
        <v>0</v>
      </c>
      <c r="L121" s="797">
        <f>'[19]oktobris'!H121</f>
        <v>0</v>
      </c>
      <c r="M121" s="789">
        <f t="shared" si="3"/>
        <v>0</v>
      </c>
    </row>
    <row r="122" spans="1:13" ht="12.75" customHeight="1">
      <c r="A122" s="106" t="s">
        <v>976</v>
      </c>
      <c r="B122" s="358"/>
      <c r="C122" s="358"/>
      <c r="D122" s="354" t="e">
        <f>C122/B122*100</f>
        <v>#DIV/0!</v>
      </c>
      <c r="E122" s="358">
        <f>C122-'[19]oktobris'!C122</f>
        <v>0</v>
      </c>
      <c r="F122" s="106" t="s">
        <v>976</v>
      </c>
      <c r="G122" s="358">
        <f>ROUND(B122/1000,0)</f>
        <v>0</v>
      </c>
      <c r="H122" s="358">
        <f>ROUND(C122/1000,0)</f>
        <v>0</v>
      </c>
      <c r="I122" s="360"/>
      <c r="J122" s="358">
        <f>ROUND(E122/1000,0)</f>
        <v>0</v>
      </c>
      <c r="K122" s="797">
        <f t="shared" si="2"/>
        <v>0</v>
      </c>
      <c r="L122" s="797">
        <f>'[19]oktobris'!H122</f>
        <v>0</v>
      </c>
      <c r="M122" s="789">
        <f t="shared" si="3"/>
        <v>0</v>
      </c>
    </row>
    <row r="123" spans="1:13" ht="12.75" customHeight="1">
      <c r="A123" s="92" t="s">
        <v>1025</v>
      </c>
      <c r="B123" s="356"/>
      <c r="C123" s="356"/>
      <c r="D123" s="354"/>
      <c r="E123" s="356"/>
      <c r="F123" s="209" t="s">
        <v>1025</v>
      </c>
      <c r="G123" s="356"/>
      <c r="H123" s="356"/>
      <c r="I123" s="354"/>
      <c r="J123" s="358"/>
      <c r="K123" s="797">
        <f t="shared" si="2"/>
        <v>0</v>
      </c>
      <c r="L123" s="797">
        <f>'[19]oktobris'!H123</f>
        <v>0</v>
      </c>
      <c r="M123" s="789">
        <f t="shared" si="3"/>
        <v>0</v>
      </c>
    </row>
    <row r="124" spans="1:13" ht="12.75" customHeight="1">
      <c r="A124" s="357" t="s">
        <v>73</v>
      </c>
      <c r="B124" s="356"/>
      <c r="C124" s="356"/>
      <c r="D124" s="354" t="e">
        <f>C124/B124*100</f>
        <v>#DIV/0!</v>
      </c>
      <c r="E124" s="356">
        <f>C124-'[19]oktobris'!C124</f>
        <v>0</v>
      </c>
      <c r="F124" s="357" t="s">
        <v>73</v>
      </c>
      <c r="G124" s="356">
        <f>ROUND(B124/1000,0)</f>
        <v>0</v>
      </c>
      <c r="H124" s="356">
        <f>ROUND(C124/1000,0)</f>
        <v>0</v>
      </c>
      <c r="I124" s="359"/>
      <c r="J124" s="358">
        <f>ROUND(E124/1000,0)</f>
        <v>0</v>
      </c>
      <c r="K124" s="797">
        <f t="shared" si="2"/>
        <v>0</v>
      </c>
      <c r="L124" s="797">
        <f>'[19]oktobris'!H124</f>
        <v>0</v>
      </c>
      <c r="M124" s="789">
        <f t="shared" si="3"/>
        <v>0</v>
      </c>
    </row>
    <row r="125" spans="1:13" ht="12.75" customHeight="1">
      <c r="A125" s="98" t="s">
        <v>217</v>
      </c>
      <c r="B125" s="356">
        <f>SUM(B126:B127)</f>
        <v>0</v>
      </c>
      <c r="C125" s="356">
        <f>SUM(C126:C127)</f>
        <v>0</v>
      </c>
      <c r="D125" s="354" t="e">
        <f>C125/B125*100</f>
        <v>#DIV/0!</v>
      </c>
      <c r="E125" s="356">
        <f>E126+E127</f>
        <v>0</v>
      </c>
      <c r="F125" s="98" t="s">
        <v>217</v>
      </c>
      <c r="G125" s="356">
        <f>SUM(G126:G127)</f>
        <v>0</v>
      </c>
      <c r="H125" s="356">
        <f>SUM(H126:H127)</f>
        <v>0</v>
      </c>
      <c r="I125" s="359"/>
      <c r="J125" s="358">
        <f>SUM(J126:J127)</f>
        <v>0</v>
      </c>
      <c r="K125" s="797">
        <f t="shared" si="2"/>
        <v>0</v>
      </c>
      <c r="L125" s="797">
        <f>'[19]oktobris'!H125</f>
        <v>0</v>
      </c>
      <c r="M125" s="789">
        <f t="shared" si="3"/>
        <v>0</v>
      </c>
    </row>
    <row r="126" spans="1:13" ht="12.75" customHeight="1">
      <c r="A126" s="106" t="s">
        <v>975</v>
      </c>
      <c r="B126" s="356"/>
      <c r="C126" s="356"/>
      <c r="D126" s="354" t="e">
        <f>C126/B126*100</f>
        <v>#DIV/0!</v>
      </c>
      <c r="E126" s="356">
        <f>C126-'[19]oktobris'!C126</f>
        <v>0</v>
      </c>
      <c r="F126" s="106" t="s">
        <v>975</v>
      </c>
      <c r="G126" s="358">
        <f>ROUND(B126/1000,0)</f>
        <v>0</v>
      </c>
      <c r="H126" s="358">
        <f>ROUND(C126/1000,0)</f>
        <v>0</v>
      </c>
      <c r="I126" s="360"/>
      <c r="J126" s="358">
        <f>ROUND(E126/1000,0)</f>
        <v>0</v>
      </c>
      <c r="K126" s="797">
        <f t="shared" si="2"/>
        <v>0</v>
      </c>
      <c r="L126" s="797">
        <f>'[19]oktobris'!H126</f>
        <v>0</v>
      </c>
      <c r="M126" s="789">
        <f t="shared" si="3"/>
        <v>0</v>
      </c>
    </row>
    <row r="127" spans="1:13" ht="12.75" customHeight="1">
      <c r="A127" s="106" t="s">
        <v>976</v>
      </c>
      <c r="B127" s="356"/>
      <c r="C127" s="356"/>
      <c r="D127" s="354" t="e">
        <f>C127/B127*100</f>
        <v>#DIV/0!</v>
      </c>
      <c r="E127" s="356">
        <f>C127-'[19]oktobris'!C127</f>
        <v>0</v>
      </c>
      <c r="F127" s="106" t="s">
        <v>976</v>
      </c>
      <c r="G127" s="358">
        <f>ROUND(B127/1000,0)</f>
        <v>0</v>
      </c>
      <c r="H127" s="358">
        <f>ROUND(C127/1000,0)</f>
        <v>0</v>
      </c>
      <c r="I127" s="360"/>
      <c r="J127" s="358">
        <f>ROUND(E127/1000,0)</f>
        <v>0</v>
      </c>
      <c r="K127" s="797">
        <f t="shared" si="2"/>
        <v>0</v>
      </c>
      <c r="L127" s="797">
        <f>'[19]oktobris'!H127</f>
        <v>0</v>
      </c>
      <c r="M127" s="789">
        <f t="shared" si="3"/>
        <v>0</v>
      </c>
    </row>
    <row r="128" spans="1:13" ht="12.75" customHeight="1">
      <c r="A128" s="209" t="s">
        <v>1026</v>
      </c>
      <c r="B128" s="356"/>
      <c r="C128" s="356"/>
      <c r="D128" s="354"/>
      <c r="E128" s="356"/>
      <c r="F128" s="209" t="s">
        <v>1026</v>
      </c>
      <c r="G128" s="356"/>
      <c r="H128" s="356"/>
      <c r="I128" s="354"/>
      <c r="J128" s="358"/>
      <c r="K128" s="797">
        <f t="shared" si="2"/>
        <v>0</v>
      </c>
      <c r="L128" s="797">
        <f>'[19]oktobris'!H128</f>
        <v>0</v>
      </c>
      <c r="M128" s="789">
        <f t="shared" si="3"/>
        <v>0</v>
      </c>
    </row>
    <row r="129" spans="1:13" ht="12.75" customHeight="1">
      <c r="A129" s="357" t="s">
        <v>73</v>
      </c>
      <c r="B129" s="356"/>
      <c r="C129" s="356"/>
      <c r="D129" s="354" t="e">
        <f>C129/B129*100</f>
        <v>#DIV/0!</v>
      </c>
      <c r="E129" s="356">
        <f>C129-'[19]oktobris'!C129</f>
        <v>0</v>
      </c>
      <c r="F129" s="357" t="s">
        <v>73</v>
      </c>
      <c r="G129" s="356">
        <f>ROUND(B129/1000,0)</f>
        <v>0</v>
      </c>
      <c r="H129" s="356">
        <f>ROUND(C129/1000,0)</f>
        <v>0</v>
      </c>
      <c r="I129" s="359"/>
      <c r="J129" s="358">
        <f>ROUND(E129/1000,0)</f>
        <v>0</v>
      </c>
      <c r="K129" s="797">
        <f t="shared" si="2"/>
        <v>0</v>
      </c>
      <c r="L129" s="797">
        <f>'[19]oktobris'!H129</f>
        <v>0</v>
      </c>
      <c r="M129" s="789">
        <f t="shared" si="3"/>
        <v>0</v>
      </c>
    </row>
    <row r="130" spans="1:13" ht="12.75" customHeight="1">
      <c r="A130" s="98" t="s">
        <v>217</v>
      </c>
      <c r="B130" s="356">
        <f>SUM(B131:B132)</f>
        <v>0</v>
      </c>
      <c r="C130" s="356">
        <f>SUM(C131:C132)</f>
        <v>0</v>
      </c>
      <c r="D130" s="354" t="e">
        <f>C130/B130*100</f>
        <v>#DIV/0!</v>
      </c>
      <c r="E130" s="356">
        <f>E131+E132</f>
        <v>0</v>
      </c>
      <c r="F130" s="98" t="s">
        <v>217</v>
      </c>
      <c r="G130" s="356">
        <f>SUM(G131:G132)</f>
        <v>0</v>
      </c>
      <c r="H130" s="356">
        <f>SUM(H131:H132)</f>
        <v>0</v>
      </c>
      <c r="I130" s="359"/>
      <c r="J130" s="358">
        <f>SUM(J131:J132)</f>
        <v>0</v>
      </c>
      <c r="K130" s="797">
        <f t="shared" si="2"/>
        <v>0</v>
      </c>
      <c r="L130" s="797">
        <f>'[19]oktobris'!H130</f>
        <v>0</v>
      </c>
      <c r="M130" s="789">
        <f t="shared" si="3"/>
        <v>0</v>
      </c>
    </row>
    <row r="131" spans="1:13" ht="12.75" customHeight="1">
      <c r="A131" s="106" t="s">
        <v>975</v>
      </c>
      <c r="B131" s="356"/>
      <c r="C131" s="356"/>
      <c r="D131" s="354" t="e">
        <f>C131/B131*100</f>
        <v>#DIV/0!</v>
      </c>
      <c r="E131" s="356">
        <f>C131-'[19]oktobris'!C131</f>
        <v>0</v>
      </c>
      <c r="F131" s="106" t="s">
        <v>975</v>
      </c>
      <c r="G131" s="358">
        <f>ROUND(B131/1000,0)</f>
        <v>0</v>
      </c>
      <c r="H131" s="358">
        <f>ROUND(C131/1000,0)</f>
        <v>0</v>
      </c>
      <c r="I131" s="360"/>
      <c r="J131" s="358">
        <f>ROUND(E131/1000,0)</f>
        <v>0</v>
      </c>
      <c r="K131" s="797">
        <f t="shared" si="2"/>
        <v>0</v>
      </c>
      <c r="L131" s="797">
        <f>'[19]oktobris'!H131</f>
        <v>0</v>
      </c>
      <c r="M131" s="789">
        <f t="shared" si="3"/>
        <v>0</v>
      </c>
    </row>
    <row r="132" spans="1:13" ht="12.75" customHeight="1">
      <c r="A132" s="106" t="s">
        <v>976</v>
      </c>
      <c r="B132" s="358"/>
      <c r="C132" s="358"/>
      <c r="D132" s="354" t="e">
        <f>C132/B132*100</f>
        <v>#DIV/0!</v>
      </c>
      <c r="E132" s="358">
        <f>C132-'[19]oktobris'!C132</f>
        <v>0</v>
      </c>
      <c r="F132" s="106" t="s">
        <v>976</v>
      </c>
      <c r="G132" s="358">
        <f>ROUND(B132/1000,0)</f>
        <v>0</v>
      </c>
      <c r="H132" s="358">
        <f>ROUND(C132/1000,0)</f>
        <v>0</v>
      </c>
      <c r="I132" s="360"/>
      <c r="J132" s="358">
        <f>ROUND(E132/1000,0)</f>
        <v>0</v>
      </c>
      <c r="K132" s="797">
        <f t="shared" si="2"/>
        <v>0</v>
      </c>
      <c r="L132" s="797">
        <f>'[19]oktobris'!H132</f>
        <v>0</v>
      </c>
      <c r="M132" s="789">
        <f t="shared" si="3"/>
        <v>0</v>
      </c>
    </row>
    <row r="133" spans="1:13" ht="12.75" customHeight="1">
      <c r="A133" s="92" t="s">
        <v>1028</v>
      </c>
      <c r="B133" s="358"/>
      <c r="C133" s="358"/>
      <c r="D133" s="354"/>
      <c r="E133" s="358"/>
      <c r="F133" s="209" t="s">
        <v>1028</v>
      </c>
      <c r="G133" s="356"/>
      <c r="H133" s="356"/>
      <c r="I133" s="354"/>
      <c r="J133" s="358"/>
      <c r="K133" s="797">
        <f t="shared" si="2"/>
        <v>0</v>
      </c>
      <c r="L133" s="797">
        <f>'[19]oktobris'!H133</f>
        <v>0</v>
      </c>
      <c r="M133" s="789">
        <f t="shared" si="3"/>
        <v>0</v>
      </c>
    </row>
    <row r="134" spans="1:13" ht="12.75" customHeight="1">
      <c r="A134" s="357" t="s">
        <v>73</v>
      </c>
      <c r="B134" s="356"/>
      <c r="C134" s="356"/>
      <c r="D134" s="354" t="e">
        <f>C134/B134*100</f>
        <v>#DIV/0!</v>
      </c>
      <c r="E134" s="356">
        <f>C134-'[19]oktobris'!C134</f>
        <v>0</v>
      </c>
      <c r="F134" s="357" t="s">
        <v>73</v>
      </c>
      <c r="G134" s="356">
        <f>ROUND(B134/1000,0)</f>
        <v>0</v>
      </c>
      <c r="H134" s="356">
        <f>ROUND(C134/1000,0)</f>
        <v>0</v>
      </c>
      <c r="I134" s="359"/>
      <c r="J134" s="358">
        <f>ROUND(E134/1000,0)</f>
        <v>0</v>
      </c>
      <c r="K134" s="797">
        <f t="shared" si="2"/>
        <v>0</v>
      </c>
      <c r="L134" s="797">
        <f>'[19]oktobris'!H134</f>
        <v>0</v>
      </c>
      <c r="M134" s="789">
        <f t="shared" si="3"/>
        <v>0</v>
      </c>
    </row>
    <row r="135" spans="1:13" ht="12.75" customHeight="1">
      <c r="A135" s="98" t="s">
        <v>217</v>
      </c>
      <c r="B135" s="356">
        <f>SUM(B136:B137)</f>
        <v>0</v>
      </c>
      <c r="C135" s="356">
        <f>SUM(C136:C137)</f>
        <v>0</v>
      </c>
      <c r="D135" s="354" t="e">
        <f>C135/B135*100</f>
        <v>#DIV/0!</v>
      </c>
      <c r="E135" s="356">
        <f>E136+E137</f>
        <v>0</v>
      </c>
      <c r="F135" s="98" t="s">
        <v>217</v>
      </c>
      <c r="G135" s="356">
        <f>SUM(G136:G137)</f>
        <v>0</v>
      </c>
      <c r="H135" s="356">
        <f>SUM(H136:H137)</f>
        <v>0</v>
      </c>
      <c r="I135" s="359"/>
      <c r="J135" s="358">
        <f>SUM(J136:J137)</f>
        <v>0</v>
      </c>
      <c r="K135" s="797">
        <f t="shared" si="2"/>
        <v>0</v>
      </c>
      <c r="L135" s="797">
        <f>'[19]oktobris'!H135</f>
        <v>0</v>
      </c>
      <c r="M135" s="789">
        <f t="shared" si="3"/>
        <v>0</v>
      </c>
    </row>
    <row r="136" spans="1:13" ht="12.75" customHeight="1">
      <c r="A136" s="106" t="s">
        <v>975</v>
      </c>
      <c r="B136" s="358"/>
      <c r="C136" s="358"/>
      <c r="D136" s="354" t="e">
        <f>C136/B136*100</f>
        <v>#DIV/0!</v>
      </c>
      <c r="E136" s="358">
        <f>C136-'[19]oktobris'!C136</f>
        <v>0</v>
      </c>
      <c r="F136" s="106" t="s">
        <v>975</v>
      </c>
      <c r="G136" s="358">
        <f>ROUND(B136/1000,0)</f>
        <v>0</v>
      </c>
      <c r="H136" s="358">
        <f>ROUND(C136/1000,0)</f>
        <v>0</v>
      </c>
      <c r="I136" s="360"/>
      <c r="J136" s="358">
        <f>ROUND(E136/1000,0)</f>
        <v>0</v>
      </c>
      <c r="K136" s="797">
        <f t="shared" si="2"/>
        <v>0</v>
      </c>
      <c r="L136" s="797">
        <f>'[19]oktobris'!H136</f>
        <v>0</v>
      </c>
      <c r="M136" s="789">
        <f t="shared" si="3"/>
        <v>0</v>
      </c>
    </row>
    <row r="137" spans="1:13" ht="12.75" customHeight="1">
      <c r="A137" s="106" t="s">
        <v>976</v>
      </c>
      <c r="B137" s="358"/>
      <c r="C137" s="358"/>
      <c r="D137" s="354" t="e">
        <f>C137/B137*100</f>
        <v>#DIV/0!</v>
      </c>
      <c r="E137" s="358">
        <f>C137-'[19]oktobris'!C137</f>
        <v>0</v>
      </c>
      <c r="F137" s="106" t="s">
        <v>976</v>
      </c>
      <c r="G137" s="358">
        <f>ROUND(B137/1000,0)</f>
        <v>0</v>
      </c>
      <c r="H137" s="358">
        <f>ROUND(C137/1000,0)</f>
        <v>0</v>
      </c>
      <c r="I137" s="360"/>
      <c r="J137" s="358">
        <f>ROUND(E137/1000,0)</f>
        <v>0</v>
      </c>
      <c r="K137" s="797">
        <f>H137</f>
        <v>0</v>
      </c>
      <c r="L137" s="797">
        <f>'[19]oktobris'!H137</f>
        <v>0</v>
      </c>
      <c r="M137" s="789">
        <f aca="true" t="shared" si="4" ref="M137:M142">K137-L137</f>
        <v>0</v>
      </c>
    </row>
    <row r="138" spans="1:13" ht="38.25">
      <c r="A138" s="92" t="s">
        <v>1030</v>
      </c>
      <c r="B138" s="358"/>
      <c r="C138" s="358"/>
      <c r="D138" s="354"/>
      <c r="E138" s="358"/>
      <c r="F138" s="92" t="s">
        <v>1030</v>
      </c>
      <c r="G138" s="356"/>
      <c r="H138" s="356"/>
      <c r="I138" s="354"/>
      <c r="J138" s="358"/>
      <c r="K138" s="797"/>
      <c r="L138" s="797"/>
      <c r="M138" s="789">
        <f t="shared" si="4"/>
        <v>0</v>
      </c>
    </row>
    <row r="139" spans="1:13" ht="12.75" customHeight="1">
      <c r="A139" s="361" t="s">
        <v>73</v>
      </c>
      <c r="B139" s="362">
        <v>333226</v>
      </c>
      <c r="C139" s="362">
        <v>194016</v>
      </c>
      <c r="D139" s="369">
        <f>C139/B139*100</f>
        <v>58.223547982450356</v>
      </c>
      <c r="E139" s="362">
        <f>C139-'[19]oktobris'!C139</f>
        <v>9391</v>
      </c>
      <c r="F139" s="357" t="s">
        <v>73</v>
      </c>
      <c r="G139" s="356">
        <f>ROUND(B139/1000,0)</f>
        <v>333</v>
      </c>
      <c r="H139" s="356">
        <f>ROUND(C139/1000,0)</f>
        <v>194</v>
      </c>
      <c r="I139" s="354">
        <f>H139/G139*100</f>
        <v>58.25825825825825</v>
      </c>
      <c r="J139" s="358">
        <f>ROUND(E139/1000,0)</f>
        <v>9</v>
      </c>
      <c r="K139" s="797">
        <f>H139</f>
        <v>194</v>
      </c>
      <c r="L139" s="797">
        <f>'[19]oktobris'!H139</f>
        <v>185</v>
      </c>
      <c r="M139" s="789">
        <f t="shared" si="4"/>
        <v>9</v>
      </c>
    </row>
    <row r="140" spans="1:13" ht="12.75" customHeight="1">
      <c r="A140" s="98" t="s">
        <v>217</v>
      </c>
      <c r="B140" s="356">
        <f>SUM(B141:B142)</f>
        <v>333226</v>
      </c>
      <c r="C140" s="356">
        <f>SUM(C141:C142)</f>
        <v>190255</v>
      </c>
      <c r="D140" s="354">
        <f>C140/B140*100</f>
        <v>57.09488455282601</v>
      </c>
      <c r="E140" s="356">
        <f>E141+E142</f>
        <v>14738</v>
      </c>
      <c r="F140" s="98" t="s">
        <v>217</v>
      </c>
      <c r="G140" s="356">
        <f>SUM(G141:G142)</f>
        <v>333</v>
      </c>
      <c r="H140" s="356">
        <f>SUM(H141:H142)</f>
        <v>190</v>
      </c>
      <c r="I140" s="354">
        <f>H140/G140*100</f>
        <v>57.05705705705706</v>
      </c>
      <c r="J140" s="358">
        <f>SUM(J141:J142)</f>
        <v>14</v>
      </c>
      <c r="K140" s="797">
        <f>H140</f>
        <v>190</v>
      </c>
      <c r="L140" s="797">
        <f>'[19]oktobris'!H140</f>
        <v>176</v>
      </c>
      <c r="M140" s="789">
        <f t="shared" si="4"/>
        <v>14</v>
      </c>
    </row>
    <row r="141" spans="1:13" ht="12.75" customHeight="1">
      <c r="A141" s="106" t="s">
        <v>975</v>
      </c>
      <c r="B141" s="358">
        <v>333226</v>
      </c>
      <c r="C141" s="358">
        <v>190255</v>
      </c>
      <c r="D141" s="354">
        <f>C141/B141*100</f>
        <v>57.09488455282601</v>
      </c>
      <c r="E141" s="358">
        <f>C141-'[19]oktobris'!C141</f>
        <v>14738</v>
      </c>
      <c r="F141" s="106" t="s">
        <v>975</v>
      </c>
      <c r="G141" s="358">
        <f>ROUND(B141/1000,0)</f>
        <v>333</v>
      </c>
      <c r="H141" s="358">
        <f>ROUND(C141/1000,0)</f>
        <v>190</v>
      </c>
      <c r="I141" s="354">
        <f>H141/G141*100</f>
        <v>57.05705705705706</v>
      </c>
      <c r="J141" s="358">
        <f>ROUND(E141/1000,0)-1</f>
        <v>14</v>
      </c>
      <c r="K141" s="797">
        <f>H141</f>
        <v>190</v>
      </c>
      <c r="L141" s="797">
        <f>'[19]oktobris'!H141</f>
        <v>176</v>
      </c>
      <c r="M141" s="789">
        <f t="shared" si="4"/>
        <v>14</v>
      </c>
    </row>
    <row r="142" spans="1:13" ht="12.75" customHeight="1">
      <c r="A142" s="106" t="s">
        <v>976</v>
      </c>
      <c r="B142" s="358"/>
      <c r="C142" s="358"/>
      <c r="D142" s="354" t="e">
        <f>C142/B142*100</f>
        <v>#DIV/0!</v>
      </c>
      <c r="E142" s="358">
        <f>C142-'[19]oktobris'!C142</f>
        <v>0</v>
      </c>
      <c r="F142" s="106" t="s">
        <v>976</v>
      </c>
      <c r="G142" s="358">
        <f>ROUND(B142/1000,0)</f>
        <v>0</v>
      </c>
      <c r="H142" s="358">
        <f>ROUND(C142/1000,0)</f>
        <v>0</v>
      </c>
      <c r="I142" s="354">
        <v>0</v>
      </c>
      <c r="J142" s="358">
        <f>ROUND(E142/1000,0)</f>
        <v>0</v>
      </c>
      <c r="K142" s="797">
        <f>H142</f>
        <v>0</v>
      </c>
      <c r="L142" s="797">
        <f>'[19]oktobris'!H142</f>
        <v>0</v>
      </c>
      <c r="M142" s="789">
        <f t="shared" si="4"/>
        <v>0</v>
      </c>
    </row>
    <row r="143" spans="1:12" ht="25.5">
      <c r="A143" s="92" t="s">
        <v>1032</v>
      </c>
      <c r="B143" s="356"/>
      <c r="C143" s="356"/>
      <c r="D143" s="354"/>
      <c r="E143" s="356"/>
      <c r="F143" s="92" t="s">
        <v>1032</v>
      </c>
      <c r="G143" s="356"/>
      <c r="H143" s="356"/>
      <c r="I143" s="354"/>
      <c r="J143" s="358"/>
      <c r="K143" s="797"/>
      <c r="L143" s="797"/>
    </row>
    <row r="144" spans="1:13" ht="12.75" customHeight="1">
      <c r="A144" s="357" t="s">
        <v>73</v>
      </c>
      <c r="B144" s="356">
        <v>109700</v>
      </c>
      <c r="C144" s="356">
        <v>37983</v>
      </c>
      <c r="D144" s="354">
        <f>C144/B144*100</f>
        <v>34.624430264357336</v>
      </c>
      <c r="E144" s="356">
        <f>C144-'[19]oktobris'!C144</f>
        <v>6295</v>
      </c>
      <c r="F144" s="357" t="s">
        <v>73</v>
      </c>
      <c r="G144" s="356">
        <f>ROUND(B144/1000,0)</f>
        <v>110</v>
      </c>
      <c r="H144" s="356">
        <f>ROUND(C144/1000,0)</f>
        <v>38</v>
      </c>
      <c r="I144" s="354">
        <f>H144/G144*100</f>
        <v>34.54545454545455</v>
      </c>
      <c r="J144" s="358">
        <f>ROUND(E144/1000,0)</f>
        <v>6</v>
      </c>
      <c r="K144" s="797">
        <f>H144</f>
        <v>38</v>
      </c>
      <c r="L144" s="797">
        <f>'[19]oktobris'!H144</f>
        <v>32</v>
      </c>
      <c r="M144" s="789">
        <f>K144-L144</f>
        <v>6</v>
      </c>
    </row>
    <row r="145" spans="1:13" ht="12.75" customHeight="1">
      <c r="A145" s="98" t="s">
        <v>217</v>
      </c>
      <c r="B145" s="356">
        <f>SUM(B146:B147)</f>
        <v>109700</v>
      </c>
      <c r="C145" s="356">
        <f>SUM(C146:C147)</f>
        <v>44334</v>
      </c>
      <c r="D145" s="354">
        <f>C145/B145*100</f>
        <v>40.41385597082954</v>
      </c>
      <c r="E145" s="356">
        <f>E146+E147</f>
        <v>7045.4</v>
      </c>
      <c r="F145" s="98" t="s">
        <v>217</v>
      </c>
      <c r="G145" s="356">
        <f>SUM(G146:G147)</f>
        <v>110</v>
      </c>
      <c r="H145" s="356">
        <f>SUM(H146:H147)</f>
        <v>44</v>
      </c>
      <c r="I145" s="354">
        <f>H145/G145*100</f>
        <v>40</v>
      </c>
      <c r="J145" s="358">
        <f>SUM(J146:J147)</f>
        <v>8</v>
      </c>
      <c r="K145" s="797">
        <f>H145</f>
        <v>44</v>
      </c>
      <c r="L145" s="797">
        <f>'[19]oktobris'!H145</f>
        <v>37</v>
      </c>
      <c r="M145" s="789">
        <f>K145-L145</f>
        <v>7</v>
      </c>
    </row>
    <row r="146" spans="1:13" ht="12.75" customHeight="1">
      <c r="A146" s="106" t="s">
        <v>975</v>
      </c>
      <c r="B146" s="358">
        <v>109700</v>
      </c>
      <c r="C146" s="358">
        <v>43540</v>
      </c>
      <c r="D146" s="354">
        <f>C146/B146*100</f>
        <v>39.690063810391976</v>
      </c>
      <c r="E146" s="358">
        <f>C146-'[19]oktobris'!C146</f>
        <v>7045</v>
      </c>
      <c r="F146" s="106" t="s">
        <v>975</v>
      </c>
      <c r="G146" s="358">
        <f>ROUND(B146/1000,0)</f>
        <v>110</v>
      </c>
      <c r="H146" s="358">
        <f>ROUND(C146/1000,0)</f>
        <v>44</v>
      </c>
      <c r="I146" s="354">
        <f>H146/G146*100</f>
        <v>40</v>
      </c>
      <c r="J146" s="358">
        <f>ROUND(E146/1000,0)+1</f>
        <v>8</v>
      </c>
      <c r="K146" s="797">
        <f>H146</f>
        <v>44</v>
      </c>
      <c r="L146" s="797">
        <f>'[19]oktobris'!H146</f>
        <v>36</v>
      </c>
      <c r="M146" s="789">
        <f>K146-L146</f>
        <v>8</v>
      </c>
    </row>
    <row r="147" spans="1:13" ht="12.75" customHeight="1">
      <c r="A147" s="106" t="s">
        <v>976</v>
      </c>
      <c r="B147" s="358"/>
      <c r="C147" s="358">
        <v>794</v>
      </c>
      <c r="D147" s="354"/>
      <c r="E147" s="358">
        <f>C147-'[19]oktobris'!C147</f>
        <v>0.39999999999997726</v>
      </c>
      <c r="F147" s="106" t="s">
        <v>976</v>
      </c>
      <c r="G147" s="358">
        <f>ROUND(B147/1000,0)</f>
        <v>0</v>
      </c>
      <c r="H147" s="358"/>
      <c r="I147" s="354"/>
      <c r="J147" s="358">
        <f>ROUND(E147/1000,0)</f>
        <v>0</v>
      </c>
      <c r="K147" s="797">
        <f>H147</f>
        <v>0</v>
      </c>
      <c r="L147" s="797">
        <f>'[19]oktobris'!H147</f>
        <v>1</v>
      </c>
      <c r="M147" s="789">
        <f>K147-L147</f>
        <v>-1</v>
      </c>
    </row>
    <row r="148" spans="2:12" ht="14.25" customHeight="1">
      <c r="B148" s="1"/>
      <c r="C148" s="1"/>
      <c r="D148" s="1"/>
      <c r="E148" s="1"/>
      <c r="F148" s="413"/>
      <c r="G148" s="393"/>
      <c r="H148" s="1"/>
      <c r="I148" s="1"/>
      <c r="J148" s="1"/>
      <c r="L148" s="797"/>
    </row>
    <row r="149" spans="2:10" ht="17.25" customHeight="1">
      <c r="B149" s="1"/>
      <c r="C149" s="1"/>
      <c r="D149" s="1"/>
      <c r="E149" s="1"/>
      <c r="G149"/>
      <c r="H149" s="1"/>
      <c r="I149" s="1"/>
      <c r="J149" s="1"/>
    </row>
    <row r="150" spans="2:10" ht="17.25" customHeight="1">
      <c r="B150" s="1"/>
      <c r="C150" s="1"/>
      <c r="D150" s="1"/>
      <c r="E150" s="1"/>
      <c r="F150" s="41"/>
      <c r="G150" s="1"/>
      <c r="H150" s="1"/>
      <c r="I150" s="1"/>
      <c r="J150" s="1"/>
    </row>
    <row r="151" spans="1:10" ht="17.25" customHeight="1">
      <c r="A151" s="41" t="s">
        <v>803</v>
      </c>
      <c r="B151" s="39"/>
      <c r="C151" s="39"/>
      <c r="D151" s="39" t="s">
        <v>959</v>
      </c>
      <c r="E151" s="1"/>
      <c r="F151" s="137" t="s">
        <v>555</v>
      </c>
      <c r="G151" s="6"/>
      <c r="H151" s="6"/>
      <c r="I151" s="854" t="s">
        <v>959</v>
      </c>
      <c r="J151" s="854"/>
    </row>
    <row r="152" spans="2:10" ht="17.25" customHeight="1">
      <c r="B152" s="1"/>
      <c r="C152" s="1"/>
      <c r="D152" s="1"/>
      <c r="E152" s="1"/>
      <c r="G152" s="1"/>
      <c r="H152" s="1"/>
      <c r="I152" s="1"/>
      <c r="J152" s="1"/>
    </row>
    <row r="153" spans="2:10" ht="17.25" customHeight="1">
      <c r="B153" s="1"/>
      <c r="C153" s="1"/>
      <c r="D153" s="1"/>
      <c r="E153" s="1"/>
      <c r="G153" s="1"/>
      <c r="H153" s="1"/>
      <c r="I153" s="1"/>
      <c r="J153" s="1"/>
    </row>
    <row r="154" spans="2:10" ht="17.25" customHeight="1">
      <c r="B154" s="1"/>
      <c r="C154" s="1"/>
      <c r="D154" s="1"/>
      <c r="E154" s="1"/>
      <c r="G154" s="1"/>
      <c r="H154" s="1"/>
      <c r="I154" s="1"/>
      <c r="J154" s="1"/>
    </row>
    <row r="155" spans="2:10" ht="12.75">
      <c r="B155" s="1"/>
      <c r="C155" s="1"/>
      <c r="D155" s="1"/>
      <c r="E155" s="1"/>
      <c r="G155" s="1"/>
      <c r="H155" s="1"/>
      <c r="I155" s="1"/>
      <c r="J155" s="1"/>
    </row>
    <row r="156" spans="2:10" ht="12.75">
      <c r="B156" s="1"/>
      <c r="C156" s="1"/>
      <c r="D156" s="1"/>
      <c r="E156" s="1"/>
      <c r="G156" s="1"/>
      <c r="H156" s="1"/>
      <c r="I156" s="1"/>
      <c r="J156" s="1"/>
    </row>
    <row r="157" spans="2:10" ht="17.25" customHeight="1">
      <c r="B157" s="1"/>
      <c r="C157" s="1"/>
      <c r="D157" s="1"/>
      <c r="E157" s="1"/>
      <c r="G157" s="1"/>
      <c r="H157" s="1"/>
      <c r="I157" s="1"/>
      <c r="J157" s="1"/>
    </row>
    <row r="158" spans="2:10" ht="17.25" customHeight="1">
      <c r="B158" s="1"/>
      <c r="C158" s="1"/>
      <c r="D158" s="1"/>
      <c r="E158" s="1"/>
      <c r="G158" s="1"/>
      <c r="H158" s="1"/>
      <c r="I158" s="1"/>
      <c r="J158" s="1"/>
    </row>
    <row r="159" spans="2:10" ht="17.25" customHeight="1">
      <c r="B159" s="1"/>
      <c r="C159" s="1"/>
      <c r="D159" s="1"/>
      <c r="E159" s="1"/>
      <c r="G159" s="1"/>
      <c r="H159" s="1"/>
      <c r="I159" s="1"/>
      <c r="J159" s="1"/>
    </row>
    <row r="160" spans="2:10" ht="17.25" customHeight="1">
      <c r="B160" s="1"/>
      <c r="C160" s="1"/>
      <c r="D160" s="1"/>
      <c r="E160" s="1"/>
      <c r="G160" s="1"/>
      <c r="H160" s="1"/>
      <c r="I160" s="1"/>
      <c r="J160" s="1"/>
    </row>
    <row r="161" spans="2:10" ht="15" customHeight="1">
      <c r="B161" s="1"/>
      <c r="C161" s="1"/>
      <c r="D161" s="1"/>
      <c r="E161" s="1"/>
      <c r="G161" s="1"/>
      <c r="H161" s="1"/>
      <c r="I161" s="1"/>
      <c r="J161" s="1"/>
    </row>
    <row r="162" spans="2:10" ht="15" customHeight="1">
      <c r="B162" s="1"/>
      <c r="C162" s="1"/>
      <c r="D162" s="1"/>
      <c r="E162" s="1"/>
      <c r="G162" s="1"/>
      <c r="H162" s="1"/>
      <c r="I162" s="1"/>
      <c r="J162" s="1"/>
    </row>
    <row r="170" ht="17.25" customHeight="1">
      <c r="F170" s="203" t="s">
        <v>923</v>
      </c>
    </row>
    <row r="171" ht="17.25" customHeight="1">
      <c r="F171" s="203" t="s">
        <v>329</v>
      </c>
    </row>
  </sheetData>
  <mergeCells count="7">
    <mergeCell ref="A5:E5"/>
    <mergeCell ref="F5:J5"/>
    <mergeCell ref="I151:J151"/>
    <mergeCell ref="A2:E2"/>
    <mergeCell ref="F2:J2"/>
    <mergeCell ref="A4:E4"/>
    <mergeCell ref="F4:J4"/>
  </mergeCells>
  <printOptions horizontalCentered="1"/>
  <pageMargins left="0.9448818897637796" right="0.15748031496062992" top="0.984251968503937" bottom="0.4330708661417323" header="0.5118110236220472" footer="0.2362204724409449"/>
  <pageSetup firstPageNumber="23" useFirstPageNumber="1" horizontalDpi="300" verticalDpi="300" orientation="portrait" paperSize="9" scale="81" r:id="rId1"/>
  <headerFooter alignWithMargins="0">
    <oddFooter>&amp;R&amp;9&amp;P</oddFooter>
  </headerFooter>
  <rowBreaks count="2" manualBreakCount="2">
    <brk id="62" min="5" max="9" man="1"/>
    <brk id="122" min="5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N53"/>
  <sheetViews>
    <sheetView workbookViewId="0" topLeftCell="F1">
      <selection activeCell="F5" sqref="F5:J5"/>
    </sheetView>
  </sheetViews>
  <sheetFormatPr defaultColWidth="9.140625" defaultRowHeight="17.25" customHeight="1"/>
  <cols>
    <col min="1" max="1" width="37.421875" style="229" hidden="1" customWidth="1"/>
    <col min="2" max="2" width="13.140625" style="229" hidden="1" customWidth="1"/>
    <col min="3" max="3" width="11.7109375" style="370" hidden="1" customWidth="1"/>
    <col min="4" max="4" width="12.421875" style="39" hidden="1" customWidth="1"/>
    <col min="5" max="5" width="11.00390625" style="42" hidden="1" customWidth="1"/>
    <col min="6" max="6" width="37.421875" style="229" customWidth="1"/>
    <col min="7" max="7" width="13.140625" style="229" customWidth="1"/>
    <col min="8" max="8" width="8.8515625" style="42" customWidth="1"/>
    <col min="9" max="9" width="12.421875" style="39" customWidth="1"/>
    <col min="10" max="10" width="9.8515625" style="42" customWidth="1"/>
    <col min="11" max="14" width="9.140625" style="0" hidden="1" customWidth="1"/>
  </cols>
  <sheetData>
    <row r="1" spans="2:10" ht="17.25" customHeight="1">
      <c r="B1" s="51"/>
      <c r="E1" s="370"/>
      <c r="G1" s="51"/>
      <c r="H1" s="371"/>
      <c r="J1" s="370" t="s">
        <v>218</v>
      </c>
    </row>
    <row r="2" spans="1:6" ht="17.25" customHeight="1">
      <c r="A2" s="229" t="s">
        <v>219</v>
      </c>
      <c r="F2" s="229" t="s">
        <v>219</v>
      </c>
    </row>
    <row r="4" spans="1:10" ht="32.25" customHeight="1">
      <c r="A4" s="843" t="s">
        <v>220</v>
      </c>
      <c r="B4" s="843"/>
      <c r="C4" s="843"/>
      <c r="D4" s="843"/>
      <c r="E4" s="843"/>
      <c r="F4" s="844" t="s">
        <v>220</v>
      </c>
      <c r="G4" s="844"/>
      <c r="H4" s="844"/>
      <c r="I4" s="844"/>
      <c r="J4" s="844"/>
    </row>
    <row r="5" spans="1:10" ht="17.25" customHeight="1">
      <c r="A5" s="855"/>
      <c r="B5" s="855"/>
      <c r="C5" s="855"/>
      <c r="D5" s="855"/>
      <c r="E5" s="855"/>
      <c r="F5" s="855" t="s">
        <v>318</v>
      </c>
      <c r="G5" s="855"/>
      <c r="H5" s="855"/>
      <c r="I5" s="855"/>
      <c r="J5" s="855"/>
    </row>
    <row r="6" spans="1:10" s="38" customFormat="1" ht="13.5" customHeight="1">
      <c r="A6" s="234"/>
      <c r="B6" s="234"/>
      <c r="C6" s="372"/>
      <c r="D6" s="3"/>
      <c r="E6" s="372" t="s">
        <v>842</v>
      </c>
      <c r="F6" s="234"/>
      <c r="G6" s="234"/>
      <c r="H6" s="373"/>
      <c r="I6" s="3"/>
      <c r="J6" s="372" t="s">
        <v>842</v>
      </c>
    </row>
    <row r="7" spans="1:13" ht="51">
      <c r="A7" s="274" t="s">
        <v>738</v>
      </c>
      <c r="B7" s="274" t="s">
        <v>965</v>
      </c>
      <c r="C7" s="275" t="s">
        <v>221</v>
      </c>
      <c r="D7" s="274" t="s">
        <v>222</v>
      </c>
      <c r="E7" s="9" t="s">
        <v>319</v>
      </c>
      <c r="F7" s="274" t="s">
        <v>738</v>
      </c>
      <c r="G7" s="274" t="s">
        <v>965</v>
      </c>
      <c r="H7" s="275" t="s">
        <v>221</v>
      </c>
      <c r="I7" s="274" t="s">
        <v>222</v>
      </c>
      <c r="J7" s="9" t="s">
        <v>319</v>
      </c>
      <c r="L7" s="790" t="s">
        <v>330</v>
      </c>
      <c r="M7" t="s">
        <v>556</v>
      </c>
    </row>
    <row r="8" spans="1:10" ht="12.75">
      <c r="A8" s="240">
        <v>1</v>
      </c>
      <c r="B8" s="240">
        <v>2</v>
      </c>
      <c r="C8" s="374">
        <v>3</v>
      </c>
      <c r="D8" s="240">
        <v>4</v>
      </c>
      <c r="E8" s="319">
        <v>5</v>
      </c>
      <c r="F8" s="240">
        <v>1</v>
      </c>
      <c r="G8" s="240">
        <v>2</v>
      </c>
      <c r="H8" s="319">
        <v>3</v>
      </c>
      <c r="I8" s="240">
        <v>4</v>
      </c>
      <c r="J8" s="319">
        <v>5</v>
      </c>
    </row>
    <row r="9" spans="1:14" ht="25.5">
      <c r="A9" s="92" t="s">
        <v>223</v>
      </c>
      <c r="B9" s="375">
        <f>SUM(B10:B12)</f>
        <v>6291341</v>
      </c>
      <c r="C9" s="375">
        <f>SUM(C10:C12)</f>
        <v>3734282</v>
      </c>
      <c r="D9" s="376">
        <f>C9/B9*100</f>
        <v>59.355898845730984</v>
      </c>
      <c r="E9" s="375">
        <f>E10+E11+E12</f>
        <v>341594</v>
      </c>
      <c r="F9" s="92" t="s">
        <v>223</v>
      </c>
      <c r="G9" s="375">
        <f>SUM(G10:G12)</f>
        <v>6291</v>
      </c>
      <c r="H9" s="375">
        <f>SUM(H10:H12)</f>
        <v>3736</v>
      </c>
      <c r="I9" s="378">
        <f>H9/G9*100</f>
        <v>59.38642505166111</v>
      </c>
      <c r="J9" s="377">
        <f>SUM(J10:J12)</f>
        <v>343</v>
      </c>
      <c r="L9" s="788">
        <f aca="true" t="shared" si="0" ref="L9:L36">H9</f>
        <v>3736</v>
      </c>
      <c r="M9" s="788">
        <v>3393</v>
      </c>
      <c r="N9" s="788">
        <f>L9-M9</f>
        <v>343</v>
      </c>
    </row>
    <row r="10" spans="1:14" ht="25.5">
      <c r="A10" s="69" t="s">
        <v>224</v>
      </c>
      <c r="B10" s="374">
        <v>5175145</v>
      </c>
      <c r="C10" s="374">
        <f>'[20]novembris'!$B$5</f>
        <v>3034434</v>
      </c>
      <c r="D10" s="379">
        <f>C10/B10*100</f>
        <v>58.63476289070161</v>
      </c>
      <c r="E10" s="374">
        <f>C10-'[7]oktobris'!C10</f>
        <v>298254</v>
      </c>
      <c r="F10" s="69" t="s">
        <v>224</v>
      </c>
      <c r="G10" s="374">
        <f>ROUND(B10/1000,)</f>
        <v>5175</v>
      </c>
      <c r="H10" s="374">
        <f>ROUND(C10/1000,)</f>
        <v>3034</v>
      </c>
      <c r="I10" s="381">
        <f>H10/G10*100</f>
        <v>58.628019323671495</v>
      </c>
      <c r="J10" s="380">
        <f>ROUND(E10/1000,)</f>
        <v>298</v>
      </c>
      <c r="L10" s="788">
        <f t="shared" si="0"/>
        <v>3034</v>
      </c>
      <c r="M10" s="788">
        <v>2736</v>
      </c>
      <c r="N10" s="788">
        <f aca="true" t="shared" si="1" ref="N10:N36">L10-M10</f>
        <v>298</v>
      </c>
    </row>
    <row r="11" spans="1:14" ht="25.5">
      <c r="A11" s="69" t="s">
        <v>225</v>
      </c>
      <c r="B11" s="374">
        <v>1116196</v>
      </c>
      <c r="C11" s="374">
        <f>'[20]novembris'!$B$6</f>
        <v>646253</v>
      </c>
      <c r="D11" s="379">
        <f>C11/B11*100</f>
        <v>57.8978064784321</v>
      </c>
      <c r="E11" s="374">
        <f>C11-'[7]oktobris'!C11</f>
        <v>43340</v>
      </c>
      <c r="F11" s="69" t="s">
        <v>225</v>
      </c>
      <c r="G11" s="374">
        <f>ROUND(B11/1000,)</f>
        <v>1116</v>
      </c>
      <c r="H11" s="374">
        <f>ROUND(C11/1000,)+2</f>
        <v>648</v>
      </c>
      <c r="I11" s="381">
        <f>H11/G11*100</f>
        <v>58.06451612903226</v>
      </c>
      <c r="J11" s="380">
        <f>ROUND(E11/1000,)+2</f>
        <v>45</v>
      </c>
      <c r="L11" s="788">
        <f t="shared" si="0"/>
        <v>648</v>
      </c>
      <c r="M11" s="788">
        <v>603</v>
      </c>
      <c r="N11" s="788">
        <f t="shared" si="1"/>
        <v>45</v>
      </c>
    </row>
    <row r="12" spans="1:14" ht="25.5">
      <c r="A12" s="69" t="s">
        <v>226</v>
      </c>
      <c r="B12" s="319" t="s">
        <v>744</v>
      </c>
      <c r="C12" s="374">
        <f>'[20]novembris'!$B$7</f>
        <v>53595</v>
      </c>
      <c r="D12" s="379"/>
      <c r="E12" s="374">
        <f>C12-'[7]oktobris'!C12</f>
        <v>0</v>
      </c>
      <c r="F12" s="69" t="s">
        <v>226</v>
      </c>
      <c r="G12" s="240" t="s">
        <v>744</v>
      </c>
      <c r="H12" s="380">
        <f>ROUND(C12/1000,)</f>
        <v>54</v>
      </c>
      <c r="I12" s="240" t="s">
        <v>744</v>
      </c>
      <c r="J12" s="380">
        <f>ROUND(E12/1000,)</f>
        <v>0</v>
      </c>
      <c r="L12" s="788">
        <f t="shared" si="0"/>
        <v>54</v>
      </c>
      <c r="M12" s="788">
        <v>54</v>
      </c>
      <c r="N12" s="788">
        <f t="shared" si="1"/>
        <v>0</v>
      </c>
    </row>
    <row r="13" spans="1:14" ht="17.25" customHeight="1">
      <c r="A13" s="92" t="s">
        <v>227</v>
      </c>
      <c r="B13" s="96">
        <f>SUM(B14,B31)</f>
        <v>6812695</v>
      </c>
      <c r="C13" s="334">
        <f>SUM(C14,C31)</f>
        <v>3983804</v>
      </c>
      <c r="D13" s="379">
        <f>C13/B13*100</f>
        <v>58.47618306705349</v>
      </c>
      <c r="E13" s="374">
        <f>SUM(E14,E31)</f>
        <v>366561</v>
      </c>
      <c r="F13" s="92" t="s">
        <v>227</v>
      </c>
      <c r="G13" s="334">
        <f>SUM(G14,G31)</f>
        <v>6812</v>
      </c>
      <c r="H13" s="334">
        <f>SUM(H14,H31)</f>
        <v>3984</v>
      </c>
      <c r="I13" s="378">
        <f>H13/G13*100</f>
        <v>58.48502642395772</v>
      </c>
      <c r="J13" s="334">
        <f>J14+J31</f>
        <v>367</v>
      </c>
      <c r="L13" s="788">
        <f t="shared" si="0"/>
        <v>3984</v>
      </c>
      <c r="M13" s="788">
        <v>3617</v>
      </c>
      <c r="N13" s="788">
        <f t="shared" si="1"/>
        <v>367</v>
      </c>
    </row>
    <row r="14" spans="1:14" ht="17.25" customHeight="1">
      <c r="A14" s="98" t="s">
        <v>143</v>
      </c>
      <c r="B14" s="96">
        <f>SUM(B15,B22,B25)</f>
        <v>6153281</v>
      </c>
      <c r="C14" s="382">
        <f>SUM(C15,C22,C25)</f>
        <v>3649483</v>
      </c>
      <c r="D14" s="379">
        <f>C14/B14*100</f>
        <v>59.30954559039316</v>
      </c>
      <c r="E14" s="374">
        <f>SUM(E15,E22,E25)</f>
        <v>314673</v>
      </c>
      <c r="F14" s="98" t="s">
        <v>143</v>
      </c>
      <c r="G14" s="334">
        <f>SUM(G15,G22,G25)</f>
        <v>6153</v>
      </c>
      <c r="H14" s="334">
        <f>SUM(H15,H22,H25)</f>
        <v>3650</v>
      </c>
      <c r="I14" s="378">
        <f>H14/G14*100</f>
        <v>59.32065659028116</v>
      </c>
      <c r="J14" s="334">
        <f>J15+J22+J25</f>
        <v>315</v>
      </c>
      <c r="L14" s="788">
        <f t="shared" si="0"/>
        <v>3650</v>
      </c>
      <c r="M14" s="788">
        <v>3335</v>
      </c>
      <c r="N14" s="788">
        <f t="shared" si="1"/>
        <v>315</v>
      </c>
    </row>
    <row r="15" spans="1:14" ht="17.25" customHeight="1">
      <c r="A15" s="98" t="s">
        <v>1055</v>
      </c>
      <c r="B15" s="334">
        <f>SUM(B16,B17,B18,B21)</f>
        <v>5293034</v>
      </c>
      <c r="C15" s="382">
        <f>SUM(C16,C17,C18,C21)</f>
        <v>3009822</v>
      </c>
      <c r="D15" s="379">
        <f>C15/B15*100</f>
        <v>56.8638327280724</v>
      </c>
      <c r="E15" s="374">
        <f>SUM(E16,E17,E18,E21)</f>
        <v>214969</v>
      </c>
      <c r="F15" s="98" t="s">
        <v>1055</v>
      </c>
      <c r="G15" s="334">
        <f>SUM(G16,G17,G18,G21)</f>
        <v>5293</v>
      </c>
      <c r="H15" s="334">
        <f>SUM(H16,H17,H18,H21)</f>
        <v>3010</v>
      </c>
      <c r="I15" s="378">
        <f>H15/G15*100</f>
        <v>56.86756092952957</v>
      </c>
      <c r="J15" s="334">
        <f>SUM(J16:J18)</f>
        <v>215</v>
      </c>
      <c r="L15" s="788">
        <f t="shared" si="0"/>
        <v>3010</v>
      </c>
      <c r="M15" s="788">
        <v>2795</v>
      </c>
      <c r="N15" s="788">
        <f t="shared" si="1"/>
        <v>215</v>
      </c>
    </row>
    <row r="16" spans="1:14" ht="17.25" customHeight="1">
      <c r="A16" s="215" t="s">
        <v>1056</v>
      </c>
      <c r="B16" s="374">
        <v>790895</v>
      </c>
      <c r="C16" s="374">
        <f>'[20]novembris'!$B$16</f>
        <v>505490</v>
      </c>
      <c r="D16" s="379">
        <f>C16/B16*100</f>
        <v>63.91366742740819</v>
      </c>
      <c r="E16" s="374">
        <f>C16-'[7]oktobris'!C16</f>
        <v>42018</v>
      </c>
      <c r="F16" s="215" t="s">
        <v>1056</v>
      </c>
      <c r="G16" s="380">
        <f>ROUND(B16/1000,)</f>
        <v>791</v>
      </c>
      <c r="H16" s="380">
        <f>ROUND(C16/1000,)</f>
        <v>505</v>
      </c>
      <c r="I16" s="381">
        <f>H16/G16*100</f>
        <v>63.843236409608096</v>
      </c>
      <c r="J16" s="380">
        <f>ROUND(E16/1000,)</f>
        <v>42</v>
      </c>
      <c r="L16" s="788">
        <f t="shared" si="0"/>
        <v>505</v>
      </c>
      <c r="M16" s="788">
        <v>463</v>
      </c>
      <c r="N16" s="788">
        <f t="shared" si="1"/>
        <v>42</v>
      </c>
    </row>
    <row r="17" spans="1:14" ht="25.5">
      <c r="A17" s="69" t="s">
        <v>228</v>
      </c>
      <c r="B17" s="303" t="s">
        <v>744</v>
      </c>
      <c r="C17" s="374">
        <f>'[20]novembris'!$B$17</f>
        <v>70948</v>
      </c>
      <c r="D17" s="379"/>
      <c r="E17" s="374">
        <f>C17-'[7]oktobris'!C17</f>
        <v>5721</v>
      </c>
      <c r="F17" s="69" t="s">
        <v>228</v>
      </c>
      <c r="G17" s="353" t="s">
        <v>744</v>
      </c>
      <c r="H17" s="380">
        <f>ROUND(C17/1000,)</f>
        <v>71</v>
      </c>
      <c r="I17" s="381"/>
      <c r="J17" s="380">
        <f>ROUND(E17/1000,)</f>
        <v>6</v>
      </c>
      <c r="L17" s="788">
        <f t="shared" si="0"/>
        <v>71</v>
      </c>
      <c r="M17" s="788">
        <v>65</v>
      </c>
      <c r="N17" s="788">
        <f t="shared" si="1"/>
        <v>6</v>
      </c>
    </row>
    <row r="18" spans="1:14" ht="17.25" customHeight="1">
      <c r="A18" s="69" t="s">
        <v>1058</v>
      </c>
      <c r="B18" s="253">
        <v>4502139</v>
      </c>
      <c r="C18" s="374">
        <f>'[20]novembris'!$B$18</f>
        <v>2433384</v>
      </c>
      <c r="D18" s="379">
        <f>C18/B18*100</f>
        <v>54.04950846697536</v>
      </c>
      <c r="E18" s="374">
        <f>C18-'[7]oktobris'!C18</f>
        <v>167230</v>
      </c>
      <c r="F18" s="69" t="s">
        <v>1058</v>
      </c>
      <c r="G18" s="374">
        <f>ROUND(B18/1000,)</f>
        <v>4502</v>
      </c>
      <c r="H18" s="374">
        <f>H19+H20</f>
        <v>2434</v>
      </c>
      <c r="I18" s="381">
        <f>H18/G18*100</f>
        <v>54.064860062194576</v>
      </c>
      <c r="J18" s="380">
        <f>ROUND(E18/1000,)</f>
        <v>167</v>
      </c>
      <c r="L18" s="788">
        <f t="shared" si="0"/>
        <v>2434</v>
      </c>
      <c r="M18" s="788">
        <v>2267</v>
      </c>
      <c r="N18" s="788">
        <f t="shared" si="1"/>
        <v>167</v>
      </c>
    </row>
    <row r="19" spans="1:14" ht="17.25" customHeight="1">
      <c r="A19" s="304" t="s">
        <v>229</v>
      </c>
      <c r="B19" s="383" t="s">
        <v>744</v>
      </c>
      <c r="C19" s="374">
        <f>'[20]novembris'!$B$19</f>
        <v>2081639</v>
      </c>
      <c r="D19" s="379"/>
      <c r="E19" s="374">
        <f>C19-'[7]oktobris'!C19</f>
        <v>151076</v>
      </c>
      <c r="F19" s="304" t="s">
        <v>229</v>
      </c>
      <c r="G19" s="791" t="s">
        <v>744</v>
      </c>
      <c r="H19" s="374">
        <f>ROUND(C19/1000,)</f>
        <v>2082</v>
      </c>
      <c r="I19" s="381"/>
      <c r="J19" s="380">
        <f>ROUND(E19/1000,)</f>
        <v>151</v>
      </c>
      <c r="L19" s="788">
        <f t="shared" si="0"/>
        <v>2082</v>
      </c>
      <c r="M19" s="788">
        <v>1931</v>
      </c>
      <c r="N19" s="788">
        <f t="shared" si="1"/>
        <v>151</v>
      </c>
    </row>
    <row r="20" spans="1:14" ht="12.75">
      <c r="A20" s="304" t="s">
        <v>230</v>
      </c>
      <c r="B20" s="383" t="s">
        <v>744</v>
      </c>
      <c r="C20" s="374">
        <f>'[20]novembris'!$B$20</f>
        <v>351745</v>
      </c>
      <c r="D20" s="379"/>
      <c r="E20" s="374">
        <f>C20-'[7]oktobris'!C20</f>
        <v>16154</v>
      </c>
      <c r="F20" s="304" t="s">
        <v>230</v>
      </c>
      <c r="G20" s="791" t="s">
        <v>744</v>
      </c>
      <c r="H20" s="374">
        <f>ROUND(C20/1000,)</f>
        <v>352</v>
      </c>
      <c r="I20" s="381"/>
      <c r="J20" s="380">
        <f>ROUND(E20/1000,)</f>
        <v>16</v>
      </c>
      <c r="L20" s="788">
        <f t="shared" si="0"/>
        <v>352</v>
      </c>
      <c r="M20" s="788">
        <v>336</v>
      </c>
      <c r="N20" s="788">
        <f t="shared" si="1"/>
        <v>16</v>
      </c>
    </row>
    <row r="21" spans="1:14" ht="12.75">
      <c r="A21" s="69" t="s">
        <v>231</v>
      </c>
      <c r="B21" s="303"/>
      <c r="C21" s="374">
        <f>'[20]novembris'!$B$21</f>
        <v>0</v>
      </c>
      <c r="D21" s="379"/>
      <c r="E21" s="374">
        <f>C21-'[7]novembris (2)'!C21</f>
        <v>0</v>
      </c>
      <c r="F21" s="69" t="s">
        <v>231</v>
      </c>
      <c r="G21" s="353"/>
      <c r="H21" s="374"/>
      <c r="I21" s="381"/>
      <c r="J21" s="380"/>
      <c r="L21" s="788">
        <f t="shared" si="0"/>
        <v>0</v>
      </c>
      <c r="M21" s="788"/>
      <c r="N21" s="788">
        <f t="shared" si="1"/>
        <v>0</v>
      </c>
    </row>
    <row r="22" spans="1:14" ht="25.5">
      <c r="A22" s="76" t="s">
        <v>1059</v>
      </c>
      <c r="B22" s="303">
        <v>750</v>
      </c>
      <c r="C22" s="374">
        <f>'[20]novembris'!$B$22</f>
        <v>0</v>
      </c>
      <c r="D22" s="379"/>
      <c r="E22" s="374">
        <f>C22-'[7]novembris (2)'!C22</f>
        <v>0</v>
      </c>
      <c r="F22" s="76" t="s">
        <v>1059</v>
      </c>
      <c r="G22" s="374"/>
      <c r="H22" s="334"/>
      <c r="I22" s="381"/>
      <c r="J22" s="334"/>
      <c r="L22" s="788">
        <f t="shared" si="0"/>
        <v>0</v>
      </c>
      <c r="M22" s="788"/>
      <c r="N22" s="788">
        <f t="shared" si="1"/>
        <v>0</v>
      </c>
    </row>
    <row r="23" spans="1:14" ht="25.5">
      <c r="A23" s="69" t="s">
        <v>232</v>
      </c>
      <c r="B23" s="303"/>
      <c r="C23" s="374">
        <f>'[20]novembris'!$B$23</f>
        <v>0</v>
      </c>
      <c r="D23" s="379"/>
      <c r="E23" s="374">
        <f>C23-'[7]novembris (2)'!C23</f>
        <v>0</v>
      </c>
      <c r="F23" s="69" t="s">
        <v>232</v>
      </c>
      <c r="G23" s="353"/>
      <c r="H23" s="374"/>
      <c r="I23" s="381"/>
      <c r="J23" s="374"/>
      <c r="L23" s="788">
        <f t="shared" si="0"/>
        <v>0</v>
      </c>
      <c r="M23" s="788"/>
      <c r="N23" s="788">
        <f t="shared" si="1"/>
        <v>0</v>
      </c>
    </row>
    <row r="24" spans="1:14" ht="25.5">
      <c r="A24" s="69" t="s">
        <v>233</v>
      </c>
      <c r="B24" s="303"/>
      <c r="C24" s="374">
        <f>'[20]novembris'!$B$24</f>
        <v>0</v>
      </c>
      <c r="D24" s="379"/>
      <c r="E24" s="374">
        <f>C24-'[7]novembris (2)'!C24</f>
        <v>0</v>
      </c>
      <c r="F24" s="69" t="s">
        <v>233</v>
      </c>
      <c r="G24" s="353"/>
      <c r="H24" s="374"/>
      <c r="I24" s="381"/>
      <c r="J24" s="374"/>
      <c r="L24" s="788">
        <f t="shared" si="0"/>
        <v>0</v>
      </c>
      <c r="M24" s="788"/>
      <c r="N24" s="788">
        <f t="shared" si="1"/>
        <v>0</v>
      </c>
    </row>
    <row r="25" spans="1:14" ht="12.75">
      <c r="A25" s="32" t="s">
        <v>3</v>
      </c>
      <c r="B25" s="334">
        <f>SUM(B26:B30)</f>
        <v>859497</v>
      </c>
      <c r="C25" s="374">
        <f>'[20]novembris'!$B$25</f>
        <v>639661</v>
      </c>
      <c r="D25" s="379">
        <f>C25/B25*100</f>
        <v>74.42271468079586</v>
      </c>
      <c r="E25" s="374">
        <f>C25-'[7]oktobris'!C25</f>
        <v>99704</v>
      </c>
      <c r="F25" s="32" t="s">
        <v>3</v>
      </c>
      <c r="G25" s="334">
        <f>SUM(G26:G30)</f>
        <v>860</v>
      </c>
      <c r="H25" s="334">
        <f>SUM(H26:H30)</f>
        <v>640</v>
      </c>
      <c r="I25" s="378">
        <f>H25/G25*100</f>
        <v>74.4186046511628</v>
      </c>
      <c r="J25" s="384">
        <f>J26+J27+J28+J29+J30</f>
        <v>100</v>
      </c>
      <c r="L25" s="788">
        <f t="shared" si="0"/>
        <v>640</v>
      </c>
      <c r="M25" s="788">
        <v>540</v>
      </c>
      <c r="N25" s="788">
        <f t="shared" si="1"/>
        <v>100</v>
      </c>
    </row>
    <row r="26" spans="1:14" ht="12.75">
      <c r="A26" s="215" t="s">
        <v>4</v>
      </c>
      <c r="B26" s="353">
        <v>22400</v>
      </c>
      <c r="C26" s="374">
        <f>'[20]novembris'!$B$26</f>
        <v>16400</v>
      </c>
      <c r="D26" s="379">
        <f>C26/B26*100</f>
        <v>73.21428571428571</v>
      </c>
      <c r="E26" s="374">
        <f>C26-'[7]oktobris'!C26</f>
        <v>0</v>
      </c>
      <c r="F26" s="215" t="s">
        <v>4</v>
      </c>
      <c r="G26" s="380">
        <f>ROUND(B26/1000,)</f>
        <v>22</v>
      </c>
      <c r="H26" s="380">
        <f>ROUND(C26/1000,)+1</f>
        <v>17</v>
      </c>
      <c r="I26" s="381">
        <f>H26/G26*100</f>
        <v>77.27272727272727</v>
      </c>
      <c r="J26" s="380">
        <f>ROUND(E26/1000,)</f>
        <v>0</v>
      </c>
      <c r="L26" s="788">
        <f t="shared" si="0"/>
        <v>17</v>
      </c>
      <c r="M26" s="788">
        <v>16</v>
      </c>
      <c r="N26" s="788">
        <f t="shared" si="1"/>
        <v>1</v>
      </c>
    </row>
    <row r="27" spans="1:14" ht="12.75">
      <c r="A27" s="215" t="s">
        <v>5</v>
      </c>
      <c r="B27" s="353"/>
      <c r="C27" s="374">
        <f>'[20]novembris'!$B$27</f>
        <v>300</v>
      </c>
      <c r="D27" s="379"/>
      <c r="E27" s="374">
        <f>C27-'[7]oktobris'!C27</f>
        <v>0</v>
      </c>
      <c r="F27" s="215" t="s">
        <v>5</v>
      </c>
      <c r="G27" s="353"/>
      <c r="H27" s="380"/>
      <c r="I27" s="381"/>
      <c r="J27" s="380"/>
      <c r="L27" s="788">
        <f t="shared" si="0"/>
        <v>0</v>
      </c>
      <c r="M27" s="788"/>
      <c r="N27" s="788">
        <f t="shared" si="1"/>
        <v>0</v>
      </c>
    </row>
    <row r="28" spans="1:14" ht="12.75">
      <c r="A28" s="69" t="s">
        <v>6</v>
      </c>
      <c r="B28" s="353"/>
      <c r="C28" s="374">
        <f>'[20]novembris'!$B$28</f>
        <v>0</v>
      </c>
      <c r="D28" s="379"/>
      <c r="E28" s="374">
        <f>C28-'[7]novembris (2)'!C28</f>
        <v>0</v>
      </c>
      <c r="F28" s="69" t="s">
        <v>6</v>
      </c>
      <c r="G28" s="353"/>
      <c r="H28" s="380"/>
      <c r="I28" s="381"/>
      <c r="J28" s="380"/>
      <c r="L28" s="788">
        <f t="shared" si="0"/>
        <v>0</v>
      </c>
      <c r="M28" s="788"/>
      <c r="N28" s="788">
        <f t="shared" si="1"/>
        <v>0</v>
      </c>
    </row>
    <row r="29" spans="1:14" ht="12.75">
      <c r="A29" s="69" t="s">
        <v>234</v>
      </c>
      <c r="B29" s="374">
        <v>465733</v>
      </c>
      <c r="C29" s="374">
        <f>'[20]novembris'!$B$29</f>
        <v>411756</v>
      </c>
      <c r="D29" s="379">
        <f aca="true" t="shared" si="2" ref="D29:D36">C29/B29*100</f>
        <v>88.41031234634437</v>
      </c>
      <c r="E29" s="374">
        <f>C29-'[7]oktobris'!C29</f>
        <v>78114</v>
      </c>
      <c r="F29" s="69" t="s">
        <v>234</v>
      </c>
      <c r="G29" s="380">
        <f>ROUND(B29/1000,)</f>
        <v>466</v>
      </c>
      <c r="H29" s="380">
        <f>ROUND(C29/1000,)</f>
        <v>412</v>
      </c>
      <c r="I29" s="381">
        <f>H29/G29*100</f>
        <v>88.41201716738198</v>
      </c>
      <c r="J29" s="380">
        <f>ROUND(E29/1000,)</f>
        <v>78</v>
      </c>
      <c r="L29" s="788">
        <f t="shared" si="0"/>
        <v>412</v>
      </c>
      <c r="M29" s="788">
        <v>334</v>
      </c>
      <c r="N29" s="788">
        <f t="shared" si="1"/>
        <v>78</v>
      </c>
    </row>
    <row r="30" spans="1:14" ht="12.75">
      <c r="A30" s="69" t="s">
        <v>9</v>
      </c>
      <c r="B30" s="374">
        <v>371364</v>
      </c>
      <c r="C30" s="374">
        <f>'[20]novembris'!$B$30</f>
        <v>211205</v>
      </c>
      <c r="D30" s="379">
        <f t="shared" si="2"/>
        <v>56.8727717280081</v>
      </c>
      <c r="E30" s="374">
        <f>C30-'[7]oktobris'!C30</f>
        <v>21590</v>
      </c>
      <c r="F30" s="69" t="s">
        <v>9</v>
      </c>
      <c r="G30" s="380">
        <f>ROUND(B30/1000,)+1</f>
        <v>372</v>
      </c>
      <c r="H30" s="380">
        <f>ROUND(C30/1000,)</f>
        <v>211</v>
      </c>
      <c r="I30" s="381">
        <f>H30/G30*100</f>
        <v>56.72043010752689</v>
      </c>
      <c r="J30" s="380">
        <f>ROUND(E30/1000,)</f>
        <v>22</v>
      </c>
      <c r="L30" s="788">
        <f t="shared" si="0"/>
        <v>211</v>
      </c>
      <c r="M30" s="788">
        <v>190</v>
      </c>
      <c r="N30" s="788">
        <f t="shared" si="1"/>
        <v>21</v>
      </c>
    </row>
    <row r="31" spans="1:14" ht="12.75">
      <c r="A31" s="126" t="s">
        <v>235</v>
      </c>
      <c r="B31" s="334">
        <f>SUM(B32:B33)</f>
        <v>659414</v>
      </c>
      <c r="C31" s="374">
        <f>'[20]novembris'!$B$31</f>
        <v>334321</v>
      </c>
      <c r="D31" s="379">
        <f t="shared" si="2"/>
        <v>50.69971216868311</v>
      </c>
      <c r="E31" s="374">
        <f>C31-'[7]oktobris'!C31</f>
        <v>51888</v>
      </c>
      <c r="F31" s="126" t="s">
        <v>235</v>
      </c>
      <c r="G31" s="334">
        <f>SUM(G32:G33)</f>
        <v>659</v>
      </c>
      <c r="H31" s="177">
        <f>SUM(H32:H33)</f>
        <v>334</v>
      </c>
      <c r="I31" s="378">
        <f>H31/G31*100</f>
        <v>50.682852807283766</v>
      </c>
      <c r="J31" s="384">
        <f>J32+J33</f>
        <v>52</v>
      </c>
      <c r="L31" s="788">
        <f t="shared" si="0"/>
        <v>334</v>
      </c>
      <c r="M31" s="788">
        <v>282</v>
      </c>
      <c r="N31" s="788">
        <f t="shared" si="1"/>
        <v>52</v>
      </c>
    </row>
    <row r="32" spans="1:14" ht="17.25" customHeight="1">
      <c r="A32" s="69" t="s">
        <v>236</v>
      </c>
      <c r="B32" s="374">
        <v>657804</v>
      </c>
      <c r="C32" s="374">
        <f>'[20]novembris'!$B$32</f>
        <v>334321</v>
      </c>
      <c r="D32" s="379">
        <f t="shared" si="2"/>
        <v>50.82380161871926</v>
      </c>
      <c r="E32" s="374">
        <f>C32-'[7]oktobris'!C32</f>
        <v>51888</v>
      </c>
      <c r="F32" s="69" t="s">
        <v>236</v>
      </c>
      <c r="G32" s="380">
        <f>ROUND(B32/1000,)</f>
        <v>658</v>
      </c>
      <c r="H32" s="380">
        <f>ROUND(C32/1000,)</f>
        <v>334</v>
      </c>
      <c r="I32" s="381">
        <f>H32/G32*100</f>
        <v>50.75987841945289</v>
      </c>
      <c r="J32" s="380">
        <f>ROUND(E32/1000,)</f>
        <v>52</v>
      </c>
      <c r="L32" s="788">
        <f t="shared" si="0"/>
        <v>334</v>
      </c>
      <c r="M32" s="788">
        <v>282</v>
      </c>
      <c r="N32" s="788">
        <f t="shared" si="1"/>
        <v>52</v>
      </c>
    </row>
    <row r="33" spans="1:14" ht="17.25" customHeight="1">
      <c r="A33" s="69" t="s">
        <v>237</v>
      </c>
      <c r="B33" s="380">
        <v>1610</v>
      </c>
      <c r="C33" s="374">
        <f>'[20]novembris'!$B$33</f>
        <v>0</v>
      </c>
      <c r="D33" s="379">
        <f t="shared" si="2"/>
        <v>0</v>
      </c>
      <c r="E33" s="374">
        <f>C33-'[7]oktobris'!C33</f>
        <v>0</v>
      </c>
      <c r="F33" s="69" t="s">
        <v>237</v>
      </c>
      <c r="G33" s="380">
        <f>ROUND(B33/1000,)-1</f>
        <v>1</v>
      </c>
      <c r="H33" s="380">
        <f>ROUND(C33/1000,)</f>
        <v>0</v>
      </c>
      <c r="I33" s="381"/>
      <c r="J33" s="380">
        <f>ROUND(E33/1000,)</f>
        <v>0</v>
      </c>
      <c r="L33" s="788">
        <f t="shared" si="0"/>
        <v>0</v>
      </c>
      <c r="M33" s="788">
        <v>0</v>
      </c>
      <c r="N33" s="788">
        <f t="shared" si="1"/>
        <v>0</v>
      </c>
    </row>
    <row r="34" spans="1:14" ht="12.75">
      <c r="A34" s="126" t="s">
        <v>238</v>
      </c>
      <c r="B34" s="353">
        <f>B9-B13</f>
        <v>-521354</v>
      </c>
      <c r="C34" s="353">
        <f>C9-C13</f>
        <v>-249522</v>
      </c>
      <c r="D34" s="379">
        <f t="shared" si="2"/>
        <v>47.860378936384876</v>
      </c>
      <c r="E34" s="374">
        <f>C34-'[7]oktobris'!C34</f>
        <v>-24967</v>
      </c>
      <c r="F34" s="126" t="s">
        <v>238</v>
      </c>
      <c r="G34" s="353">
        <f>G9-G13</f>
        <v>-521</v>
      </c>
      <c r="H34" s="374">
        <f>(H9-H13)</f>
        <v>-248</v>
      </c>
      <c r="I34" s="381">
        <f>H34/G34*100</f>
        <v>47.60076775431862</v>
      </c>
      <c r="J34" s="374">
        <f>J9-J13</f>
        <v>-24</v>
      </c>
      <c r="L34" s="788">
        <f t="shared" si="0"/>
        <v>-248</v>
      </c>
      <c r="M34" s="788">
        <v>-224</v>
      </c>
      <c r="N34" s="788">
        <f t="shared" si="1"/>
        <v>-24</v>
      </c>
    </row>
    <row r="35" spans="1:14" ht="12.75">
      <c r="A35" s="126" t="s">
        <v>29</v>
      </c>
      <c r="B35" s="385">
        <f>-B34</f>
        <v>521354</v>
      </c>
      <c r="C35" s="385">
        <f>-C34</f>
        <v>249522</v>
      </c>
      <c r="D35" s="379">
        <f t="shared" si="2"/>
        <v>47.860378936384876</v>
      </c>
      <c r="E35" s="374">
        <f>C35-'[7]oktobris'!C35</f>
        <v>24967</v>
      </c>
      <c r="F35" s="126" t="s">
        <v>29</v>
      </c>
      <c r="G35" s="353">
        <f>ROUND(B35/1000,)</f>
        <v>521</v>
      </c>
      <c r="H35" s="374">
        <f>-H34</f>
        <v>248</v>
      </c>
      <c r="I35" s="381">
        <f>-H35/G35*100</f>
        <v>-47.60076775431862</v>
      </c>
      <c r="J35" s="374">
        <f>-J34</f>
        <v>24</v>
      </c>
      <c r="L35" s="788">
        <f t="shared" si="0"/>
        <v>248</v>
      </c>
      <c r="M35" s="788">
        <v>224</v>
      </c>
      <c r="N35" s="788">
        <f t="shared" si="1"/>
        <v>24</v>
      </c>
    </row>
    <row r="36" spans="1:14" ht="25.5">
      <c r="A36" s="129" t="s">
        <v>239</v>
      </c>
      <c r="B36" s="385">
        <f>B35</f>
        <v>521354</v>
      </c>
      <c r="C36" s="374">
        <f>C35</f>
        <v>249522</v>
      </c>
      <c r="D36" s="379">
        <f t="shared" si="2"/>
        <v>47.860378936384876</v>
      </c>
      <c r="E36" s="374">
        <f>C36-'[7]oktobris'!C36</f>
        <v>24967</v>
      </c>
      <c r="F36" s="129" t="s">
        <v>239</v>
      </c>
      <c r="G36" s="353">
        <f>ROUND(B36/1000,)</f>
        <v>521</v>
      </c>
      <c r="H36" s="374">
        <f>H35</f>
        <v>248</v>
      </c>
      <c r="I36" s="381">
        <f>-H36/G36*100</f>
        <v>-47.60076775431862</v>
      </c>
      <c r="J36" s="374">
        <f>J35</f>
        <v>24</v>
      </c>
      <c r="L36" s="788">
        <f t="shared" si="0"/>
        <v>248</v>
      </c>
      <c r="M36" s="788">
        <v>224</v>
      </c>
      <c r="N36" s="788">
        <f t="shared" si="1"/>
        <v>24</v>
      </c>
    </row>
    <row r="37" spans="1:10" ht="12.75">
      <c r="A37" s="655"/>
      <c r="B37" s="386"/>
      <c r="C37" s="656"/>
      <c r="D37" s="657"/>
      <c r="E37" s="656"/>
      <c r="F37" s="413"/>
      <c r="G37" s="393"/>
      <c r="H37" s="656"/>
      <c r="I37" s="658"/>
      <c r="J37" s="656"/>
    </row>
    <row r="38" spans="1:10" ht="12.75">
      <c r="A38" s="655"/>
      <c r="B38" s="386"/>
      <c r="C38" s="656"/>
      <c r="D38" s="657"/>
      <c r="E38" s="656"/>
      <c r="F38" s="49"/>
      <c r="G38"/>
      <c r="H38" s="656"/>
      <c r="I38" s="658"/>
      <c r="J38" s="656"/>
    </row>
    <row r="39" spans="1:10" ht="12.75">
      <c r="A39" s="655"/>
      <c r="B39" s="386"/>
      <c r="C39" s="656"/>
      <c r="D39" s="657"/>
      <c r="E39" s="656"/>
      <c r="F39" s="655"/>
      <c r="G39" s="659"/>
      <c r="H39" s="656"/>
      <c r="I39" s="658"/>
      <c r="J39" s="656"/>
    </row>
    <row r="40" spans="1:10" ht="12.75">
      <c r="A40" s="655"/>
      <c r="B40" s="386"/>
      <c r="C40" s="656"/>
      <c r="D40" s="657"/>
      <c r="E40" s="656"/>
      <c r="F40" s="655"/>
      <c r="G40" s="659"/>
      <c r="H40" s="656"/>
      <c r="I40" s="658"/>
      <c r="J40" s="656"/>
    </row>
    <row r="41" spans="1:9" ht="17.25" customHeight="1">
      <c r="A41" s="41" t="s">
        <v>240</v>
      </c>
      <c r="B41" s="39"/>
      <c r="C41" s="271"/>
      <c r="D41" s="39" t="s">
        <v>959</v>
      </c>
      <c r="E41" s="1"/>
      <c r="F41" s="755" t="s">
        <v>557</v>
      </c>
      <c r="G41" s="737"/>
      <c r="H41" s="756"/>
      <c r="I41" s="737" t="s">
        <v>959</v>
      </c>
    </row>
    <row r="42" spans="1:10" ht="17.25" customHeight="1">
      <c r="A42" s="84"/>
      <c r="B42" s="386"/>
      <c r="C42" s="387"/>
      <c r="D42" s="314"/>
      <c r="E42" s="388"/>
      <c r="F42" s="84"/>
      <c r="G42" s="386"/>
      <c r="H42" s="388"/>
      <c r="I42" s="314"/>
      <c r="J42" s="388"/>
    </row>
    <row r="43" spans="1:10" ht="17.25" customHeight="1">
      <c r="A43" s="84"/>
      <c r="B43" s="84"/>
      <c r="C43" s="387"/>
      <c r="D43" s="344"/>
      <c r="E43" s="388"/>
      <c r="H43" s="389"/>
      <c r="I43" s="344"/>
      <c r="J43" s="388"/>
    </row>
    <row r="45" spans="1:9" ht="17.25" customHeight="1">
      <c r="A45" s="84"/>
      <c r="B45" s="386"/>
      <c r="C45" s="387"/>
      <c r="D45" s="314"/>
      <c r="F45" s="229" t="s">
        <v>838</v>
      </c>
      <c r="G45" s="386"/>
      <c r="H45" s="388"/>
      <c r="I45" s="314"/>
    </row>
    <row r="46" spans="2:10" ht="17.25" customHeight="1">
      <c r="B46" s="390"/>
      <c r="D46" s="391"/>
      <c r="E46" s="371"/>
      <c r="F46" s="229" t="s">
        <v>316</v>
      </c>
      <c r="G46" s="390"/>
      <c r="H46" s="371"/>
      <c r="I46" s="391"/>
      <c r="J46" s="371"/>
    </row>
    <row r="47" spans="2:9" ht="17.25" customHeight="1">
      <c r="B47" s="42"/>
      <c r="D47" s="391"/>
      <c r="G47" s="42"/>
      <c r="I47" s="391"/>
    </row>
    <row r="48" spans="2:9" ht="17.25" customHeight="1">
      <c r="B48" s="42"/>
      <c r="D48" s="391"/>
      <c r="G48" s="42"/>
      <c r="I48" s="391"/>
    </row>
    <row r="49" spans="2:9" ht="17.25" customHeight="1">
      <c r="B49" s="42"/>
      <c r="D49" s="391"/>
      <c r="G49" s="42"/>
      <c r="I49" s="391"/>
    </row>
    <row r="50" spans="1:9" ht="17.25" customHeight="1">
      <c r="A50" s="1"/>
      <c r="B50" s="42"/>
      <c r="D50" s="391"/>
      <c r="F50" s="1"/>
      <c r="G50" s="42"/>
      <c r="I50" s="391"/>
    </row>
    <row r="51" spans="1:6" ht="17.25" customHeight="1">
      <c r="A51" s="1"/>
      <c r="F51" s="1"/>
    </row>
    <row r="52" spans="1:6" ht="17.25" customHeight="1">
      <c r="A52" s="264"/>
      <c r="F52" s="264"/>
    </row>
    <row r="53" spans="2:9" ht="17.25" customHeight="1">
      <c r="B53" s="42"/>
      <c r="D53" s="391"/>
      <c r="G53" s="42"/>
      <c r="I53" s="391"/>
    </row>
  </sheetData>
  <mergeCells count="4">
    <mergeCell ref="A4:E4"/>
    <mergeCell ref="F4:J4"/>
    <mergeCell ref="A5:E5"/>
    <mergeCell ref="F5:J5"/>
  </mergeCells>
  <printOptions horizontalCentered="1"/>
  <pageMargins left="0.9448818897637796" right="0.35433070866141736" top="0.984251968503937" bottom="0.984251968503937" header="0.5118110236220472" footer="0.5118110236220472"/>
  <pageSetup firstPageNumber="26" useFirstPageNumber="1" horizontalDpi="600" verticalDpi="600" orientation="portrait" paperSize="9" scale="85" r:id="rId1"/>
  <headerFooter alignWithMargins="0">
    <oddFooter>&amp;R&amp;9&amp;P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44"/>
  <sheetViews>
    <sheetView workbookViewId="0" topLeftCell="H1">
      <selection activeCell="H9" sqref="H9"/>
    </sheetView>
  </sheetViews>
  <sheetFormatPr defaultColWidth="9.140625" defaultRowHeight="12.75"/>
  <cols>
    <col min="1" max="1" width="32.7109375" style="0" hidden="1" customWidth="1"/>
    <col min="2" max="2" width="9.140625" style="0" hidden="1" customWidth="1"/>
    <col min="3" max="3" width="10.8515625" style="0" hidden="1" customWidth="1"/>
    <col min="4" max="4" width="10.00390625" style="0" hidden="1" customWidth="1"/>
    <col min="5" max="5" width="10.140625" style="0" hidden="1" customWidth="1"/>
    <col min="6" max="6" width="9.140625" style="0" hidden="1" customWidth="1"/>
    <col min="7" max="7" width="9.140625" style="392" hidden="1" customWidth="1"/>
    <col min="8" max="8" width="32.7109375" style="0" customWidth="1"/>
    <col min="10" max="10" width="10.57421875" style="0" customWidth="1"/>
    <col min="11" max="11" width="10.00390625" style="0" customWidth="1"/>
    <col min="12" max="12" width="10.7109375" style="0" customWidth="1"/>
    <col min="14" max="17" width="9.140625" style="0" hidden="1" customWidth="1"/>
  </cols>
  <sheetData>
    <row r="1" spans="13:14" ht="12.75">
      <c r="M1" s="38" t="s">
        <v>241</v>
      </c>
      <c r="N1" s="38"/>
    </row>
    <row r="2" spans="2:14" ht="12.75">
      <c r="B2" t="s">
        <v>926</v>
      </c>
      <c r="I2" s="740"/>
      <c r="J2" s="740" t="s">
        <v>926</v>
      </c>
      <c r="K2" s="740"/>
      <c r="L2" s="740"/>
      <c r="M2" s="740"/>
      <c r="N2" s="740"/>
    </row>
    <row r="4" spans="2:14" ht="12.75">
      <c r="B4" s="740" t="s">
        <v>242</v>
      </c>
      <c r="C4" s="740"/>
      <c r="D4" s="740"/>
      <c r="E4" s="740"/>
      <c r="J4" s="221" t="s">
        <v>242</v>
      </c>
      <c r="L4" s="221"/>
      <c r="M4" s="221"/>
      <c r="N4" s="221"/>
    </row>
    <row r="5" spans="2:14" ht="12.75">
      <c r="B5" s="393" t="s">
        <v>318</v>
      </c>
      <c r="I5" s="393" t="s">
        <v>318</v>
      </c>
      <c r="L5" s="39"/>
      <c r="M5" s="39"/>
      <c r="N5" s="39"/>
    </row>
    <row r="6" spans="13:14" ht="12.75">
      <c r="M6" s="38"/>
      <c r="N6" s="38"/>
    </row>
    <row r="7" spans="1:16" ht="41.25" customHeight="1">
      <c r="A7" s="394" t="s">
        <v>738</v>
      </c>
      <c r="B7" s="395" t="s">
        <v>243</v>
      </c>
      <c r="C7" s="396" t="s">
        <v>965</v>
      </c>
      <c r="D7" s="397" t="s">
        <v>221</v>
      </c>
      <c r="E7" s="396" t="s">
        <v>222</v>
      </c>
      <c r="F7" s="396" t="s">
        <v>312</v>
      </c>
      <c r="H7" s="398" t="s">
        <v>738</v>
      </c>
      <c r="I7" s="399" t="s">
        <v>243</v>
      </c>
      <c r="J7" s="396" t="s">
        <v>965</v>
      </c>
      <c r="K7" s="397" t="s">
        <v>221</v>
      </c>
      <c r="L7" s="396" t="s">
        <v>244</v>
      </c>
      <c r="M7" s="396" t="s">
        <v>312</v>
      </c>
      <c r="N7" s="792"/>
      <c r="O7" t="s">
        <v>330</v>
      </c>
      <c r="P7" s="827" t="s">
        <v>920</v>
      </c>
    </row>
    <row r="8" spans="1:14" ht="12.75">
      <c r="A8" s="394">
        <v>1</v>
      </c>
      <c r="B8" s="394">
        <v>2</v>
      </c>
      <c r="D8" s="394">
        <v>3</v>
      </c>
      <c r="E8" s="394">
        <v>4</v>
      </c>
      <c r="F8" s="394">
        <v>5</v>
      </c>
      <c r="H8" s="400">
        <v>1</v>
      </c>
      <c r="I8" s="400">
        <v>2</v>
      </c>
      <c r="J8" s="400">
        <v>3</v>
      </c>
      <c r="K8" s="400">
        <v>4</v>
      </c>
      <c r="L8" s="400">
        <v>5</v>
      </c>
      <c r="M8" s="91">
        <v>6</v>
      </c>
      <c r="N8" s="551"/>
    </row>
    <row r="9" spans="1:18" ht="19.5" customHeight="1">
      <c r="A9" s="401" t="s">
        <v>981</v>
      </c>
      <c r="B9" s="393"/>
      <c r="C9" s="392">
        <f>SUM(C10:C23)</f>
        <v>6812695</v>
      </c>
      <c r="D9" s="392">
        <f>SUM(D10:D23)</f>
        <v>3983805</v>
      </c>
      <c r="E9" s="402">
        <f aca="true" t="shared" si="0" ref="E9:E19">D9/C9*100</f>
        <v>58.476197745532424</v>
      </c>
      <c r="F9" s="392">
        <f>SUM(F10:F23)</f>
        <v>366562</v>
      </c>
      <c r="G9" s="392">
        <f>D9-'[21]oktobris'!D9</f>
        <v>366562</v>
      </c>
      <c r="H9" s="403" t="s">
        <v>981</v>
      </c>
      <c r="I9" s="793"/>
      <c r="J9" s="405">
        <f>SUM(J10:J23)</f>
        <v>6812</v>
      </c>
      <c r="K9" s="405">
        <f>SUM(K10:K23)</f>
        <v>3984</v>
      </c>
      <c r="L9" s="406">
        <f aca="true" t="shared" si="1" ref="L9:L17">K9/J9*100</f>
        <v>58.48502642395772</v>
      </c>
      <c r="M9" s="407">
        <f>SUM(M10:M23)</f>
        <v>367</v>
      </c>
      <c r="N9" s="765"/>
      <c r="O9" s="788">
        <f aca="true" t="shared" si="2" ref="O9:O23">K9</f>
        <v>3984</v>
      </c>
      <c r="P9" s="788">
        <v>3617</v>
      </c>
      <c r="Q9" s="788">
        <f aca="true" t="shared" si="3" ref="Q9:Q23">O9-P9</f>
        <v>367</v>
      </c>
      <c r="R9" s="788"/>
    </row>
    <row r="10" spans="1:18" ht="19.5" customHeight="1">
      <c r="A10" s="393" t="s">
        <v>43</v>
      </c>
      <c r="B10" s="408" t="s">
        <v>245</v>
      </c>
      <c r="C10" s="392">
        <v>992864</v>
      </c>
      <c r="D10" s="392">
        <f>560349+2387-52</f>
        <v>562684</v>
      </c>
      <c r="E10" s="402">
        <f t="shared" si="0"/>
        <v>56.672817223708385</v>
      </c>
      <c r="F10" s="392">
        <f>D10-'[21]oktobris'!D10</f>
        <v>73137</v>
      </c>
      <c r="G10" s="392">
        <f>D10-'[21]oktobris'!D10</f>
        <v>73137</v>
      </c>
      <c r="H10" s="404" t="s">
        <v>43</v>
      </c>
      <c r="I10" s="409" t="s">
        <v>245</v>
      </c>
      <c r="J10" s="410">
        <f>ROUND(C10/1000,)</f>
        <v>993</v>
      </c>
      <c r="K10" s="410">
        <f>ROUND(D10/1000,)-1</f>
        <v>562</v>
      </c>
      <c r="L10" s="794">
        <f t="shared" si="1"/>
        <v>56.59617321248741</v>
      </c>
      <c r="M10" s="404">
        <f aca="true" t="shared" si="4" ref="M10:M17">ROUND(F10/1000,)</f>
        <v>73</v>
      </c>
      <c r="N10" s="795"/>
      <c r="O10" s="788">
        <f t="shared" si="2"/>
        <v>562</v>
      </c>
      <c r="P10" s="788">
        <v>489</v>
      </c>
      <c r="Q10" s="788">
        <f t="shared" si="3"/>
        <v>73</v>
      </c>
      <c r="R10" s="788"/>
    </row>
    <row r="11" spans="1:18" ht="19.5" customHeight="1">
      <c r="A11" s="393" t="s">
        <v>44</v>
      </c>
      <c r="B11" s="408" t="s">
        <v>246</v>
      </c>
      <c r="C11" s="392">
        <v>50182</v>
      </c>
      <c r="D11" s="392">
        <v>28130</v>
      </c>
      <c r="E11" s="402">
        <f t="shared" si="0"/>
        <v>56.055956318998845</v>
      </c>
      <c r="F11" s="392">
        <f>D11-'[21]oktobris'!D11</f>
        <v>1012</v>
      </c>
      <c r="G11" s="392">
        <f>D11-'[21]oktobris'!D11</f>
        <v>1012</v>
      </c>
      <c r="H11" s="404" t="s">
        <v>44</v>
      </c>
      <c r="I11" s="409" t="s">
        <v>246</v>
      </c>
      <c r="J11" s="410">
        <f aca="true" t="shared" si="5" ref="J11:K17">ROUND(C11/1000,)</f>
        <v>50</v>
      </c>
      <c r="K11" s="410">
        <f t="shared" si="5"/>
        <v>28</v>
      </c>
      <c r="L11" s="794">
        <f t="shared" si="1"/>
        <v>56.00000000000001</v>
      </c>
      <c r="M11" s="404">
        <f t="shared" si="4"/>
        <v>1</v>
      </c>
      <c r="N11" s="795"/>
      <c r="O11" s="788">
        <f t="shared" si="2"/>
        <v>28</v>
      </c>
      <c r="P11" s="788">
        <v>27</v>
      </c>
      <c r="Q11" s="788">
        <f t="shared" si="3"/>
        <v>1</v>
      </c>
      <c r="R11" s="788"/>
    </row>
    <row r="12" spans="1:18" ht="26.25" customHeight="1">
      <c r="A12" s="411" t="s">
        <v>45</v>
      </c>
      <c r="B12" s="394">
        <v>3</v>
      </c>
      <c r="C12" s="392">
        <v>432663</v>
      </c>
      <c r="D12" s="392">
        <v>193891</v>
      </c>
      <c r="E12" s="402">
        <f t="shared" si="0"/>
        <v>44.81339980539126</v>
      </c>
      <c r="F12" s="392">
        <f>D12-'[21]oktobris'!D12</f>
        <v>14647</v>
      </c>
      <c r="G12" s="392">
        <f>D12-'[21]oktobris'!D12</f>
        <v>14647</v>
      </c>
      <c r="H12" s="412" t="s">
        <v>45</v>
      </c>
      <c r="I12" s="409" t="s">
        <v>170</v>
      </c>
      <c r="J12" s="410">
        <f t="shared" si="5"/>
        <v>433</v>
      </c>
      <c r="K12" s="410">
        <f t="shared" si="5"/>
        <v>194</v>
      </c>
      <c r="L12" s="794">
        <f t="shared" si="1"/>
        <v>44.80369515011547</v>
      </c>
      <c r="M12" s="404">
        <f t="shared" si="4"/>
        <v>15</v>
      </c>
      <c r="N12" s="795"/>
      <c r="O12" s="788">
        <f t="shared" si="2"/>
        <v>194</v>
      </c>
      <c r="P12" s="788">
        <v>179</v>
      </c>
      <c r="Q12" s="788">
        <f t="shared" si="3"/>
        <v>15</v>
      </c>
      <c r="R12" s="788"/>
    </row>
    <row r="13" spans="1:18" ht="19.5" customHeight="1">
      <c r="A13" s="393" t="s">
        <v>46</v>
      </c>
      <c r="B13" s="394">
        <v>4</v>
      </c>
      <c r="C13" s="392">
        <v>2735266</v>
      </c>
      <c r="D13" s="392">
        <v>1272620</v>
      </c>
      <c r="E13" s="402">
        <f t="shared" si="0"/>
        <v>46.52637074419819</v>
      </c>
      <c r="F13" s="392">
        <f>D13-'[21]oktobris'!D13</f>
        <v>72780</v>
      </c>
      <c r="G13" s="392">
        <f>D13-'[21]oktobris'!D13</f>
        <v>72780</v>
      </c>
      <c r="H13" s="404" t="s">
        <v>46</v>
      </c>
      <c r="I13" s="409" t="s">
        <v>171</v>
      </c>
      <c r="J13" s="410">
        <f t="shared" si="5"/>
        <v>2735</v>
      </c>
      <c r="K13" s="410">
        <f t="shared" si="5"/>
        <v>1273</v>
      </c>
      <c r="L13" s="794">
        <f t="shared" si="1"/>
        <v>46.54478976234004</v>
      </c>
      <c r="M13" s="404">
        <f t="shared" si="4"/>
        <v>73</v>
      </c>
      <c r="N13" s="795"/>
      <c r="O13" s="788">
        <f t="shared" si="2"/>
        <v>1273</v>
      </c>
      <c r="P13" s="788">
        <v>1200</v>
      </c>
      <c r="Q13" s="788">
        <f t="shared" si="3"/>
        <v>73</v>
      </c>
      <c r="R13" s="788"/>
    </row>
    <row r="14" spans="1:18" ht="19.5" customHeight="1">
      <c r="A14" s="393" t="s">
        <v>47</v>
      </c>
      <c r="B14" s="394">
        <v>5</v>
      </c>
      <c r="C14" s="392">
        <v>817231</v>
      </c>
      <c r="D14" s="392">
        <v>611784</v>
      </c>
      <c r="E14" s="402">
        <f t="shared" si="0"/>
        <v>74.86059633078041</v>
      </c>
      <c r="F14" s="392">
        <f>D14-'[21]oktobris'!D14</f>
        <v>23632</v>
      </c>
      <c r="G14" s="392">
        <f>D14-'[21]oktobris'!D14</f>
        <v>23632</v>
      </c>
      <c r="H14" s="404" t="s">
        <v>47</v>
      </c>
      <c r="I14" s="409" t="s">
        <v>172</v>
      </c>
      <c r="J14" s="410">
        <f t="shared" si="5"/>
        <v>817</v>
      </c>
      <c r="K14" s="410">
        <f t="shared" si="5"/>
        <v>612</v>
      </c>
      <c r="L14" s="794">
        <f t="shared" si="1"/>
        <v>74.90820073439413</v>
      </c>
      <c r="M14" s="404">
        <f t="shared" si="4"/>
        <v>24</v>
      </c>
      <c r="N14" s="795"/>
      <c r="O14" s="788">
        <f t="shared" si="2"/>
        <v>612</v>
      </c>
      <c r="P14" s="788">
        <v>588</v>
      </c>
      <c r="Q14" s="788">
        <f t="shared" si="3"/>
        <v>24</v>
      </c>
      <c r="R14" s="788"/>
    </row>
    <row r="15" spans="1:18" ht="25.5" customHeight="1">
      <c r="A15" s="411" t="s">
        <v>48</v>
      </c>
      <c r="B15" s="394">
        <v>6</v>
      </c>
      <c r="C15" s="392">
        <v>37754</v>
      </c>
      <c r="D15" s="392">
        <v>22085</v>
      </c>
      <c r="E15" s="402">
        <f t="shared" si="0"/>
        <v>58.49711288870053</v>
      </c>
      <c r="F15" s="392">
        <f>D15-'[21]oktobris'!D15</f>
        <v>734</v>
      </c>
      <c r="G15" s="392">
        <f>D15-'[21]oktobris'!D15</f>
        <v>734</v>
      </c>
      <c r="H15" s="412" t="s">
        <v>48</v>
      </c>
      <c r="I15" s="409" t="s">
        <v>173</v>
      </c>
      <c r="J15" s="410">
        <f t="shared" si="5"/>
        <v>38</v>
      </c>
      <c r="K15" s="410">
        <f t="shared" si="5"/>
        <v>22</v>
      </c>
      <c r="L15" s="794">
        <f t="shared" si="1"/>
        <v>57.89473684210527</v>
      </c>
      <c r="M15" s="404">
        <f t="shared" si="4"/>
        <v>1</v>
      </c>
      <c r="N15" s="795"/>
      <c r="O15" s="788">
        <f t="shared" si="2"/>
        <v>22</v>
      </c>
      <c r="P15" s="788">
        <v>21</v>
      </c>
      <c r="Q15" s="788">
        <f t="shared" si="3"/>
        <v>1</v>
      </c>
      <c r="R15" s="788"/>
    </row>
    <row r="16" spans="1:18" ht="24.75" customHeight="1">
      <c r="A16" s="411" t="s">
        <v>49</v>
      </c>
      <c r="B16" s="394">
        <v>7</v>
      </c>
      <c r="C16" s="392">
        <v>241091</v>
      </c>
      <c r="D16" s="392">
        <v>95830</v>
      </c>
      <c r="E16" s="402">
        <f t="shared" si="0"/>
        <v>39.74847671626067</v>
      </c>
      <c r="F16" s="392">
        <f>D16-'[21]oktobris'!D16</f>
        <v>25757</v>
      </c>
      <c r="G16" s="392">
        <f>D16-'[21]oktobris'!D16</f>
        <v>25757</v>
      </c>
      <c r="H16" s="412" t="s">
        <v>49</v>
      </c>
      <c r="I16" s="409" t="s">
        <v>174</v>
      </c>
      <c r="J16" s="410">
        <f t="shared" si="5"/>
        <v>241</v>
      </c>
      <c r="K16" s="410">
        <f t="shared" si="5"/>
        <v>96</v>
      </c>
      <c r="L16" s="794">
        <f t="shared" si="1"/>
        <v>39.83402489626556</v>
      </c>
      <c r="M16" s="404">
        <f t="shared" si="4"/>
        <v>26</v>
      </c>
      <c r="N16" s="795"/>
      <c r="O16" s="788">
        <f t="shared" si="2"/>
        <v>96</v>
      </c>
      <c r="P16" s="788">
        <v>70</v>
      </c>
      <c r="Q16" s="788">
        <f t="shared" si="3"/>
        <v>26</v>
      </c>
      <c r="R16" s="788"/>
    </row>
    <row r="17" spans="1:18" ht="19.5" customHeight="1">
      <c r="A17" s="393" t="s">
        <v>247</v>
      </c>
      <c r="B17" s="394">
        <v>8</v>
      </c>
      <c r="C17" s="392">
        <v>1386631</v>
      </c>
      <c r="D17" s="392">
        <v>1051874</v>
      </c>
      <c r="E17" s="402">
        <f t="shared" si="0"/>
        <v>75.85824923862225</v>
      </c>
      <c r="F17" s="392">
        <f>D17-'[21]oktobris'!D17</f>
        <v>144181</v>
      </c>
      <c r="G17" s="392">
        <f>D17-'[21]oktobris'!D17</f>
        <v>144181</v>
      </c>
      <c r="H17" s="404" t="s">
        <v>247</v>
      </c>
      <c r="I17" s="409" t="s">
        <v>175</v>
      </c>
      <c r="J17" s="410">
        <f t="shared" si="5"/>
        <v>1387</v>
      </c>
      <c r="K17" s="410">
        <f t="shared" si="5"/>
        <v>1052</v>
      </c>
      <c r="L17" s="794">
        <f t="shared" si="1"/>
        <v>75.84715212689257</v>
      </c>
      <c r="M17" s="404">
        <f t="shared" si="4"/>
        <v>144</v>
      </c>
      <c r="N17" s="795"/>
      <c r="O17" s="788">
        <f t="shared" si="2"/>
        <v>1052</v>
      </c>
      <c r="P17" s="788">
        <v>908</v>
      </c>
      <c r="Q17" s="788">
        <f t="shared" si="3"/>
        <v>144</v>
      </c>
      <c r="R17" s="788"/>
    </row>
    <row r="18" spans="1:18" ht="19.5" customHeight="1">
      <c r="A18" s="393" t="s">
        <v>51</v>
      </c>
      <c r="B18" s="394">
        <v>9</v>
      </c>
      <c r="C18" s="392"/>
      <c r="D18" s="392"/>
      <c r="E18" s="402"/>
      <c r="F18" s="392">
        <f>D18-'[21]oktobris'!D18</f>
        <v>0</v>
      </c>
      <c r="G18" s="392">
        <f>D18-'[21]oktobris'!D18</f>
        <v>0</v>
      </c>
      <c r="H18" s="404" t="s">
        <v>51</v>
      </c>
      <c r="I18" s="409" t="s">
        <v>176</v>
      </c>
      <c r="J18" s="410"/>
      <c r="K18" s="410"/>
      <c r="L18" s="794"/>
      <c r="M18" s="404"/>
      <c r="N18" s="795"/>
      <c r="O18" s="788">
        <f t="shared" si="2"/>
        <v>0</v>
      </c>
      <c r="P18" s="788"/>
      <c r="Q18" s="788">
        <f t="shared" si="3"/>
        <v>0</v>
      </c>
      <c r="R18" s="788"/>
    </row>
    <row r="19" spans="1:18" ht="27.75" customHeight="1">
      <c r="A19" s="411" t="s">
        <v>248</v>
      </c>
      <c r="B19" s="394">
        <v>10</v>
      </c>
      <c r="C19" s="392">
        <v>111449</v>
      </c>
      <c r="D19" s="392">
        <v>87134</v>
      </c>
      <c r="E19" s="402">
        <f t="shared" si="0"/>
        <v>78.18284596541916</v>
      </c>
      <c r="F19" s="392">
        <f>D19-'[21]oktobris'!D19</f>
        <v>9451</v>
      </c>
      <c r="G19" s="392">
        <f>D19-'[21]oktobris'!D19</f>
        <v>9451</v>
      </c>
      <c r="H19" s="412" t="s">
        <v>248</v>
      </c>
      <c r="I19" s="409" t="s">
        <v>177</v>
      </c>
      <c r="J19" s="410">
        <f>ROUND(C19/1000,)</f>
        <v>111</v>
      </c>
      <c r="K19" s="410">
        <f>ROUND(D19/1000,)</f>
        <v>87</v>
      </c>
      <c r="L19" s="794">
        <f>K19/J19*100</f>
        <v>78.37837837837837</v>
      </c>
      <c r="M19" s="404">
        <f>ROUND(F19/1000,)</f>
        <v>9</v>
      </c>
      <c r="N19" s="795"/>
      <c r="O19" s="788">
        <f t="shared" si="2"/>
        <v>87</v>
      </c>
      <c r="P19" s="788">
        <v>78</v>
      </c>
      <c r="Q19" s="788">
        <f t="shared" si="3"/>
        <v>9</v>
      </c>
      <c r="R19" s="788"/>
    </row>
    <row r="20" spans="1:18" ht="22.5" customHeight="1">
      <c r="A20" s="411" t="s">
        <v>53</v>
      </c>
      <c r="B20" s="394">
        <v>11</v>
      </c>
      <c r="C20" s="392"/>
      <c r="D20" s="392"/>
      <c r="E20" s="402"/>
      <c r="F20" s="392">
        <f>D20-'[21]oktobris'!D20</f>
        <v>0</v>
      </c>
      <c r="G20" s="392">
        <f>D20-'[21]oktobris'!D20</f>
        <v>0</v>
      </c>
      <c r="H20" s="412" t="s">
        <v>53</v>
      </c>
      <c r="I20" s="409" t="s">
        <v>178</v>
      </c>
      <c r="J20" s="410"/>
      <c r="K20" s="410"/>
      <c r="L20" s="794"/>
      <c r="M20" s="404"/>
      <c r="N20" s="795"/>
      <c r="O20" s="788">
        <f t="shared" si="2"/>
        <v>0</v>
      </c>
      <c r="P20" s="788"/>
      <c r="Q20" s="788">
        <f t="shared" si="3"/>
        <v>0</v>
      </c>
      <c r="R20" s="788"/>
    </row>
    <row r="21" spans="1:18" ht="19.5" customHeight="1">
      <c r="A21" s="393" t="s">
        <v>54</v>
      </c>
      <c r="B21" s="394">
        <v>12</v>
      </c>
      <c r="C21" s="392"/>
      <c r="D21" s="392"/>
      <c r="E21" s="402"/>
      <c r="F21" s="392">
        <f>D21-'[21]oktobris'!D21</f>
        <v>0</v>
      </c>
      <c r="G21" s="392">
        <f>D21-'[21]oktobris'!D21</f>
        <v>0</v>
      </c>
      <c r="H21" s="404" t="s">
        <v>54</v>
      </c>
      <c r="I21" s="409" t="s">
        <v>179</v>
      </c>
      <c r="J21" s="410"/>
      <c r="K21" s="410"/>
      <c r="L21" s="794"/>
      <c r="M21" s="404"/>
      <c r="N21" s="795"/>
      <c r="O21" s="788">
        <f t="shared" si="2"/>
        <v>0</v>
      </c>
      <c r="P21" s="788"/>
      <c r="Q21" s="788">
        <f t="shared" si="3"/>
        <v>0</v>
      </c>
      <c r="R21" s="788"/>
    </row>
    <row r="22" spans="1:18" ht="19.5" customHeight="1">
      <c r="A22" s="393" t="s">
        <v>55</v>
      </c>
      <c r="B22" s="394">
        <v>13</v>
      </c>
      <c r="C22" s="392">
        <v>7564</v>
      </c>
      <c r="D22" s="392">
        <v>4178</v>
      </c>
      <c r="E22" s="402">
        <f>D22/C22*100</f>
        <v>55.23532522474881</v>
      </c>
      <c r="F22" s="392">
        <f>D22-'[21]oktobris'!D22</f>
        <v>1231</v>
      </c>
      <c r="G22" s="392">
        <f>D22-'[21]oktobris'!D22</f>
        <v>1231</v>
      </c>
      <c r="H22" s="404" t="s">
        <v>55</v>
      </c>
      <c r="I22" s="409" t="s">
        <v>180</v>
      </c>
      <c r="J22" s="410">
        <f>ROUND(C22/1000,)-1</f>
        <v>7</v>
      </c>
      <c r="K22" s="410">
        <f>ROUND(D22/1000,)</f>
        <v>4</v>
      </c>
      <c r="L22" s="794">
        <f>K22/J22*100</f>
        <v>57.14285714285714</v>
      </c>
      <c r="M22" s="404">
        <f>ROUND(F22/1000,)</f>
        <v>1</v>
      </c>
      <c r="N22" s="795"/>
      <c r="O22" s="788">
        <f t="shared" si="2"/>
        <v>4</v>
      </c>
      <c r="P22" s="788">
        <v>3</v>
      </c>
      <c r="Q22" s="788">
        <f t="shared" si="3"/>
        <v>1</v>
      </c>
      <c r="R22" s="788"/>
    </row>
    <row r="23" spans="1:18" ht="27" customHeight="1">
      <c r="A23" s="411" t="s">
        <v>558</v>
      </c>
      <c r="B23" s="394">
        <v>14</v>
      </c>
      <c r="C23" s="392"/>
      <c r="D23" s="392">
        <v>53595</v>
      </c>
      <c r="E23" s="402"/>
      <c r="F23" s="392">
        <f>D23-'[21]oktobris'!D23</f>
        <v>0</v>
      </c>
      <c r="G23" s="392">
        <f>D23-'[21]oktobris'!D23</f>
        <v>0</v>
      </c>
      <c r="H23" s="412" t="s">
        <v>181</v>
      </c>
      <c r="I23" s="409" t="s">
        <v>182</v>
      </c>
      <c r="J23" s="410"/>
      <c r="K23" s="410">
        <f>ROUND(D23/1000,)</f>
        <v>54</v>
      </c>
      <c r="L23" s="406"/>
      <c r="M23" s="404">
        <f>ROUND(F23/1000,)</f>
        <v>0</v>
      </c>
      <c r="N23" s="795"/>
      <c r="O23" s="788">
        <f t="shared" si="2"/>
        <v>54</v>
      </c>
      <c r="P23" s="788">
        <v>54</v>
      </c>
      <c r="Q23" s="788">
        <f t="shared" si="3"/>
        <v>0</v>
      </c>
      <c r="R23" s="788"/>
    </row>
    <row r="24" spans="1:14" ht="12.75">
      <c r="A24" s="393"/>
      <c r="B24" s="393"/>
      <c r="C24" s="392"/>
      <c r="D24" s="392"/>
      <c r="F24" s="392"/>
      <c r="H24" s="413"/>
      <c r="I24" s="393"/>
      <c r="J24" s="392"/>
      <c r="K24" s="392"/>
      <c r="M24" s="393"/>
      <c r="N24" s="393"/>
    </row>
    <row r="25" spans="3:12" ht="12.75">
      <c r="C25" s="788"/>
      <c r="D25" s="788"/>
      <c r="F25" s="788"/>
      <c r="H25" s="38" t="s">
        <v>559</v>
      </c>
      <c r="L25" s="1"/>
    </row>
    <row r="26" ht="12.75">
      <c r="L26" s="39"/>
    </row>
    <row r="27" spans="8:12" ht="12.75">
      <c r="H27" s="49"/>
      <c r="I27" s="386"/>
      <c r="J27" s="388"/>
      <c r="K27" s="314"/>
      <c r="L27" s="388"/>
    </row>
    <row r="28" spans="3:12" ht="12.75">
      <c r="C28" s="788"/>
      <c r="D28" s="788"/>
      <c r="F28" s="788"/>
      <c r="H28" s="49"/>
      <c r="I28" s="386"/>
      <c r="J28" s="388"/>
      <c r="K28" s="314"/>
      <c r="L28" s="388"/>
    </row>
    <row r="29" spans="4:14" ht="12.75">
      <c r="D29" s="788"/>
      <c r="H29" s="41" t="s">
        <v>183</v>
      </c>
      <c r="I29" s="39"/>
      <c r="J29" s="39"/>
      <c r="K29" s="39" t="s">
        <v>959</v>
      </c>
      <c r="M29" s="49"/>
      <c r="N29" s="49"/>
    </row>
    <row r="30" spans="8:12" ht="12.75">
      <c r="H30" s="229"/>
      <c r="I30" s="229"/>
      <c r="J30" s="42"/>
      <c r="K30" s="39"/>
      <c r="L30" s="42"/>
    </row>
    <row r="31" spans="8:12" ht="12.75">
      <c r="H31" s="84"/>
      <c r="I31" s="386"/>
      <c r="J31" s="388"/>
      <c r="K31" s="314"/>
      <c r="L31" s="42"/>
    </row>
    <row r="32" spans="8:12" ht="12.75">
      <c r="H32" s="229"/>
      <c r="I32" s="390"/>
      <c r="J32" s="371"/>
      <c r="K32" s="391"/>
      <c r="L32" s="371"/>
    </row>
    <row r="33" spans="8:12" ht="12.75">
      <c r="H33" s="229"/>
      <c r="I33" s="42"/>
      <c r="J33" s="42"/>
      <c r="K33" s="391"/>
      <c r="L33" s="42"/>
    </row>
    <row r="34" spans="9:12" ht="12.75">
      <c r="I34" s="42"/>
      <c r="J34" s="42"/>
      <c r="K34" s="391"/>
      <c r="L34" s="42"/>
    </row>
    <row r="35" spans="9:12" ht="12.75">
      <c r="I35" s="42"/>
      <c r="J35" s="42"/>
      <c r="K35" s="391"/>
      <c r="L35" s="42"/>
    </row>
    <row r="43" ht="12.75">
      <c r="H43" s="264" t="s">
        <v>838</v>
      </c>
    </row>
    <row r="44" ht="12.75">
      <c r="H44" s="264" t="s">
        <v>316</v>
      </c>
    </row>
  </sheetData>
  <printOptions horizontalCentered="1"/>
  <pageMargins left="0.9448818897637796" right="0.35433070866141736" top="0.984251968503937" bottom="0.984251968503937" header="0.5118110236220472" footer="0.5118110236220472"/>
  <pageSetup firstPageNumber="27" useFirstPageNumber="1" horizontalDpi="300" verticalDpi="300" orientation="portrait" paperSize="9" scale="96" r:id="rId1"/>
  <headerFooter alignWithMargins="0">
    <oddFooter>&amp;R&amp;9&amp;P</oddFooter>
  </headerFooter>
  <colBreaks count="2" manualBreakCount="2">
    <brk id="6" max="34" man="1"/>
    <brk id="13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CZ273"/>
  <sheetViews>
    <sheetView workbookViewId="0" topLeftCell="H1">
      <selection activeCell="H5" sqref="H5"/>
    </sheetView>
  </sheetViews>
  <sheetFormatPr defaultColWidth="9.140625" defaultRowHeight="12.75"/>
  <cols>
    <col min="1" max="1" width="36.00390625" style="49" hidden="1" customWidth="1"/>
    <col min="2" max="2" width="11.421875" style="49" hidden="1" customWidth="1"/>
    <col min="3" max="4" width="9.57421875" style="49" hidden="1" customWidth="1"/>
    <col min="5" max="5" width="2.7109375" style="49" hidden="1" customWidth="1"/>
    <col min="6" max="6" width="2.8515625" style="49" hidden="1" customWidth="1"/>
    <col min="7" max="7" width="8.00390625" style="38" hidden="1" customWidth="1"/>
    <col min="8" max="8" width="34.00390625" style="49" customWidth="1"/>
    <col min="9" max="9" width="10.7109375" style="49" customWidth="1"/>
    <col min="10" max="10" width="10.57421875" style="49" customWidth="1"/>
    <col min="11" max="11" width="8.140625" style="49" customWidth="1"/>
    <col min="12" max="12" width="8.7109375" style="49" customWidth="1"/>
    <col min="13" max="13" width="9.57421875" style="49" customWidth="1"/>
    <col min="14" max="14" width="8.57421875" style="49" customWidth="1"/>
    <col min="15" max="104" width="11.421875" style="0" customWidth="1"/>
    <col min="105" max="16384" width="11.421875" style="49" customWidth="1"/>
  </cols>
  <sheetData>
    <row r="1" spans="1:14" ht="17.25" customHeight="1">
      <c r="A1" s="51" t="s">
        <v>962</v>
      </c>
      <c r="B1" s="51"/>
      <c r="C1" s="171"/>
      <c r="D1" s="51"/>
      <c r="E1" s="51"/>
      <c r="F1" s="171"/>
      <c r="G1" s="38" t="s">
        <v>249</v>
      </c>
      <c r="H1" s="51" t="s">
        <v>962</v>
      </c>
      <c r="I1" s="51"/>
      <c r="J1" s="171"/>
      <c r="K1" s="51"/>
      <c r="L1" s="51"/>
      <c r="M1" s="171"/>
      <c r="N1" s="1" t="s">
        <v>250</v>
      </c>
    </row>
    <row r="2" spans="1:14" ht="12.75">
      <c r="A2" s="51"/>
      <c r="B2" s="51"/>
      <c r="C2" s="171"/>
      <c r="D2" s="51"/>
      <c r="E2" s="51"/>
      <c r="F2" s="171"/>
      <c r="H2" s="51"/>
      <c r="I2" s="51"/>
      <c r="J2" s="171"/>
      <c r="K2" s="51"/>
      <c r="L2" s="51"/>
      <c r="M2" s="171"/>
      <c r="N2" s="1"/>
    </row>
    <row r="3" spans="1:14" ht="18.75" customHeight="1">
      <c r="A3" s="414" t="s">
        <v>251</v>
      </c>
      <c r="B3" s="171"/>
      <c r="C3" s="171"/>
      <c r="D3" s="171"/>
      <c r="E3" s="171"/>
      <c r="F3" s="171"/>
      <c r="H3" s="414" t="s">
        <v>251</v>
      </c>
      <c r="I3" s="171"/>
      <c r="J3" s="171"/>
      <c r="K3" s="171"/>
      <c r="L3" s="171"/>
      <c r="M3" s="171"/>
      <c r="N3" s="1"/>
    </row>
    <row r="4" spans="1:14" ht="15" customHeight="1">
      <c r="A4" s="414" t="s">
        <v>331</v>
      </c>
      <c r="B4" s="171"/>
      <c r="C4" s="171"/>
      <c r="D4" s="171"/>
      <c r="E4" s="171"/>
      <c r="F4" s="171"/>
      <c r="H4" s="415" t="s">
        <v>318</v>
      </c>
      <c r="I4" s="171"/>
      <c r="J4" s="171"/>
      <c r="K4" s="171"/>
      <c r="L4" s="171"/>
      <c r="M4" s="171"/>
      <c r="N4" s="1"/>
    </row>
    <row r="5" spans="1:14" ht="11.25" customHeight="1">
      <c r="A5" s="1"/>
      <c r="B5" s="1"/>
      <c r="C5" s="1"/>
      <c r="D5" s="5"/>
      <c r="E5" s="39"/>
      <c r="F5" s="1"/>
      <c r="G5" s="2" t="s">
        <v>252</v>
      </c>
      <c r="H5" s="1"/>
      <c r="I5" s="1"/>
      <c r="J5" s="1"/>
      <c r="K5" s="5"/>
      <c r="L5" s="39"/>
      <c r="M5" s="1"/>
      <c r="N5" s="2" t="s">
        <v>38</v>
      </c>
    </row>
    <row r="6" spans="1:14" ht="79.5" customHeight="1">
      <c r="A6" s="9" t="s">
        <v>738</v>
      </c>
      <c r="B6" s="9" t="s">
        <v>843</v>
      </c>
      <c r="C6" s="9" t="s">
        <v>965</v>
      </c>
      <c r="D6" s="9" t="s">
        <v>844</v>
      </c>
      <c r="E6" s="9" t="s">
        <v>966</v>
      </c>
      <c r="F6" s="9" t="s">
        <v>253</v>
      </c>
      <c r="G6" s="9" t="s">
        <v>254</v>
      </c>
      <c r="H6" s="9" t="s">
        <v>738</v>
      </c>
      <c r="I6" s="9" t="s">
        <v>843</v>
      </c>
      <c r="J6" s="9" t="s">
        <v>965</v>
      </c>
      <c r="K6" s="9" t="s">
        <v>844</v>
      </c>
      <c r="L6" s="9" t="s">
        <v>966</v>
      </c>
      <c r="M6" s="9" t="s">
        <v>967</v>
      </c>
      <c r="N6" s="9" t="s">
        <v>308</v>
      </c>
    </row>
    <row r="7" spans="1:14" ht="12.7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3">
        <v>7</v>
      </c>
      <c r="H7" s="9">
        <v>1</v>
      </c>
      <c r="I7" s="9">
        <v>2</v>
      </c>
      <c r="J7" s="9">
        <v>3</v>
      </c>
      <c r="K7" s="9">
        <v>4</v>
      </c>
      <c r="L7" s="9">
        <v>5</v>
      </c>
      <c r="M7" s="9">
        <v>6</v>
      </c>
      <c r="N7" s="91">
        <v>7</v>
      </c>
    </row>
    <row r="8" spans="1:104" ht="38.25">
      <c r="A8" s="416" t="s">
        <v>255</v>
      </c>
      <c r="B8" s="417">
        <f>B9+B12</f>
        <v>61319905</v>
      </c>
      <c r="C8" s="417">
        <f>C9+C12</f>
        <v>47769447</v>
      </c>
      <c r="D8" s="417">
        <f>D9+D12</f>
        <v>20407047</v>
      </c>
      <c r="E8" s="418">
        <f aca="true" t="shared" si="0" ref="E8:E71">IF(ISERROR(D8/B8)," ",(D8/B8))</f>
        <v>0.3327964549194915</v>
      </c>
      <c r="F8" s="418">
        <f aca="true" t="shared" si="1" ref="F8:F72">IF(ISERROR(D8/C8)," ",(D8/C8))</f>
        <v>0.4271987280907815</v>
      </c>
      <c r="G8" s="419">
        <f>D8-'[22]Oktobris'!D8</f>
        <v>1865631</v>
      </c>
      <c r="H8" s="416" t="s">
        <v>255</v>
      </c>
      <c r="I8" s="417">
        <f>I9+I12</f>
        <v>61320</v>
      </c>
      <c r="J8" s="420">
        <f>J9+J12</f>
        <v>47769</v>
      </c>
      <c r="K8" s="420">
        <f>K9+K12</f>
        <v>20407</v>
      </c>
      <c r="L8" s="421">
        <f aca="true" t="shared" si="2" ref="L8:L71">IF(ISERROR(ROUND(K8,0)/ROUND(I8,0))," ",(ROUND(K8,)/ROUND(I8,)))*100</f>
        <v>33.2795172863666</v>
      </c>
      <c r="M8" s="421">
        <f aca="true" t="shared" si="3" ref="M8:M46">IF(ISERROR(ROUND(K8,0)/ROUND(J8,0))," ",(ROUND(K8,)/ROUND(J8,)))*100</f>
        <v>42.72017417153384</v>
      </c>
      <c r="N8" s="420">
        <f>K8-'[22]Oktobris'!K8</f>
        <v>1865</v>
      </c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</row>
    <row r="9" spans="1:104" s="423" customFormat="1" ht="15" customHeight="1">
      <c r="A9" s="422" t="s">
        <v>973</v>
      </c>
      <c r="B9" s="417">
        <f>SUM(B10:B11)</f>
        <v>52377182</v>
      </c>
      <c r="C9" s="417">
        <f>SUM(C10:C11)</f>
        <v>39596716</v>
      </c>
      <c r="D9" s="417">
        <f>SUM(D10:D11)</f>
        <v>14468853</v>
      </c>
      <c r="E9" s="418">
        <f t="shared" si="0"/>
        <v>0.2762434412756303</v>
      </c>
      <c r="F9" s="418">
        <f t="shared" si="1"/>
        <v>0.3654053785672529</v>
      </c>
      <c r="G9" s="419">
        <f>D9-'[22]Oktobris'!D9</f>
        <v>1277191</v>
      </c>
      <c r="H9" s="422" t="s">
        <v>973</v>
      </c>
      <c r="I9" s="417">
        <f>SUM(I10:I11)</f>
        <v>52377</v>
      </c>
      <c r="J9" s="417">
        <f>SUM(J10:J11)</f>
        <v>39596</v>
      </c>
      <c r="K9" s="417">
        <f>SUM(K10:K11)</f>
        <v>14469</v>
      </c>
      <c r="L9" s="421">
        <f t="shared" si="2"/>
        <v>27.624720774385704</v>
      </c>
      <c r="M9" s="421">
        <f t="shared" si="3"/>
        <v>36.54156985554096</v>
      </c>
      <c r="N9" s="417">
        <f>K9-'[22]Oktobris'!K9</f>
        <v>1277</v>
      </c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</row>
    <row r="10" spans="1:104" s="427" customFormat="1" ht="13.5" customHeight="1">
      <c r="A10" s="424" t="s">
        <v>256</v>
      </c>
      <c r="B10" s="11">
        <f>SUM(B20,B29,B35,B42,B49,B55,B62,B89,B68,B75,B82,B94,B101,B107)</f>
        <v>32022041</v>
      </c>
      <c r="C10" s="11">
        <f>SUM(C17,C20,C26,C29,C35,C42,C49,C55,C62,C89,C68,C75,C82,C94,C101,C107)</f>
        <v>21695486</v>
      </c>
      <c r="D10" s="11">
        <f>SUM(D17,D20,D26,D29,D35,D42,D49,D55,D62,D89,D68,D75,D82,D94,D101,D107)</f>
        <v>7488721</v>
      </c>
      <c r="E10" s="425">
        <f t="shared" si="0"/>
        <v>0.23386145186685633</v>
      </c>
      <c r="F10" s="425">
        <f t="shared" si="1"/>
        <v>0.34517415281685787</v>
      </c>
      <c r="G10" s="419">
        <f>D10-'[22]Oktobris'!D10</f>
        <v>541935</v>
      </c>
      <c r="H10" s="424" t="s">
        <v>256</v>
      </c>
      <c r="I10" s="11">
        <f>SUM(I17,I20,I26,I29,I35,I42,I49,I55,I62,I68,I75,I82,I101,I107,I89,I94)</f>
        <v>32022</v>
      </c>
      <c r="J10" s="356">
        <f>SUM(J17,J20,J26,J29,J35,J42,J49,J55,J62,J89,J68,J75,J82,J94,J101,J107)</f>
        <v>21695</v>
      </c>
      <c r="K10" s="356">
        <f>SUM(K17,K20,K26,K29,K35,K42,K49,K55,K62,K68,K75,K82,K89,K101,K107)</f>
        <v>7488</v>
      </c>
      <c r="L10" s="58">
        <f t="shared" si="2"/>
        <v>23.38392355255762</v>
      </c>
      <c r="M10" s="58">
        <f t="shared" si="3"/>
        <v>34.51486517630791</v>
      </c>
      <c r="N10" s="356">
        <f>K10-'[22]Oktobris'!K10</f>
        <v>541</v>
      </c>
      <c r="O10" s="426"/>
      <c r="P10" s="426"/>
      <c r="Q10" s="426"/>
      <c r="R10" s="426"/>
      <c r="S10" s="426"/>
      <c r="T10" s="426"/>
      <c r="U10" s="426"/>
      <c r="V10" s="426"/>
      <c r="W10" s="426"/>
      <c r="X10" s="426"/>
      <c r="Y10" s="426"/>
      <c r="Z10" s="426"/>
      <c r="AA10" s="426"/>
      <c r="AB10" s="426"/>
      <c r="AC10" s="426"/>
      <c r="AD10" s="426"/>
      <c r="AE10" s="426"/>
      <c r="AF10" s="426"/>
      <c r="AG10" s="426"/>
      <c r="AH10" s="426"/>
      <c r="AI10" s="426"/>
      <c r="AJ10" s="426"/>
      <c r="AK10" s="426"/>
      <c r="AL10" s="426"/>
      <c r="AM10" s="426"/>
      <c r="AN10" s="426"/>
      <c r="AO10" s="426"/>
      <c r="AP10" s="426"/>
      <c r="AQ10" s="426"/>
      <c r="AR10" s="426"/>
      <c r="AS10" s="426"/>
      <c r="AT10" s="426"/>
      <c r="AU10" s="426"/>
      <c r="AV10" s="426"/>
      <c r="AW10" s="426"/>
      <c r="AX10" s="426"/>
      <c r="AY10" s="426"/>
      <c r="AZ10" s="426"/>
      <c r="BA10" s="426"/>
      <c r="BB10" s="426"/>
      <c r="BC10" s="426"/>
      <c r="BD10" s="426"/>
      <c r="BE10" s="426"/>
      <c r="BF10" s="426"/>
      <c r="BG10" s="426"/>
      <c r="BH10" s="426"/>
      <c r="BI10" s="426"/>
      <c r="BJ10" s="426"/>
      <c r="BK10" s="426"/>
      <c r="BL10" s="426"/>
      <c r="BM10" s="426"/>
      <c r="BN10" s="426"/>
      <c r="BO10" s="426"/>
      <c r="BP10" s="426"/>
      <c r="BQ10" s="426"/>
      <c r="BR10" s="426"/>
      <c r="BS10" s="426"/>
      <c r="BT10" s="426"/>
      <c r="BU10" s="426"/>
      <c r="BV10" s="426"/>
      <c r="BW10" s="426"/>
      <c r="BX10" s="426"/>
      <c r="BY10" s="426"/>
      <c r="BZ10" s="426"/>
      <c r="CA10" s="426"/>
      <c r="CB10" s="426"/>
      <c r="CC10" s="426"/>
      <c r="CD10" s="426"/>
      <c r="CE10" s="426"/>
      <c r="CF10" s="426"/>
      <c r="CG10" s="426"/>
      <c r="CH10" s="426"/>
      <c r="CI10" s="426"/>
      <c r="CJ10" s="426"/>
      <c r="CK10" s="426"/>
      <c r="CL10" s="426"/>
      <c r="CM10" s="426"/>
      <c r="CN10" s="426"/>
      <c r="CO10" s="426"/>
      <c r="CP10" s="426"/>
      <c r="CQ10" s="426"/>
      <c r="CR10" s="426"/>
      <c r="CS10" s="426"/>
      <c r="CT10" s="426"/>
      <c r="CU10" s="426"/>
      <c r="CV10" s="426"/>
      <c r="CW10" s="426"/>
      <c r="CX10" s="426"/>
      <c r="CY10" s="426"/>
      <c r="CZ10" s="426"/>
    </row>
    <row r="11" spans="1:104" s="427" customFormat="1" ht="14.25" customHeight="1">
      <c r="A11" s="424" t="s">
        <v>257</v>
      </c>
      <c r="B11" s="11">
        <f>SUM(B21,B30,B36,B43,B50,B56,B63,B69,B76,B83,B95,B102,)</f>
        <v>20355141</v>
      </c>
      <c r="C11" s="11">
        <f>SUM(C21,C30,C36,C43,C50,C56,C63,C69,C76,C83,C95,C102,)</f>
        <v>17901230</v>
      </c>
      <c r="D11" s="11">
        <f>SUM(D21,D30,D36,D43,D50,D56,D63,D69,D76,D83,D95,D102,)</f>
        <v>6980132</v>
      </c>
      <c r="E11" s="425">
        <f t="shared" si="0"/>
        <v>0.34291739860706444</v>
      </c>
      <c r="F11" s="425">
        <f t="shared" si="1"/>
        <v>0.38992471467044443</v>
      </c>
      <c r="G11" s="419">
        <f>D11-'[22]Oktobris'!D11</f>
        <v>735256</v>
      </c>
      <c r="H11" s="424" t="s">
        <v>257</v>
      </c>
      <c r="I11" s="11">
        <f>SUM(I21,I30,I36,I43,I50,I56,I63,I69,I76,I83,I95,I102)</f>
        <v>20355</v>
      </c>
      <c r="J11" s="11">
        <f>SUM(J21,J30,J36,J43,J50,J56,J63,J69,J76,J83,J95,J102)</f>
        <v>17901</v>
      </c>
      <c r="K11" s="11">
        <f>SUM(K21,K30,K36,K43,K50,K56,K63,K69,K76,K83,K95,K102)</f>
        <v>6981</v>
      </c>
      <c r="L11" s="58">
        <f t="shared" si="2"/>
        <v>34.29624170965365</v>
      </c>
      <c r="M11" s="58">
        <f t="shared" si="3"/>
        <v>38.99782135076253</v>
      </c>
      <c r="N11" s="356">
        <f>K11-'[22]Oktobris'!K11</f>
        <v>736</v>
      </c>
      <c r="O11" s="426"/>
      <c r="P11" s="426"/>
      <c r="Q11" s="426"/>
      <c r="R11" s="426"/>
      <c r="S11" s="426"/>
      <c r="T11" s="426"/>
      <c r="U11" s="426"/>
      <c r="V11" s="426"/>
      <c r="W11" s="426"/>
      <c r="X11" s="426"/>
      <c r="Y11" s="426"/>
      <c r="Z11" s="426"/>
      <c r="AA11" s="426"/>
      <c r="AB11" s="426"/>
      <c r="AC11" s="426"/>
      <c r="AD11" s="426"/>
      <c r="AE11" s="426"/>
      <c r="AF11" s="426"/>
      <c r="AG11" s="426"/>
      <c r="AH11" s="426"/>
      <c r="AI11" s="426"/>
      <c r="AJ11" s="426"/>
      <c r="AK11" s="426"/>
      <c r="AL11" s="426"/>
      <c r="AM11" s="426"/>
      <c r="AN11" s="426"/>
      <c r="AO11" s="426"/>
      <c r="AP11" s="426"/>
      <c r="AQ11" s="426"/>
      <c r="AR11" s="426"/>
      <c r="AS11" s="426"/>
      <c r="AT11" s="426"/>
      <c r="AU11" s="426"/>
      <c r="AV11" s="426"/>
      <c r="AW11" s="426"/>
      <c r="AX11" s="426"/>
      <c r="AY11" s="426"/>
      <c r="AZ11" s="426"/>
      <c r="BA11" s="426"/>
      <c r="BB11" s="426"/>
      <c r="BC11" s="426"/>
      <c r="BD11" s="426"/>
      <c r="BE11" s="426"/>
      <c r="BF11" s="426"/>
      <c r="BG11" s="426"/>
      <c r="BH11" s="426"/>
      <c r="BI11" s="426"/>
      <c r="BJ11" s="426"/>
      <c r="BK11" s="426"/>
      <c r="BL11" s="426"/>
      <c r="BM11" s="426"/>
      <c r="BN11" s="426"/>
      <c r="BO11" s="426"/>
      <c r="BP11" s="426"/>
      <c r="BQ11" s="426"/>
      <c r="BR11" s="426"/>
      <c r="BS11" s="426"/>
      <c r="BT11" s="426"/>
      <c r="BU11" s="426"/>
      <c r="BV11" s="426"/>
      <c r="BW11" s="426"/>
      <c r="BX11" s="426"/>
      <c r="BY11" s="426"/>
      <c r="BZ11" s="426"/>
      <c r="CA11" s="426"/>
      <c r="CB11" s="426"/>
      <c r="CC11" s="426"/>
      <c r="CD11" s="426"/>
      <c r="CE11" s="426"/>
      <c r="CF11" s="426"/>
      <c r="CG11" s="426"/>
      <c r="CH11" s="426"/>
      <c r="CI11" s="426"/>
      <c r="CJ11" s="426"/>
      <c r="CK11" s="426"/>
      <c r="CL11" s="426"/>
      <c r="CM11" s="426"/>
      <c r="CN11" s="426"/>
      <c r="CO11" s="426"/>
      <c r="CP11" s="426"/>
      <c r="CQ11" s="426"/>
      <c r="CR11" s="426"/>
      <c r="CS11" s="426"/>
      <c r="CT11" s="426"/>
      <c r="CU11" s="426"/>
      <c r="CV11" s="426"/>
      <c r="CW11" s="426"/>
      <c r="CX11" s="426"/>
      <c r="CY11" s="426"/>
      <c r="CZ11" s="426"/>
    </row>
    <row r="12" spans="1:104" s="60" customFormat="1" ht="14.25" customHeight="1">
      <c r="A12" s="422" t="s">
        <v>258</v>
      </c>
      <c r="B12" s="417">
        <f>SUM(B13:B14)</f>
        <v>8942723</v>
      </c>
      <c r="C12" s="417">
        <f>SUM(C13:C14)</f>
        <v>8172731</v>
      </c>
      <c r="D12" s="417">
        <f>SUM(D13:D14)</f>
        <v>5938194</v>
      </c>
      <c r="E12" s="418">
        <f t="shared" si="0"/>
        <v>0.6640252638933354</v>
      </c>
      <c r="F12" s="425">
        <f t="shared" si="1"/>
        <v>0.7265862537259578</v>
      </c>
      <c r="G12" s="419">
        <f>D12-'[22]Oktobris'!D12</f>
        <v>588440</v>
      </c>
      <c r="H12" s="422" t="s">
        <v>258</v>
      </c>
      <c r="I12" s="417">
        <f>SUM(I13:I14)</f>
        <v>8943</v>
      </c>
      <c r="J12" s="420">
        <f>SUM(J13:J14)</f>
        <v>8173</v>
      </c>
      <c r="K12" s="420">
        <f>SUM(K13:K14)</f>
        <v>5938</v>
      </c>
      <c r="L12" s="421">
        <f t="shared" si="2"/>
        <v>66.39830034663983</v>
      </c>
      <c r="M12" s="421">
        <f t="shared" si="3"/>
        <v>72.65386027162609</v>
      </c>
      <c r="N12" s="420">
        <f>K12-'[22]Oktobris'!K12</f>
        <v>588</v>
      </c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</row>
    <row r="13" spans="1:104" s="427" customFormat="1" ht="13.5" customHeight="1">
      <c r="A13" s="424" t="s">
        <v>256</v>
      </c>
      <c r="B13" s="11">
        <f>B23+B32+B38+B45+B52+B58+B71+B78+B91+B97+B104+B109</f>
        <v>3721447</v>
      </c>
      <c r="C13" s="11">
        <f>C23+C32+C38+C45+C52+C58+C71+C78+C85+C91+C97+C104+C109</f>
        <v>3573185</v>
      </c>
      <c r="D13" s="11">
        <f>D23+D32+D38+D45+D52+D58+D71+D78+D85+D91+D97+D104+D109</f>
        <v>2920897</v>
      </c>
      <c r="E13" s="425">
        <f t="shared" si="0"/>
        <v>0.7848820633479396</v>
      </c>
      <c r="F13" s="425">
        <f t="shared" si="1"/>
        <v>0.817449138513679</v>
      </c>
      <c r="G13" s="419">
        <f>D13-'[22]Oktobris'!D13</f>
        <v>141784</v>
      </c>
      <c r="H13" s="424" t="s">
        <v>256</v>
      </c>
      <c r="I13" s="11">
        <f>I23+I32+I38+I45+I52+I58+I71+I78+I85+I104+I91+I97+I109</f>
        <v>3721</v>
      </c>
      <c r="J13" s="356">
        <f>J23+J32+J38+J45+J52+J58+J71+J78+J85+J91+J97+J104+J109</f>
        <v>3573</v>
      </c>
      <c r="K13" s="356">
        <f>K23+K32+K38+K45+K52+K58+K71+K78+K85+K91+K97+K104+K109</f>
        <v>2921</v>
      </c>
      <c r="L13" s="58">
        <f t="shared" si="2"/>
        <v>78.50040311744155</v>
      </c>
      <c r="M13" s="58">
        <f t="shared" si="3"/>
        <v>81.75202910719284</v>
      </c>
      <c r="N13" s="356">
        <f>K13-'[22]Oktobris'!K13</f>
        <v>142</v>
      </c>
      <c r="O13" s="426"/>
      <c r="P13" s="426"/>
      <c r="Q13" s="426"/>
      <c r="R13" s="426"/>
      <c r="S13" s="426"/>
      <c r="T13" s="426"/>
      <c r="U13" s="426"/>
      <c r="V13" s="426"/>
      <c r="W13" s="426"/>
      <c r="X13" s="426"/>
      <c r="Y13" s="426"/>
      <c r="Z13" s="426"/>
      <c r="AA13" s="426"/>
      <c r="AB13" s="426"/>
      <c r="AC13" s="426"/>
      <c r="AD13" s="426"/>
      <c r="AE13" s="426"/>
      <c r="AF13" s="426"/>
      <c r="AG13" s="426"/>
      <c r="AH13" s="426"/>
      <c r="AI13" s="426"/>
      <c r="AJ13" s="426"/>
      <c r="AK13" s="426"/>
      <c r="AL13" s="426"/>
      <c r="AM13" s="426"/>
      <c r="AN13" s="426"/>
      <c r="AO13" s="426"/>
      <c r="AP13" s="426"/>
      <c r="AQ13" s="426"/>
      <c r="AR13" s="426"/>
      <c r="AS13" s="426"/>
      <c r="AT13" s="426"/>
      <c r="AU13" s="426"/>
      <c r="AV13" s="426"/>
      <c r="AW13" s="426"/>
      <c r="AX13" s="426"/>
      <c r="AY13" s="426"/>
      <c r="AZ13" s="426"/>
      <c r="BA13" s="426"/>
      <c r="BB13" s="426"/>
      <c r="BC13" s="426"/>
      <c r="BD13" s="426"/>
      <c r="BE13" s="426"/>
      <c r="BF13" s="426"/>
      <c r="BG13" s="426"/>
      <c r="BH13" s="426"/>
      <c r="BI13" s="426"/>
      <c r="BJ13" s="426"/>
      <c r="BK13" s="426"/>
      <c r="BL13" s="426"/>
      <c r="BM13" s="426"/>
      <c r="BN13" s="426"/>
      <c r="BO13" s="426"/>
      <c r="BP13" s="426"/>
      <c r="BQ13" s="426"/>
      <c r="BR13" s="426"/>
      <c r="BS13" s="426"/>
      <c r="BT13" s="426"/>
      <c r="BU13" s="426"/>
      <c r="BV13" s="426"/>
      <c r="BW13" s="426"/>
      <c r="BX13" s="426"/>
      <c r="BY13" s="426"/>
      <c r="BZ13" s="426"/>
      <c r="CA13" s="426"/>
      <c r="CB13" s="426"/>
      <c r="CC13" s="426"/>
      <c r="CD13" s="426"/>
      <c r="CE13" s="426"/>
      <c r="CF13" s="426"/>
      <c r="CG13" s="426"/>
      <c r="CH13" s="426"/>
      <c r="CI13" s="426"/>
      <c r="CJ13" s="426"/>
      <c r="CK13" s="426"/>
      <c r="CL13" s="426"/>
      <c r="CM13" s="426"/>
      <c r="CN13" s="426"/>
      <c r="CO13" s="426"/>
      <c r="CP13" s="426"/>
      <c r="CQ13" s="426"/>
      <c r="CR13" s="426"/>
      <c r="CS13" s="426"/>
      <c r="CT13" s="426"/>
      <c r="CU13" s="426"/>
      <c r="CV13" s="426"/>
      <c r="CW13" s="426"/>
      <c r="CX13" s="426"/>
      <c r="CY13" s="426"/>
      <c r="CZ13" s="426"/>
    </row>
    <row r="14" spans="1:104" s="427" customFormat="1" ht="14.25" customHeight="1">
      <c r="A14" s="424" t="s">
        <v>257</v>
      </c>
      <c r="B14" s="11">
        <f>B39+B46+B59+B65+B72+B79+B86+B98</f>
        <v>5221276</v>
      </c>
      <c r="C14" s="11">
        <f>C39+C46+C59+C65+C72+C79+C86+C98</f>
        <v>4599546</v>
      </c>
      <c r="D14" s="11">
        <f>D39+D46+D59+D65+D72+D79+D86+D98</f>
        <v>3017297</v>
      </c>
      <c r="E14" s="425">
        <f t="shared" si="0"/>
        <v>0.5778849844367545</v>
      </c>
      <c r="F14" s="425">
        <f t="shared" si="1"/>
        <v>0.6559988746715437</v>
      </c>
      <c r="G14" s="419">
        <f>D14-'[22]Oktobris'!D14</f>
        <v>446656</v>
      </c>
      <c r="H14" s="424" t="s">
        <v>257</v>
      </c>
      <c r="I14" s="11">
        <f>I39+I46+I59+I65+I72+I79+I86+I98</f>
        <v>5222</v>
      </c>
      <c r="J14" s="428">
        <f>J39+J46+J59+J65+J72+J79+J86+J98</f>
        <v>4600</v>
      </c>
      <c r="K14" s="428">
        <f>K39+K46+K59+K65+K72+K79+K86+K98</f>
        <v>3017</v>
      </c>
      <c r="L14" s="58">
        <f t="shared" si="2"/>
        <v>57.77479892761394</v>
      </c>
      <c r="M14" s="58">
        <f t="shared" si="3"/>
        <v>65.58695652173913</v>
      </c>
      <c r="N14" s="428">
        <f>K14-'[22]Oktobris'!K14</f>
        <v>446</v>
      </c>
      <c r="O14" s="426"/>
      <c r="P14" s="426"/>
      <c r="Q14" s="426"/>
      <c r="R14" s="426"/>
      <c r="S14" s="426"/>
      <c r="T14" s="426"/>
      <c r="U14" s="426"/>
      <c r="V14" s="426"/>
      <c r="W14" s="426"/>
      <c r="X14" s="426"/>
      <c r="Y14" s="426"/>
      <c r="Z14" s="426"/>
      <c r="AA14" s="426"/>
      <c r="AB14" s="426"/>
      <c r="AC14" s="426"/>
      <c r="AD14" s="426"/>
      <c r="AE14" s="426"/>
      <c r="AF14" s="426"/>
      <c r="AG14" s="426"/>
      <c r="AH14" s="426"/>
      <c r="AI14" s="426"/>
      <c r="AJ14" s="426"/>
      <c r="AK14" s="426"/>
      <c r="AL14" s="426"/>
      <c r="AM14" s="426"/>
      <c r="AN14" s="426"/>
      <c r="AO14" s="426"/>
      <c r="AP14" s="426"/>
      <c r="AQ14" s="426"/>
      <c r="AR14" s="426"/>
      <c r="AS14" s="426"/>
      <c r="AT14" s="426"/>
      <c r="AU14" s="426"/>
      <c r="AV14" s="426"/>
      <c r="AW14" s="426"/>
      <c r="AX14" s="426"/>
      <c r="AY14" s="426"/>
      <c r="AZ14" s="426"/>
      <c r="BA14" s="426"/>
      <c r="BB14" s="426"/>
      <c r="BC14" s="426"/>
      <c r="BD14" s="426"/>
      <c r="BE14" s="426"/>
      <c r="BF14" s="426"/>
      <c r="BG14" s="426"/>
      <c r="BH14" s="426"/>
      <c r="BI14" s="426"/>
      <c r="BJ14" s="426"/>
      <c r="BK14" s="426"/>
      <c r="BL14" s="426"/>
      <c r="BM14" s="426"/>
      <c r="BN14" s="426"/>
      <c r="BO14" s="426"/>
      <c r="BP14" s="426"/>
      <c r="BQ14" s="426"/>
      <c r="BR14" s="426"/>
      <c r="BS14" s="426"/>
      <c r="BT14" s="426"/>
      <c r="BU14" s="426"/>
      <c r="BV14" s="426"/>
      <c r="BW14" s="426"/>
      <c r="BX14" s="426"/>
      <c r="BY14" s="426"/>
      <c r="BZ14" s="426"/>
      <c r="CA14" s="426"/>
      <c r="CB14" s="426"/>
      <c r="CC14" s="426"/>
      <c r="CD14" s="426"/>
      <c r="CE14" s="426"/>
      <c r="CF14" s="426"/>
      <c r="CG14" s="426"/>
      <c r="CH14" s="426"/>
      <c r="CI14" s="426"/>
      <c r="CJ14" s="426"/>
      <c r="CK14" s="426"/>
      <c r="CL14" s="426"/>
      <c r="CM14" s="426"/>
      <c r="CN14" s="426"/>
      <c r="CO14" s="426"/>
      <c r="CP14" s="426"/>
      <c r="CQ14" s="426"/>
      <c r="CR14" s="426"/>
      <c r="CS14" s="426"/>
      <c r="CT14" s="426"/>
      <c r="CU14" s="426"/>
      <c r="CV14" s="426"/>
      <c r="CW14" s="426"/>
      <c r="CX14" s="426"/>
      <c r="CY14" s="426"/>
      <c r="CZ14" s="426"/>
    </row>
    <row r="15" spans="1:104" s="66" customFormat="1" ht="13.5" customHeight="1" hidden="1">
      <c r="A15" s="74" t="s">
        <v>983</v>
      </c>
      <c r="B15" s="356">
        <f aca="true" t="shared" si="4" ref="B15:D16">B16</f>
        <v>0</v>
      </c>
      <c r="C15" s="356">
        <f t="shared" si="4"/>
        <v>0</v>
      </c>
      <c r="D15" s="356">
        <f t="shared" si="4"/>
        <v>0</v>
      </c>
      <c r="E15" s="425" t="str">
        <f t="shared" si="0"/>
        <v> </v>
      </c>
      <c r="F15" s="425" t="str">
        <f t="shared" si="1"/>
        <v> </v>
      </c>
      <c r="G15" s="419">
        <f>D15-'[22]Oktobris'!D15</f>
        <v>0</v>
      </c>
      <c r="H15" s="74" t="s">
        <v>983</v>
      </c>
      <c r="I15" s="356">
        <f aca="true" t="shared" si="5" ref="I15:K16">I16</f>
        <v>0</v>
      </c>
      <c r="J15" s="356">
        <f t="shared" si="5"/>
        <v>0</v>
      </c>
      <c r="K15" s="356">
        <f t="shared" si="5"/>
        <v>0</v>
      </c>
      <c r="L15" s="58" t="e">
        <f t="shared" si="2"/>
        <v>#VALUE!</v>
      </c>
      <c r="M15" s="58" t="e">
        <f t="shared" si="3"/>
        <v>#VALUE!</v>
      </c>
      <c r="N15" s="356">
        <f>K15-'[22]Oktobris'!K15</f>
        <v>0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</row>
    <row r="16" spans="1:104" s="427" customFormat="1" ht="12.75" hidden="1">
      <c r="A16" s="429" t="s">
        <v>259</v>
      </c>
      <c r="B16" s="430">
        <f t="shared" si="4"/>
        <v>0</v>
      </c>
      <c r="C16" s="430">
        <f t="shared" si="4"/>
        <v>0</v>
      </c>
      <c r="D16" s="430">
        <f t="shared" si="4"/>
        <v>0</v>
      </c>
      <c r="E16" s="425" t="str">
        <f t="shared" si="0"/>
        <v> </v>
      </c>
      <c r="F16" s="425" t="str">
        <f t="shared" si="1"/>
        <v> </v>
      </c>
      <c r="G16" s="419">
        <f>D16-'[22]Oktobris'!D16</f>
        <v>0</v>
      </c>
      <c r="H16" s="429" t="s">
        <v>259</v>
      </c>
      <c r="I16" s="430">
        <f t="shared" si="5"/>
        <v>0</v>
      </c>
      <c r="J16" s="430">
        <f t="shared" si="5"/>
        <v>0</v>
      </c>
      <c r="K16" s="430">
        <f t="shared" si="5"/>
        <v>0</v>
      </c>
      <c r="L16" s="431" t="e">
        <f t="shared" si="2"/>
        <v>#VALUE!</v>
      </c>
      <c r="M16" s="431" t="e">
        <f t="shared" si="3"/>
        <v>#VALUE!</v>
      </c>
      <c r="N16" s="430">
        <f>K16-'[22]Oktobris'!K16</f>
        <v>0</v>
      </c>
      <c r="O16" s="426"/>
      <c r="P16" s="426"/>
      <c r="Q16" s="426"/>
      <c r="R16" s="426"/>
      <c r="S16" s="426"/>
      <c r="T16" s="426"/>
      <c r="U16" s="426"/>
      <c r="V16" s="426"/>
      <c r="W16" s="426"/>
      <c r="X16" s="426"/>
      <c r="Y16" s="426"/>
      <c r="Z16" s="426"/>
      <c r="AA16" s="426"/>
      <c r="AB16" s="426"/>
      <c r="AC16" s="426"/>
      <c r="AD16" s="426"/>
      <c r="AE16" s="426"/>
      <c r="AF16" s="426"/>
      <c r="AG16" s="426"/>
      <c r="AH16" s="426"/>
      <c r="AI16" s="426"/>
      <c r="AJ16" s="426"/>
      <c r="AK16" s="426"/>
      <c r="AL16" s="426"/>
      <c r="AM16" s="426"/>
      <c r="AN16" s="426"/>
      <c r="AO16" s="426"/>
      <c r="AP16" s="426"/>
      <c r="AQ16" s="426"/>
      <c r="AR16" s="426"/>
      <c r="AS16" s="426"/>
      <c r="AT16" s="426"/>
      <c r="AU16" s="426"/>
      <c r="AV16" s="426"/>
      <c r="AW16" s="426"/>
      <c r="AX16" s="426"/>
      <c r="AY16" s="426"/>
      <c r="AZ16" s="426"/>
      <c r="BA16" s="426"/>
      <c r="BB16" s="426"/>
      <c r="BC16" s="426"/>
      <c r="BD16" s="426"/>
      <c r="BE16" s="426"/>
      <c r="BF16" s="426"/>
      <c r="BG16" s="426"/>
      <c r="BH16" s="426"/>
      <c r="BI16" s="426"/>
      <c r="BJ16" s="426"/>
      <c r="BK16" s="426"/>
      <c r="BL16" s="426"/>
      <c r="BM16" s="426"/>
      <c r="BN16" s="426"/>
      <c r="BO16" s="426"/>
      <c r="BP16" s="426"/>
      <c r="BQ16" s="426"/>
      <c r="BR16" s="426"/>
      <c r="BS16" s="426"/>
      <c r="BT16" s="426"/>
      <c r="BU16" s="426"/>
      <c r="BV16" s="426"/>
      <c r="BW16" s="426"/>
      <c r="BX16" s="426"/>
      <c r="BY16" s="426"/>
      <c r="BZ16" s="426"/>
      <c r="CA16" s="426"/>
      <c r="CB16" s="426"/>
      <c r="CC16" s="426"/>
      <c r="CD16" s="426"/>
      <c r="CE16" s="426"/>
      <c r="CF16" s="426"/>
      <c r="CG16" s="426"/>
      <c r="CH16" s="426"/>
      <c r="CI16" s="426"/>
      <c r="CJ16" s="426"/>
      <c r="CK16" s="426"/>
      <c r="CL16" s="426"/>
      <c r="CM16" s="426"/>
      <c r="CN16" s="426"/>
      <c r="CO16" s="426"/>
      <c r="CP16" s="426"/>
      <c r="CQ16" s="426"/>
      <c r="CR16" s="426"/>
      <c r="CS16" s="426"/>
      <c r="CT16" s="426"/>
      <c r="CU16" s="426"/>
      <c r="CV16" s="426"/>
      <c r="CW16" s="426"/>
      <c r="CX16" s="426"/>
      <c r="CY16" s="426"/>
      <c r="CZ16" s="426"/>
    </row>
    <row r="17" spans="1:104" s="60" customFormat="1" ht="12.75" hidden="1">
      <c r="A17" s="432" t="s">
        <v>256</v>
      </c>
      <c r="B17" s="433"/>
      <c r="C17" s="433"/>
      <c r="D17" s="433"/>
      <c r="E17" s="425" t="str">
        <f t="shared" si="0"/>
        <v> </v>
      </c>
      <c r="F17" s="425" t="str">
        <f t="shared" si="1"/>
        <v> </v>
      </c>
      <c r="G17" s="419">
        <f>D17-'[22]Oktobris'!D17</f>
        <v>0</v>
      </c>
      <c r="H17" s="432" t="s">
        <v>256</v>
      </c>
      <c r="I17" s="433">
        <f>ROUND(B17/1000,0)</f>
        <v>0</v>
      </c>
      <c r="J17" s="433">
        <f>ROUND(C17/1000,0)</f>
        <v>0</v>
      </c>
      <c r="K17" s="433">
        <f>ROUND(D17/1000,0)</f>
        <v>0</v>
      </c>
      <c r="L17" s="81" t="e">
        <f t="shared" si="2"/>
        <v>#VALUE!</v>
      </c>
      <c r="M17" s="81" t="e">
        <f t="shared" si="3"/>
        <v>#VALUE!</v>
      </c>
      <c r="N17" s="433">
        <f>K17-'[22]Oktobris'!K17</f>
        <v>0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</row>
    <row r="18" spans="1:104" s="66" customFormat="1" ht="13.5" customHeight="1">
      <c r="A18" s="74" t="s">
        <v>985</v>
      </c>
      <c r="B18" s="356">
        <f>B19+B22</f>
        <v>310539</v>
      </c>
      <c r="C18" s="356">
        <f>C19+C22</f>
        <v>308326</v>
      </c>
      <c r="D18" s="356">
        <f>D19+D22</f>
        <v>174937</v>
      </c>
      <c r="E18" s="434">
        <f t="shared" si="0"/>
        <v>0.5633334299395567</v>
      </c>
      <c r="F18" s="434">
        <f t="shared" si="1"/>
        <v>0.5673767376088945</v>
      </c>
      <c r="G18" s="419">
        <f>D18-'[22]Oktobris'!D18</f>
        <v>32060</v>
      </c>
      <c r="H18" s="74" t="s">
        <v>985</v>
      </c>
      <c r="I18" s="356">
        <f>I19+I22</f>
        <v>310</v>
      </c>
      <c r="J18" s="356">
        <f>J19+J22</f>
        <v>308</v>
      </c>
      <c r="K18" s="356">
        <f>K19+K22</f>
        <v>175</v>
      </c>
      <c r="L18" s="58">
        <f t="shared" si="2"/>
        <v>56.451612903225815</v>
      </c>
      <c r="M18" s="58">
        <f t="shared" si="3"/>
        <v>56.81818181818182</v>
      </c>
      <c r="N18" s="356">
        <f>K18-'[22]Oktobris'!K18</f>
        <v>32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</row>
    <row r="19" spans="1:104" s="427" customFormat="1" ht="12.75">
      <c r="A19" s="429" t="s">
        <v>259</v>
      </c>
      <c r="B19" s="430">
        <f>B20+B21</f>
        <v>284346</v>
      </c>
      <c r="C19" s="430">
        <f>C20+C21</f>
        <v>284346</v>
      </c>
      <c r="D19" s="430">
        <f>D20+D21</f>
        <v>150980</v>
      </c>
      <c r="E19" s="425">
        <f t="shared" si="0"/>
        <v>0.5309728288774943</v>
      </c>
      <c r="F19" s="425">
        <f t="shared" si="1"/>
        <v>0.5309728288774943</v>
      </c>
      <c r="G19" s="419">
        <f>D19-'[22]Oktobris'!D19</f>
        <v>29881</v>
      </c>
      <c r="H19" s="429" t="s">
        <v>259</v>
      </c>
      <c r="I19" s="430">
        <f>I20+I21</f>
        <v>284</v>
      </c>
      <c r="J19" s="430">
        <f>J20+J21</f>
        <v>284</v>
      </c>
      <c r="K19" s="430">
        <f>K20+K21</f>
        <v>151</v>
      </c>
      <c r="L19" s="431">
        <f t="shared" si="2"/>
        <v>53.16901408450704</v>
      </c>
      <c r="M19" s="431">
        <f t="shared" si="3"/>
        <v>53.16901408450704</v>
      </c>
      <c r="N19" s="430">
        <f>K19-'[22]Oktobris'!K19</f>
        <v>30</v>
      </c>
      <c r="O19" s="426"/>
      <c r="P19" s="426"/>
      <c r="Q19" s="426"/>
      <c r="R19" s="426"/>
      <c r="S19" s="426"/>
      <c r="T19" s="426"/>
      <c r="U19" s="426"/>
      <c r="V19" s="426"/>
      <c r="W19" s="426"/>
      <c r="X19" s="426"/>
      <c r="Y19" s="426"/>
      <c r="Z19" s="426"/>
      <c r="AA19" s="426"/>
      <c r="AB19" s="426"/>
      <c r="AC19" s="426"/>
      <c r="AD19" s="426"/>
      <c r="AE19" s="426"/>
      <c r="AF19" s="426"/>
      <c r="AG19" s="426"/>
      <c r="AH19" s="426"/>
      <c r="AI19" s="426"/>
      <c r="AJ19" s="426"/>
      <c r="AK19" s="426"/>
      <c r="AL19" s="426"/>
      <c r="AM19" s="426"/>
      <c r="AN19" s="426"/>
      <c r="AO19" s="426"/>
      <c r="AP19" s="426"/>
      <c r="AQ19" s="426"/>
      <c r="AR19" s="426"/>
      <c r="AS19" s="426"/>
      <c r="AT19" s="426"/>
      <c r="AU19" s="426"/>
      <c r="AV19" s="426"/>
      <c r="AW19" s="426"/>
      <c r="AX19" s="426"/>
      <c r="AY19" s="426"/>
      <c r="AZ19" s="426"/>
      <c r="BA19" s="426"/>
      <c r="BB19" s="426"/>
      <c r="BC19" s="426"/>
      <c r="BD19" s="426"/>
      <c r="BE19" s="426"/>
      <c r="BF19" s="426"/>
      <c r="BG19" s="426"/>
      <c r="BH19" s="426"/>
      <c r="BI19" s="426"/>
      <c r="BJ19" s="426"/>
      <c r="BK19" s="426"/>
      <c r="BL19" s="426"/>
      <c r="BM19" s="426"/>
      <c r="BN19" s="426"/>
      <c r="BO19" s="426"/>
      <c r="BP19" s="426"/>
      <c r="BQ19" s="426"/>
      <c r="BR19" s="426"/>
      <c r="BS19" s="426"/>
      <c r="BT19" s="426"/>
      <c r="BU19" s="426"/>
      <c r="BV19" s="426"/>
      <c r="BW19" s="426"/>
      <c r="BX19" s="426"/>
      <c r="BY19" s="426"/>
      <c r="BZ19" s="426"/>
      <c r="CA19" s="426"/>
      <c r="CB19" s="426"/>
      <c r="CC19" s="426"/>
      <c r="CD19" s="426"/>
      <c r="CE19" s="426"/>
      <c r="CF19" s="426"/>
      <c r="CG19" s="426"/>
      <c r="CH19" s="426"/>
      <c r="CI19" s="426"/>
      <c r="CJ19" s="426"/>
      <c r="CK19" s="426"/>
      <c r="CL19" s="426"/>
      <c r="CM19" s="426"/>
      <c r="CN19" s="426"/>
      <c r="CO19" s="426"/>
      <c r="CP19" s="426"/>
      <c r="CQ19" s="426"/>
      <c r="CR19" s="426"/>
      <c r="CS19" s="426"/>
      <c r="CT19" s="426"/>
      <c r="CU19" s="426"/>
      <c r="CV19" s="426"/>
      <c r="CW19" s="426"/>
      <c r="CX19" s="426"/>
      <c r="CY19" s="426"/>
      <c r="CZ19" s="426"/>
    </row>
    <row r="20" spans="1:104" s="60" customFormat="1" ht="12.75">
      <c r="A20" s="432" t="s">
        <v>256</v>
      </c>
      <c r="B20" s="433">
        <v>261926</v>
      </c>
      <c r="C20" s="433">
        <v>261926</v>
      </c>
      <c r="D20" s="433">
        <v>129768</v>
      </c>
      <c r="E20" s="425">
        <f t="shared" si="0"/>
        <v>0.49543764269297436</v>
      </c>
      <c r="F20" s="425">
        <f t="shared" si="1"/>
        <v>0.49543764269297436</v>
      </c>
      <c r="G20" s="419">
        <f>D20-'[22]Oktobris'!D20</f>
        <v>8669</v>
      </c>
      <c r="H20" s="432" t="s">
        <v>256</v>
      </c>
      <c r="I20" s="433">
        <f aca="true" t="shared" si="6" ref="I20:K21">ROUND(B20/1000,0)</f>
        <v>262</v>
      </c>
      <c r="J20" s="433">
        <f t="shared" si="6"/>
        <v>262</v>
      </c>
      <c r="K20" s="433">
        <f t="shared" si="6"/>
        <v>130</v>
      </c>
      <c r="L20" s="81">
        <f t="shared" si="2"/>
        <v>49.61832061068702</v>
      </c>
      <c r="M20" s="81">
        <f t="shared" si="3"/>
        <v>49.61832061068702</v>
      </c>
      <c r="N20" s="433">
        <f>K20-'[22]Oktobris'!K20</f>
        <v>9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</row>
    <row r="21" spans="1:104" s="60" customFormat="1" ht="12.75">
      <c r="A21" s="432" t="s">
        <v>257</v>
      </c>
      <c r="B21" s="433">
        <v>22420</v>
      </c>
      <c r="C21" s="433">
        <v>22420</v>
      </c>
      <c r="D21" s="433">
        <v>21212</v>
      </c>
      <c r="E21" s="425">
        <f t="shared" si="0"/>
        <v>0.9461195361284568</v>
      </c>
      <c r="F21" s="425">
        <f t="shared" si="1"/>
        <v>0.9461195361284568</v>
      </c>
      <c r="G21" s="419">
        <f>D21</f>
        <v>21212</v>
      </c>
      <c r="H21" s="432" t="s">
        <v>257</v>
      </c>
      <c r="I21" s="433">
        <f t="shared" si="6"/>
        <v>22</v>
      </c>
      <c r="J21" s="433">
        <f t="shared" si="6"/>
        <v>22</v>
      </c>
      <c r="K21" s="433">
        <f t="shared" si="6"/>
        <v>21</v>
      </c>
      <c r="L21" s="81">
        <f t="shared" si="2"/>
        <v>95.45454545454545</v>
      </c>
      <c r="M21" s="81">
        <f t="shared" si="3"/>
        <v>95.45454545454545</v>
      </c>
      <c r="N21" s="433">
        <f>K21</f>
        <v>21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</row>
    <row r="22" spans="1:104" s="427" customFormat="1" ht="12.75">
      <c r="A22" s="429" t="s">
        <v>260</v>
      </c>
      <c r="B22" s="430">
        <f>B23</f>
        <v>26193</v>
      </c>
      <c r="C22" s="430">
        <f>C23</f>
        <v>23980</v>
      </c>
      <c r="D22" s="430">
        <f>D23</f>
        <v>23957</v>
      </c>
      <c r="E22" s="425">
        <f t="shared" si="0"/>
        <v>0.9146336807544</v>
      </c>
      <c r="F22" s="425">
        <f t="shared" si="1"/>
        <v>0.9990408673894913</v>
      </c>
      <c r="G22" s="419">
        <f>D22-'[22]Oktobris'!D21</f>
        <v>2179</v>
      </c>
      <c r="H22" s="429" t="s">
        <v>260</v>
      </c>
      <c r="I22" s="430">
        <f>I23</f>
        <v>26</v>
      </c>
      <c r="J22" s="430">
        <f>J23</f>
        <v>24</v>
      </c>
      <c r="K22" s="430">
        <f>K23</f>
        <v>24</v>
      </c>
      <c r="L22" s="431">
        <f t="shared" si="2"/>
        <v>92.3076923076923</v>
      </c>
      <c r="M22" s="431">
        <f t="shared" si="3"/>
        <v>100</v>
      </c>
      <c r="N22" s="430">
        <f>K22-'[22]Oktobris'!K21</f>
        <v>2</v>
      </c>
      <c r="O22" s="426"/>
      <c r="P22" s="426"/>
      <c r="Q22" s="426"/>
      <c r="R22" s="426"/>
      <c r="S22" s="426"/>
      <c r="T22" s="426"/>
      <c r="U22" s="426"/>
      <c r="V22" s="426"/>
      <c r="W22" s="426"/>
      <c r="X22" s="426"/>
      <c r="Y22" s="426"/>
      <c r="Z22" s="426"/>
      <c r="AA22" s="426"/>
      <c r="AB22" s="426"/>
      <c r="AC22" s="426"/>
      <c r="AD22" s="426"/>
      <c r="AE22" s="426"/>
      <c r="AF22" s="426"/>
      <c r="AG22" s="426"/>
      <c r="AH22" s="426"/>
      <c r="AI22" s="426"/>
      <c r="AJ22" s="426"/>
      <c r="AK22" s="426"/>
      <c r="AL22" s="426"/>
      <c r="AM22" s="426"/>
      <c r="AN22" s="426"/>
      <c r="AO22" s="426"/>
      <c r="AP22" s="426"/>
      <c r="AQ22" s="426"/>
      <c r="AR22" s="426"/>
      <c r="AS22" s="426"/>
      <c r="AT22" s="426"/>
      <c r="AU22" s="426"/>
      <c r="AV22" s="426"/>
      <c r="AW22" s="426"/>
      <c r="AX22" s="426"/>
      <c r="AY22" s="426"/>
      <c r="AZ22" s="426"/>
      <c r="BA22" s="426"/>
      <c r="BB22" s="426"/>
      <c r="BC22" s="426"/>
      <c r="BD22" s="426"/>
      <c r="BE22" s="426"/>
      <c r="BF22" s="426"/>
      <c r="BG22" s="426"/>
      <c r="BH22" s="426"/>
      <c r="BI22" s="426"/>
      <c r="BJ22" s="426"/>
      <c r="BK22" s="426"/>
      <c r="BL22" s="426"/>
      <c r="BM22" s="426"/>
      <c r="BN22" s="426"/>
      <c r="BO22" s="426"/>
      <c r="BP22" s="426"/>
      <c r="BQ22" s="426"/>
      <c r="BR22" s="426"/>
      <c r="BS22" s="426"/>
      <c r="BT22" s="426"/>
      <c r="BU22" s="426"/>
      <c r="BV22" s="426"/>
      <c r="BW22" s="426"/>
      <c r="BX22" s="426"/>
      <c r="BY22" s="426"/>
      <c r="BZ22" s="426"/>
      <c r="CA22" s="426"/>
      <c r="CB22" s="426"/>
      <c r="CC22" s="426"/>
      <c r="CD22" s="426"/>
      <c r="CE22" s="426"/>
      <c r="CF22" s="426"/>
      <c r="CG22" s="426"/>
      <c r="CH22" s="426"/>
      <c r="CI22" s="426"/>
      <c r="CJ22" s="426"/>
      <c r="CK22" s="426"/>
      <c r="CL22" s="426"/>
      <c r="CM22" s="426"/>
      <c r="CN22" s="426"/>
      <c r="CO22" s="426"/>
      <c r="CP22" s="426"/>
      <c r="CQ22" s="426"/>
      <c r="CR22" s="426"/>
      <c r="CS22" s="426"/>
      <c r="CT22" s="426"/>
      <c r="CU22" s="426"/>
      <c r="CV22" s="426"/>
      <c r="CW22" s="426"/>
      <c r="CX22" s="426"/>
      <c r="CY22" s="426"/>
      <c r="CZ22" s="426"/>
    </row>
    <row r="23" spans="1:104" s="60" customFormat="1" ht="12.75">
      <c r="A23" s="432" t="s">
        <v>256</v>
      </c>
      <c r="B23" s="433">
        <v>26193</v>
      </c>
      <c r="C23" s="433">
        <v>23980</v>
      </c>
      <c r="D23" s="433">
        <v>23957</v>
      </c>
      <c r="E23" s="425">
        <f t="shared" si="0"/>
        <v>0.9146336807544</v>
      </c>
      <c r="F23" s="425">
        <f t="shared" si="1"/>
        <v>0.9990408673894913</v>
      </c>
      <c r="G23" s="419">
        <f>D23-'[22]Oktobris'!D22</f>
        <v>2179</v>
      </c>
      <c r="H23" s="432" t="s">
        <v>256</v>
      </c>
      <c r="I23" s="433">
        <f>ROUND(B23/1000,0)</f>
        <v>26</v>
      </c>
      <c r="J23" s="433">
        <f>ROUND(C23/1000,0)</f>
        <v>24</v>
      </c>
      <c r="K23" s="433">
        <f>ROUND(D23/1000,0)</f>
        <v>24</v>
      </c>
      <c r="L23" s="81">
        <f t="shared" si="2"/>
        <v>92.3076923076923</v>
      </c>
      <c r="M23" s="81">
        <f t="shared" si="3"/>
        <v>100</v>
      </c>
      <c r="N23" s="433">
        <f>K23-'[22]Oktobris'!K22</f>
        <v>2</v>
      </c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</row>
    <row r="24" spans="1:104" s="66" customFormat="1" ht="13.5" customHeight="1" hidden="1">
      <c r="A24" s="74" t="s">
        <v>989</v>
      </c>
      <c r="B24" s="356">
        <f aca="true" t="shared" si="7" ref="B24:D25">B25</f>
        <v>0</v>
      </c>
      <c r="C24" s="356">
        <f t="shared" si="7"/>
        <v>0</v>
      </c>
      <c r="D24" s="356">
        <f t="shared" si="7"/>
        <v>0</v>
      </c>
      <c r="E24" s="434" t="str">
        <f t="shared" si="0"/>
        <v> </v>
      </c>
      <c r="F24" s="425" t="str">
        <f t="shared" si="1"/>
        <v> </v>
      </c>
      <c r="G24" s="419">
        <f>D24-'[22]Oktobris'!D23</f>
        <v>0</v>
      </c>
      <c r="H24" s="74" t="s">
        <v>989</v>
      </c>
      <c r="I24" s="356">
        <f aca="true" t="shared" si="8" ref="I24:K25">I25</f>
        <v>0</v>
      </c>
      <c r="J24" s="356">
        <f t="shared" si="8"/>
        <v>0</v>
      </c>
      <c r="K24" s="356">
        <f t="shared" si="8"/>
        <v>0</v>
      </c>
      <c r="L24" s="58" t="e">
        <f t="shared" si="2"/>
        <v>#VALUE!</v>
      </c>
      <c r="M24" s="58" t="e">
        <f t="shared" si="3"/>
        <v>#VALUE!</v>
      </c>
      <c r="N24" s="356">
        <f>K24-'[22]Oktobris'!K23</f>
        <v>0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</row>
    <row r="25" spans="1:104" s="427" customFormat="1" ht="12.75" hidden="1">
      <c r="A25" s="429" t="s">
        <v>259</v>
      </c>
      <c r="B25" s="430">
        <f t="shared" si="7"/>
        <v>0</v>
      </c>
      <c r="C25" s="430">
        <f t="shared" si="7"/>
        <v>0</v>
      </c>
      <c r="D25" s="430">
        <f t="shared" si="7"/>
        <v>0</v>
      </c>
      <c r="E25" s="425" t="str">
        <f t="shared" si="0"/>
        <v> </v>
      </c>
      <c r="F25" s="425" t="str">
        <f t="shared" si="1"/>
        <v> </v>
      </c>
      <c r="G25" s="419">
        <f>D25-'[22]Oktobris'!D24</f>
        <v>0</v>
      </c>
      <c r="H25" s="429" t="s">
        <v>259</v>
      </c>
      <c r="I25" s="430">
        <f t="shared" si="8"/>
        <v>0</v>
      </c>
      <c r="J25" s="430">
        <f t="shared" si="8"/>
        <v>0</v>
      </c>
      <c r="K25" s="430">
        <f t="shared" si="8"/>
        <v>0</v>
      </c>
      <c r="L25" s="431" t="e">
        <f t="shared" si="2"/>
        <v>#VALUE!</v>
      </c>
      <c r="M25" s="431" t="e">
        <f t="shared" si="3"/>
        <v>#VALUE!</v>
      </c>
      <c r="N25" s="430">
        <f>K25-'[22]Oktobris'!K24</f>
        <v>0</v>
      </c>
      <c r="O25" s="426"/>
      <c r="P25" s="426"/>
      <c r="Q25" s="426"/>
      <c r="R25" s="426"/>
      <c r="S25" s="426"/>
      <c r="T25" s="426"/>
      <c r="U25" s="426"/>
      <c r="V25" s="426"/>
      <c r="W25" s="426"/>
      <c r="X25" s="426"/>
      <c r="Y25" s="426"/>
      <c r="Z25" s="426"/>
      <c r="AA25" s="426"/>
      <c r="AB25" s="426"/>
      <c r="AC25" s="426"/>
      <c r="AD25" s="426"/>
      <c r="AE25" s="426"/>
      <c r="AF25" s="426"/>
      <c r="AG25" s="426"/>
      <c r="AH25" s="426"/>
      <c r="AI25" s="426"/>
      <c r="AJ25" s="426"/>
      <c r="AK25" s="426"/>
      <c r="AL25" s="426"/>
      <c r="AM25" s="426"/>
      <c r="AN25" s="426"/>
      <c r="AO25" s="426"/>
      <c r="AP25" s="426"/>
      <c r="AQ25" s="426"/>
      <c r="AR25" s="426"/>
      <c r="AS25" s="426"/>
      <c r="AT25" s="426"/>
      <c r="AU25" s="426"/>
      <c r="AV25" s="426"/>
      <c r="AW25" s="426"/>
      <c r="AX25" s="426"/>
      <c r="AY25" s="426"/>
      <c r="AZ25" s="426"/>
      <c r="BA25" s="426"/>
      <c r="BB25" s="426"/>
      <c r="BC25" s="426"/>
      <c r="BD25" s="426"/>
      <c r="BE25" s="426"/>
      <c r="BF25" s="426"/>
      <c r="BG25" s="426"/>
      <c r="BH25" s="426"/>
      <c r="BI25" s="426"/>
      <c r="BJ25" s="426"/>
      <c r="BK25" s="426"/>
      <c r="BL25" s="426"/>
      <c r="BM25" s="426"/>
      <c r="BN25" s="426"/>
      <c r="BO25" s="426"/>
      <c r="BP25" s="426"/>
      <c r="BQ25" s="426"/>
      <c r="BR25" s="426"/>
      <c r="BS25" s="426"/>
      <c r="BT25" s="426"/>
      <c r="BU25" s="426"/>
      <c r="BV25" s="426"/>
      <c r="BW25" s="426"/>
      <c r="BX25" s="426"/>
      <c r="BY25" s="426"/>
      <c r="BZ25" s="426"/>
      <c r="CA25" s="426"/>
      <c r="CB25" s="426"/>
      <c r="CC25" s="426"/>
      <c r="CD25" s="426"/>
      <c r="CE25" s="426"/>
      <c r="CF25" s="426"/>
      <c r="CG25" s="426"/>
      <c r="CH25" s="426"/>
      <c r="CI25" s="426"/>
      <c r="CJ25" s="426"/>
      <c r="CK25" s="426"/>
      <c r="CL25" s="426"/>
      <c r="CM25" s="426"/>
      <c r="CN25" s="426"/>
      <c r="CO25" s="426"/>
      <c r="CP25" s="426"/>
      <c r="CQ25" s="426"/>
      <c r="CR25" s="426"/>
      <c r="CS25" s="426"/>
      <c r="CT25" s="426"/>
      <c r="CU25" s="426"/>
      <c r="CV25" s="426"/>
      <c r="CW25" s="426"/>
      <c r="CX25" s="426"/>
      <c r="CY25" s="426"/>
      <c r="CZ25" s="426"/>
    </row>
    <row r="26" spans="1:104" s="60" customFormat="1" ht="12.75" hidden="1">
      <c r="A26" s="432" t="s">
        <v>256</v>
      </c>
      <c r="B26" s="433"/>
      <c r="C26" s="433"/>
      <c r="D26" s="433"/>
      <c r="E26" s="425" t="str">
        <f t="shared" si="0"/>
        <v> </v>
      </c>
      <c r="F26" s="425" t="str">
        <f t="shared" si="1"/>
        <v> </v>
      </c>
      <c r="G26" s="419">
        <f>D26-'[22]Oktobris'!D25</f>
        <v>0</v>
      </c>
      <c r="H26" s="432" t="s">
        <v>256</v>
      </c>
      <c r="I26" s="433">
        <f>ROUND(B26/1000,0)</f>
        <v>0</v>
      </c>
      <c r="J26" s="433">
        <f>ROUND(C26/1000,0)</f>
        <v>0</v>
      </c>
      <c r="K26" s="433">
        <f>ROUND(D26/1000,0)</f>
        <v>0</v>
      </c>
      <c r="L26" s="81" t="e">
        <f t="shared" si="2"/>
        <v>#VALUE!</v>
      </c>
      <c r="M26" s="81" t="e">
        <f t="shared" si="3"/>
        <v>#VALUE!</v>
      </c>
      <c r="N26" s="433">
        <f>K26-'[22]Oktobris'!K25</f>
        <v>0</v>
      </c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</row>
    <row r="27" spans="1:104" s="66" customFormat="1" ht="12">
      <c r="A27" s="74" t="s">
        <v>991</v>
      </c>
      <c r="B27" s="356">
        <f>B28+B31</f>
        <v>3257210</v>
      </c>
      <c r="C27" s="356">
        <f>C28+C31</f>
        <v>2970370</v>
      </c>
      <c r="D27" s="356">
        <f>D28+D31</f>
        <v>1414792</v>
      </c>
      <c r="E27" s="434">
        <f t="shared" si="0"/>
        <v>0.43435701106161406</v>
      </c>
      <c r="F27" s="434">
        <f t="shared" si="1"/>
        <v>0.47630160552389095</v>
      </c>
      <c r="G27" s="419">
        <f>D27-'[22]Oktobris'!D26</f>
        <v>154528</v>
      </c>
      <c r="H27" s="74" t="s">
        <v>332</v>
      </c>
      <c r="I27" s="356">
        <f>I28+I31</f>
        <v>3257</v>
      </c>
      <c r="J27" s="356">
        <f>J28+J31</f>
        <v>2971</v>
      </c>
      <c r="K27" s="356">
        <f>K28+K31</f>
        <v>1416</v>
      </c>
      <c r="L27" s="58">
        <f t="shared" si="2"/>
        <v>43.4755910346945</v>
      </c>
      <c r="M27" s="58">
        <f t="shared" si="3"/>
        <v>47.660720296196565</v>
      </c>
      <c r="N27" s="356">
        <f>K27-'[22]Oktobris'!K26</f>
        <v>155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</row>
    <row r="28" spans="1:104" s="427" customFormat="1" ht="12.75">
      <c r="A28" s="429" t="s">
        <v>259</v>
      </c>
      <c r="B28" s="430">
        <f>SUM(B29:B30)</f>
        <v>3240250</v>
      </c>
      <c r="C28" s="430">
        <f>SUM(C29:C30)</f>
        <v>2957650</v>
      </c>
      <c r="D28" s="430">
        <f>SUM(D29:D30)</f>
        <v>1402076</v>
      </c>
      <c r="E28" s="425">
        <f t="shared" si="0"/>
        <v>0.4327061183550652</v>
      </c>
      <c r="F28" s="425">
        <f t="shared" si="1"/>
        <v>0.4740506821293933</v>
      </c>
      <c r="G28" s="419">
        <f>D28-'[22]Oktobris'!D27</f>
        <v>154528</v>
      </c>
      <c r="H28" s="429" t="s">
        <v>259</v>
      </c>
      <c r="I28" s="430">
        <f>SUM(I29:I30)</f>
        <v>3240</v>
      </c>
      <c r="J28" s="430">
        <f>SUM(J29:J30)</f>
        <v>2958</v>
      </c>
      <c r="K28" s="430">
        <f>SUM(K29:K30)</f>
        <v>1403</v>
      </c>
      <c r="L28" s="431">
        <f t="shared" si="2"/>
        <v>43.30246913580247</v>
      </c>
      <c r="M28" s="431">
        <f t="shared" si="3"/>
        <v>47.43069641649763</v>
      </c>
      <c r="N28" s="430">
        <f>K28-'[22]Oktobris'!K27</f>
        <v>155</v>
      </c>
      <c r="O28" s="426"/>
      <c r="P28" s="426"/>
      <c r="Q28" s="426"/>
      <c r="R28" s="426"/>
      <c r="S28" s="426"/>
      <c r="T28" s="426"/>
      <c r="U28" s="426"/>
      <c r="V28" s="426"/>
      <c r="W28" s="426"/>
      <c r="X28" s="426"/>
      <c r="Y28" s="426"/>
      <c r="Z28" s="426"/>
      <c r="AA28" s="426"/>
      <c r="AB28" s="426"/>
      <c r="AC28" s="426"/>
      <c r="AD28" s="426"/>
      <c r="AE28" s="426"/>
      <c r="AF28" s="426"/>
      <c r="AG28" s="426"/>
      <c r="AH28" s="426"/>
      <c r="AI28" s="426"/>
      <c r="AJ28" s="426"/>
      <c r="AK28" s="426"/>
      <c r="AL28" s="426"/>
      <c r="AM28" s="426"/>
      <c r="AN28" s="426"/>
      <c r="AO28" s="426"/>
      <c r="AP28" s="426"/>
      <c r="AQ28" s="426"/>
      <c r="AR28" s="426"/>
      <c r="AS28" s="426"/>
      <c r="AT28" s="426"/>
      <c r="AU28" s="426"/>
      <c r="AV28" s="426"/>
      <c r="AW28" s="426"/>
      <c r="AX28" s="426"/>
      <c r="AY28" s="426"/>
      <c r="AZ28" s="426"/>
      <c r="BA28" s="426"/>
      <c r="BB28" s="426"/>
      <c r="BC28" s="426"/>
      <c r="BD28" s="426"/>
      <c r="BE28" s="426"/>
      <c r="BF28" s="426"/>
      <c r="BG28" s="426"/>
      <c r="BH28" s="426"/>
      <c r="BI28" s="426"/>
      <c r="BJ28" s="426"/>
      <c r="BK28" s="426"/>
      <c r="BL28" s="426"/>
      <c r="BM28" s="426"/>
      <c r="BN28" s="426"/>
      <c r="BO28" s="426"/>
      <c r="BP28" s="426"/>
      <c r="BQ28" s="426"/>
      <c r="BR28" s="426"/>
      <c r="BS28" s="426"/>
      <c r="BT28" s="426"/>
      <c r="BU28" s="426"/>
      <c r="BV28" s="426"/>
      <c r="BW28" s="426"/>
      <c r="BX28" s="426"/>
      <c r="BY28" s="426"/>
      <c r="BZ28" s="426"/>
      <c r="CA28" s="426"/>
      <c r="CB28" s="426"/>
      <c r="CC28" s="426"/>
      <c r="CD28" s="426"/>
      <c r="CE28" s="426"/>
      <c r="CF28" s="426"/>
      <c r="CG28" s="426"/>
      <c r="CH28" s="426"/>
      <c r="CI28" s="426"/>
      <c r="CJ28" s="426"/>
      <c r="CK28" s="426"/>
      <c r="CL28" s="426"/>
      <c r="CM28" s="426"/>
      <c r="CN28" s="426"/>
      <c r="CO28" s="426"/>
      <c r="CP28" s="426"/>
      <c r="CQ28" s="426"/>
      <c r="CR28" s="426"/>
      <c r="CS28" s="426"/>
      <c r="CT28" s="426"/>
      <c r="CU28" s="426"/>
      <c r="CV28" s="426"/>
      <c r="CW28" s="426"/>
      <c r="CX28" s="426"/>
      <c r="CY28" s="426"/>
      <c r="CZ28" s="426"/>
    </row>
    <row r="29" spans="1:104" s="60" customFormat="1" ht="12.75">
      <c r="A29" s="432" t="s">
        <v>256</v>
      </c>
      <c r="B29" s="433">
        <f>2952580+137864</f>
        <v>3090444</v>
      </c>
      <c r="C29" s="433">
        <v>2807844</v>
      </c>
      <c r="D29" s="433">
        <v>1325652</v>
      </c>
      <c r="E29" s="425">
        <f t="shared" si="0"/>
        <v>0.4289519564179128</v>
      </c>
      <c r="F29" s="425">
        <f t="shared" si="1"/>
        <v>0.47212451973827607</v>
      </c>
      <c r="G29" s="419">
        <f>D29-'[22]Oktobris'!D28</f>
        <v>154528</v>
      </c>
      <c r="H29" s="432" t="s">
        <v>256</v>
      </c>
      <c r="I29" s="433">
        <f>ROUND(B29/1000,0)</f>
        <v>3090</v>
      </c>
      <c r="J29" s="433">
        <f>ROUND(C29/1000,0)</f>
        <v>2808</v>
      </c>
      <c r="K29" s="433">
        <f>ROUND(D29/1000,0)</f>
        <v>1326</v>
      </c>
      <c r="L29" s="81">
        <f t="shared" si="2"/>
        <v>42.9126213592233</v>
      </c>
      <c r="M29" s="81">
        <f t="shared" si="3"/>
        <v>47.22222222222222</v>
      </c>
      <c r="N29" s="433">
        <f>K29-'[22]Oktobris'!K28</f>
        <v>155</v>
      </c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</row>
    <row r="30" spans="1:104" s="60" customFormat="1" ht="12.75">
      <c r="A30" s="432" t="s">
        <v>257</v>
      </c>
      <c r="B30" s="433">
        <v>149806</v>
      </c>
      <c r="C30" s="433">
        <v>149806</v>
      </c>
      <c r="D30" s="433">
        <v>76424</v>
      </c>
      <c r="E30" s="425">
        <f t="shared" si="0"/>
        <v>0.5101531313832557</v>
      </c>
      <c r="F30" s="425">
        <f t="shared" si="1"/>
        <v>0.5101531313832557</v>
      </c>
      <c r="G30" s="419">
        <f>D30-'[22]Oktobris'!D29</f>
        <v>0</v>
      </c>
      <c r="H30" s="432" t="s">
        <v>257</v>
      </c>
      <c r="I30" s="433">
        <f>ROUND(B30/1000,0)</f>
        <v>150</v>
      </c>
      <c r="J30" s="433">
        <f>ROUND(C30/1000,0)</f>
        <v>150</v>
      </c>
      <c r="K30" s="433">
        <f>ROUND(D30/1000,0)+1</f>
        <v>77</v>
      </c>
      <c r="L30" s="81">
        <f t="shared" si="2"/>
        <v>51.33333333333333</v>
      </c>
      <c r="M30" s="81">
        <f t="shared" si="3"/>
        <v>51.33333333333333</v>
      </c>
      <c r="N30" s="433">
        <f>K30-'[22]Oktobris'!K29</f>
        <v>0</v>
      </c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</row>
    <row r="31" spans="1:104" s="427" customFormat="1" ht="12.75">
      <c r="A31" s="429" t="s">
        <v>260</v>
      </c>
      <c r="B31" s="430">
        <f>B32</f>
        <v>16960</v>
      </c>
      <c r="C31" s="430">
        <f>C32</f>
        <v>12720</v>
      </c>
      <c r="D31" s="430">
        <f>D32</f>
        <v>12716</v>
      </c>
      <c r="E31" s="425">
        <f t="shared" si="0"/>
        <v>0.7497641509433962</v>
      </c>
      <c r="F31" s="425">
        <f t="shared" si="1"/>
        <v>0.9996855345911949</v>
      </c>
      <c r="G31" s="419">
        <f>D31-'[22]Oktobris'!D30</f>
        <v>0</v>
      </c>
      <c r="H31" s="429" t="s">
        <v>260</v>
      </c>
      <c r="I31" s="430">
        <f>I32</f>
        <v>17</v>
      </c>
      <c r="J31" s="430">
        <f>J32</f>
        <v>13</v>
      </c>
      <c r="K31" s="430">
        <f>K32</f>
        <v>13</v>
      </c>
      <c r="L31" s="431">
        <f t="shared" si="2"/>
        <v>76.47058823529412</v>
      </c>
      <c r="M31" s="431">
        <f t="shared" si="3"/>
        <v>100</v>
      </c>
      <c r="N31" s="430">
        <f>K31-'[22]Oktobris'!K30</f>
        <v>0</v>
      </c>
      <c r="O31" s="426"/>
      <c r="P31" s="426"/>
      <c r="Q31" s="426"/>
      <c r="R31" s="426"/>
      <c r="S31" s="426"/>
      <c r="T31" s="426"/>
      <c r="U31" s="426"/>
      <c r="V31" s="426"/>
      <c r="W31" s="426"/>
      <c r="X31" s="426"/>
      <c r="Y31" s="426"/>
      <c r="Z31" s="426"/>
      <c r="AA31" s="426"/>
      <c r="AB31" s="426"/>
      <c r="AC31" s="426"/>
      <c r="AD31" s="426"/>
      <c r="AE31" s="426"/>
      <c r="AF31" s="426"/>
      <c r="AG31" s="426"/>
      <c r="AH31" s="426"/>
      <c r="AI31" s="426"/>
      <c r="AJ31" s="426"/>
      <c r="AK31" s="426"/>
      <c r="AL31" s="426"/>
      <c r="AM31" s="426"/>
      <c r="AN31" s="426"/>
      <c r="AO31" s="426"/>
      <c r="AP31" s="426"/>
      <c r="AQ31" s="426"/>
      <c r="AR31" s="426"/>
      <c r="AS31" s="426"/>
      <c r="AT31" s="426"/>
      <c r="AU31" s="426"/>
      <c r="AV31" s="426"/>
      <c r="AW31" s="426"/>
      <c r="AX31" s="426"/>
      <c r="AY31" s="426"/>
      <c r="AZ31" s="426"/>
      <c r="BA31" s="426"/>
      <c r="BB31" s="426"/>
      <c r="BC31" s="426"/>
      <c r="BD31" s="426"/>
      <c r="BE31" s="426"/>
      <c r="BF31" s="426"/>
      <c r="BG31" s="426"/>
      <c r="BH31" s="426"/>
      <c r="BI31" s="426"/>
      <c r="BJ31" s="426"/>
      <c r="BK31" s="426"/>
      <c r="BL31" s="426"/>
      <c r="BM31" s="426"/>
      <c r="BN31" s="426"/>
      <c r="BO31" s="426"/>
      <c r="BP31" s="426"/>
      <c r="BQ31" s="426"/>
      <c r="BR31" s="426"/>
      <c r="BS31" s="426"/>
      <c r="BT31" s="426"/>
      <c r="BU31" s="426"/>
      <c r="BV31" s="426"/>
      <c r="BW31" s="426"/>
      <c r="BX31" s="426"/>
      <c r="BY31" s="426"/>
      <c r="BZ31" s="426"/>
      <c r="CA31" s="426"/>
      <c r="CB31" s="426"/>
      <c r="CC31" s="426"/>
      <c r="CD31" s="426"/>
      <c r="CE31" s="426"/>
      <c r="CF31" s="426"/>
      <c r="CG31" s="426"/>
      <c r="CH31" s="426"/>
      <c r="CI31" s="426"/>
      <c r="CJ31" s="426"/>
      <c r="CK31" s="426"/>
      <c r="CL31" s="426"/>
      <c r="CM31" s="426"/>
      <c r="CN31" s="426"/>
      <c r="CO31" s="426"/>
      <c r="CP31" s="426"/>
      <c r="CQ31" s="426"/>
      <c r="CR31" s="426"/>
      <c r="CS31" s="426"/>
      <c r="CT31" s="426"/>
      <c r="CU31" s="426"/>
      <c r="CV31" s="426"/>
      <c r="CW31" s="426"/>
      <c r="CX31" s="426"/>
      <c r="CY31" s="426"/>
      <c r="CZ31" s="426"/>
    </row>
    <row r="32" spans="1:104" s="60" customFormat="1" ht="12.75">
      <c r="A32" s="432" t="s">
        <v>256</v>
      </c>
      <c r="B32" s="433">
        <v>16960</v>
      </c>
      <c r="C32" s="433">
        <v>12720</v>
      </c>
      <c r="D32" s="433">
        <v>12716</v>
      </c>
      <c r="E32" s="425">
        <f t="shared" si="0"/>
        <v>0.7497641509433962</v>
      </c>
      <c r="F32" s="425">
        <f t="shared" si="1"/>
        <v>0.9996855345911949</v>
      </c>
      <c r="G32" s="419">
        <f>D32-'[22]Oktobris'!D31</f>
        <v>0</v>
      </c>
      <c r="H32" s="432" t="s">
        <v>256</v>
      </c>
      <c r="I32" s="433">
        <f>ROUND(B32/1000,0)</f>
        <v>17</v>
      </c>
      <c r="J32" s="433">
        <f>ROUND(C32/1000,0)</f>
        <v>13</v>
      </c>
      <c r="K32" s="433">
        <f>ROUND(D32/1000,0)</f>
        <v>13</v>
      </c>
      <c r="L32" s="81">
        <f t="shared" si="2"/>
        <v>76.47058823529412</v>
      </c>
      <c r="M32" s="81">
        <f t="shared" si="3"/>
        <v>100</v>
      </c>
      <c r="N32" s="433">
        <f>K32-'[22]Oktobris'!K31</f>
        <v>0</v>
      </c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</row>
    <row r="33" spans="1:104" s="66" customFormat="1" ht="12">
      <c r="A33" s="74" t="s">
        <v>993</v>
      </c>
      <c r="B33" s="356">
        <f>B34+B37</f>
        <v>3958330</v>
      </c>
      <c r="C33" s="356">
        <f>C34+C37</f>
        <v>3679880</v>
      </c>
      <c r="D33" s="356">
        <f>D34+D37</f>
        <v>1709280</v>
      </c>
      <c r="E33" s="434">
        <f t="shared" si="0"/>
        <v>0.4318184688997633</v>
      </c>
      <c r="F33" s="434">
        <f t="shared" si="1"/>
        <v>0.46449340739371936</v>
      </c>
      <c r="G33" s="419">
        <f>D33-'[22]Oktobris'!D32</f>
        <v>225256</v>
      </c>
      <c r="H33" s="74" t="s">
        <v>333</v>
      </c>
      <c r="I33" s="356">
        <f>I34+I37</f>
        <v>3958</v>
      </c>
      <c r="J33" s="356">
        <f>J34+J37</f>
        <v>3680</v>
      </c>
      <c r="K33" s="356">
        <f>K34+K37</f>
        <v>1709</v>
      </c>
      <c r="L33" s="58">
        <f t="shared" si="2"/>
        <v>43.17837291561394</v>
      </c>
      <c r="M33" s="58">
        <f t="shared" si="3"/>
        <v>46.44021739130435</v>
      </c>
      <c r="N33" s="356">
        <f>K33-'[22]Oktobris'!K32</f>
        <v>225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</row>
    <row r="34" spans="1:104" s="427" customFormat="1" ht="12.75">
      <c r="A34" s="429" t="s">
        <v>259</v>
      </c>
      <c r="B34" s="430">
        <f>SUM(B35:B36)</f>
        <v>3087980</v>
      </c>
      <c r="C34" s="430">
        <f>SUM(C35:C36)</f>
        <v>2842530</v>
      </c>
      <c r="D34" s="430">
        <f>SUM(D35:D36)</f>
        <v>1376366</v>
      </c>
      <c r="E34" s="425">
        <f t="shared" si="0"/>
        <v>0.44571726500819303</v>
      </c>
      <c r="F34" s="425">
        <f t="shared" si="1"/>
        <v>0.484204564243825</v>
      </c>
      <c r="G34" s="419">
        <f>D34-'[22]Oktobris'!D33</f>
        <v>156036</v>
      </c>
      <c r="H34" s="429" t="s">
        <v>259</v>
      </c>
      <c r="I34" s="430">
        <f>SUM(I35:I36)</f>
        <v>3088</v>
      </c>
      <c r="J34" s="430">
        <f>SUM(J35:J36)</f>
        <v>2843</v>
      </c>
      <c r="K34" s="430">
        <f>SUM(K35:K36)</f>
        <v>1376</v>
      </c>
      <c r="L34" s="431">
        <f t="shared" si="2"/>
        <v>44.559585492227974</v>
      </c>
      <c r="M34" s="431">
        <f t="shared" si="3"/>
        <v>48.399577910657754</v>
      </c>
      <c r="N34" s="430">
        <f>K34-'[22]Oktobris'!K33</f>
        <v>156</v>
      </c>
      <c r="O34" s="426"/>
      <c r="P34" s="426"/>
      <c r="Q34" s="426"/>
      <c r="R34" s="426"/>
      <c r="S34" s="426"/>
      <c r="T34" s="426"/>
      <c r="U34" s="426"/>
      <c r="V34" s="426"/>
      <c r="W34" s="426"/>
      <c r="X34" s="426"/>
      <c r="Y34" s="426"/>
      <c r="Z34" s="426"/>
      <c r="AA34" s="426"/>
      <c r="AB34" s="426"/>
      <c r="AC34" s="426"/>
      <c r="AD34" s="426"/>
      <c r="AE34" s="426"/>
      <c r="AF34" s="426"/>
      <c r="AG34" s="426"/>
      <c r="AH34" s="426"/>
      <c r="AI34" s="426"/>
      <c r="AJ34" s="426"/>
      <c r="AK34" s="426"/>
      <c r="AL34" s="426"/>
      <c r="AM34" s="426"/>
      <c r="AN34" s="426"/>
      <c r="AO34" s="426"/>
      <c r="AP34" s="426"/>
      <c r="AQ34" s="426"/>
      <c r="AR34" s="426"/>
      <c r="AS34" s="426"/>
      <c r="AT34" s="426"/>
      <c r="AU34" s="426"/>
      <c r="AV34" s="426"/>
      <c r="AW34" s="426"/>
      <c r="AX34" s="426"/>
      <c r="AY34" s="426"/>
      <c r="AZ34" s="426"/>
      <c r="BA34" s="426"/>
      <c r="BB34" s="426"/>
      <c r="BC34" s="426"/>
      <c r="BD34" s="426"/>
      <c r="BE34" s="426"/>
      <c r="BF34" s="426"/>
      <c r="BG34" s="426"/>
      <c r="BH34" s="426"/>
      <c r="BI34" s="426"/>
      <c r="BJ34" s="426"/>
      <c r="BK34" s="426"/>
      <c r="BL34" s="426"/>
      <c r="BM34" s="426"/>
      <c r="BN34" s="426"/>
      <c r="BO34" s="426"/>
      <c r="BP34" s="426"/>
      <c r="BQ34" s="426"/>
      <c r="BR34" s="426"/>
      <c r="BS34" s="426"/>
      <c r="BT34" s="426"/>
      <c r="BU34" s="426"/>
      <c r="BV34" s="426"/>
      <c r="BW34" s="426"/>
      <c r="BX34" s="426"/>
      <c r="BY34" s="426"/>
      <c r="BZ34" s="426"/>
      <c r="CA34" s="426"/>
      <c r="CB34" s="426"/>
      <c r="CC34" s="426"/>
      <c r="CD34" s="426"/>
      <c r="CE34" s="426"/>
      <c r="CF34" s="426"/>
      <c r="CG34" s="426"/>
      <c r="CH34" s="426"/>
      <c r="CI34" s="426"/>
      <c r="CJ34" s="426"/>
      <c r="CK34" s="426"/>
      <c r="CL34" s="426"/>
      <c r="CM34" s="426"/>
      <c r="CN34" s="426"/>
      <c r="CO34" s="426"/>
      <c r="CP34" s="426"/>
      <c r="CQ34" s="426"/>
      <c r="CR34" s="426"/>
      <c r="CS34" s="426"/>
      <c r="CT34" s="426"/>
      <c r="CU34" s="426"/>
      <c r="CV34" s="426"/>
      <c r="CW34" s="426"/>
      <c r="CX34" s="426"/>
      <c r="CY34" s="426"/>
      <c r="CZ34" s="426"/>
    </row>
    <row r="35" spans="1:104" s="60" customFormat="1" ht="12.75">
      <c r="A35" s="432" t="s">
        <v>256</v>
      </c>
      <c r="B35" s="433">
        <f>1815117+59000</f>
        <v>1874117</v>
      </c>
      <c r="C35" s="433">
        <v>1628667</v>
      </c>
      <c r="D35" s="433">
        <v>651998</v>
      </c>
      <c r="E35" s="425">
        <f t="shared" si="0"/>
        <v>0.3478961025378885</v>
      </c>
      <c r="F35" s="425">
        <f t="shared" si="1"/>
        <v>0.4003261562983716</v>
      </c>
      <c r="G35" s="419">
        <f>D35-'[22]Oktobris'!D34</f>
        <v>156036</v>
      </c>
      <c r="H35" s="432" t="s">
        <v>256</v>
      </c>
      <c r="I35" s="433">
        <f aca="true" t="shared" si="9" ref="I35:K36">ROUND(B35/1000,0)</f>
        <v>1874</v>
      </c>
      <c r="J35" s="433">
        <f t="shared" si="9"/>
        <v>1629</v>
      </c>
      <c r="K35" s="433">
        <f t="shared" si="9"/>
        <v>652</v>
      </c>
      <c r="L35" s="81">
        <f t="shared" si="2"/>
        <v>34.79188900747065</v>
      </c>
      <c r="M35" s="81">
        <f t="shared" si="3"/>
        <v>40.02455494168201</v>
      </c>
      <c r="N35" s="433">
        <f>K35-'[22]Oktobris'!K34</f>
        <v>156</v>
      </c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</row>
    <row r="36" spans="1:104" s="60" customFormat="1" ht="12.75">
      <c r="A36" s="432" t="s">
        <v>257</v>
      </c>
      <c r="B36" s="433">
        <v>1213863</v>
      </c>
      <c r="C36" s="433">
        <v>1213863</v>
      </c>
      <c r="D36" s="433">
        <v>724368</v>
      </c>
      <c r="E36" s="425">
        <f t="shared" si="0"/>
        <v>0.5967460907861926</v>
      </c>
      <c r="F36" s="425">
        <f t="shared" si="1"/>
        <v>0.5967460907861926</v>
      </c>
      <c r="G36" s="419">
        <f>D36-'[22]Oktobris'!D35</f>
        <v>0</v>
      </c>
      <c r="H36" s="432" t="s">
        <v>257</v>
      </c>
      <c r="I36" s="433">
        <f t="shared" si="9"/>
        <v>1214</v>
      </c>
      <c r="J36" s="433">
        <f>ROUND(C36/1000,0)</f>
        <v>1214</v>
      </c>
      <c r="K36" s="433">
        <f t="shared" si="9"/>
        <v>724</v>
      </c>
      <c r="L36" s="81">
        <f t="shared" si="2"/>
        <v>59.637561779242176</v>
      </c>
      <c r="M36" s="81">
        <f t="shared" si="3"/>
        <v>59.637561779242176</v>
      </c>
      <c r="N36" s="433">
        <f>K36-'[22]Oktobris'!K35</f>
        <v>0</v>
      </c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</row>
    <row r="37" spans="1:104" s="427" customFormat="1" ht="12.75">
      <c r="A37" s="429" t="s">
        <v>260</v>
      </c>
      <c r="B37" s="430">
        <f>SUM(B38:B39)</f>
        <v>870350</v>
      </c>
      <c r="C37" s="430">
        <f>SUM(C38:C39)</f>
        <v>837350</v>
      </c>
      <c r="D37" s="430">
        <f>SUM(D38:D39)</f>
        <v>332914</v>
      </c>
      <c r="E37" s="425">
        <f t="shared" si="0"/>
        <v>0.3825058884356868</v>
      </c>
      <c r="F37" s="425">
        <f t="shared" si="1"/>
        <v>0.3975804621723294</v>
      </c>
      <c r="G37" s="419">
        <f>D37-'[22]Oktobris'!D36</f>
        <v>69220</v>
      </c>
      <c r="H37" s="429" t="s">
        <v>260</v>
      </c>
      <c r="I37" s="430">
        <f>SUM(I38:I39)</f>
        <v>870</v>
      </c>
      <c r="J37" s="430">
        <f>SUM(J38:J39)</f>
        <v>837</v>
      </c>
      <c r="K37" s="430">
        <f>SUM(K38:K39)</f>
        <v>333</v>
      </c>
      <c r="L37" s="431">
        <f t="shared" si="2"/>
        <v>38.275862068965516</v>
      </c>
      <c r="M37" s="431">
        <f t="shared" si="3"/>
        <v>39.784946236559136</v>
      </c>
      <c r="N37" s="430">
        <f>K37-'[22]Oktobris'!K36</f>
        <v>69</v>
      </c>
      <c r="O37" s="426"/>
      <c r="P37" s="426"/>
      <c r="Q37" s="426"/>
      <c r="R37" s="426"/>
      <c r="S37" s="426"/>
      <c r="T37" s="426"/>
      <c r="U37" s="426"/>
      <c r="V37" s="426"/>
      <c r="W37" s="426"/>
      <c r="X37" s="426"/>
      <c r="Y37" s="426"/>
      <c r="Z37" s="426"/>
      <c r="AA37" s="426"/>
      <c r="AB37" s="426"/>
      <c r="AC37" s="426"/>
      <c r="AD37" s="426"/>
      <c r="AE37" s="426"/>
      <c r="AF37" s="426"/>
      <c r="AG37" s="426"/>
      <c r="AH37" s="426"/>
      <c r="AI37" s="426"/>
      <c r="AJ37" s="426"/>
      <c r="AK37" s="426"/>
      <c r="AL37" s="426"/>
      <c r="AM37" s="426"/>
      <c r="AN37" s="426"/>
      <c r="AO37" s="426"/>
      <c r="AP37" s="426"/>
      <c r="AQ37" s="426"/>
      <c r="AR37" s="426"/>
      <c r="AS37" s="426"/>
      <c r="AT37" s="426"/>
      <c r="AU37" s="426"/>
      <c r="AV37" s="426"/>
      <c r="AW37" s="426"/>
      <c r="AX37" s="426"/>
      <c r="AY37" s="426"/>
      <c r="AZ37" s="426"/>
      <c r="BA37" s="426"/>
      <c r="BB37" s="426"/>
      <c r="BC37" s="426"/>
      <c r="BD37" s="426"/>
      <c r="BE37" s="426"/>
      <c r="BF37" s="426"/>
      <c r="BG37" s="426"/>
      <c r="BH37" s="426"/>
      <c r="BI37" s="426"/>
      <c r="BJ37" s="426"/>
      <c r="BK37" s="426"/>
      <c r="BL37" s="426"/>
      <c r="BM37" s="426"/>
      <c r="BN37" s="426"/>
      <c r="BO37" s="426"/>
      <c r="BP37" s="426"/>
      <c r="BQ37" s="426"/>
      <c r="BR37" s="426"/>
      <c r="BS37" s="426"/>
      <c r="BT37" s="426"/>
      <c r="BU37" s="426"/>
      <c r="BV37" s="426"/>
      <c r="BW37" s="426"/>
      <c r="BX37" s="426"/>
      <c r="BY37" s="426"/>
      <c r="BZ37" s="426"/>
      <c r="CA37" s="426"/>
      <c r="CB37" s="426"/>
      <c r="CC37" s="426"/>
      <c r="CD37" s="426"/>
      <c r="CE37" s="426"/>
      <c r="CF37" s="426"/>
      <c r="CG37" s="426"/>
      <c r="CH37" s="426"/>
      <c r="CI37" s="426"/>
      <c r="CJ37" s="426"/>
      <c r="CK37" s="426"/>
      <c r="CL37" s="426"/>
      <c r="CM37" s="426"/>
      <c r="CN37" s="426"/>
      <c r="CO37" s="426"/>
      <c r="CP37" s="426"/>
      <c r="CQ37" s="426"/>
      <c r="CR37" s="426"/>
      <c r="CS37" s="426"/>
      <c r="CT37" s="426"/>
      <c r="CU37" s="426"/>
      <c r="CV37" s="426"/>
      <c r="CW37" s="426"/>
      <c r="CX37" s="426"/>
      <c r="CY37" s="426"/>
      <c r="CZ37" s="426"/>
    </row>
    <row r="38" spans="1:104" s="60" customFormat="1" ht="12.75">
      <c r="A38" s="432" t="s">
        <v>256</v>
      </c>
      <c r="B38" s="433">
        <v>73450</v>
      </c>
      <c r="C38" s="433">
        <v>67450</v>
      </c>
      <c r="D38" s="433">
        <v>51604</v>
      </c>
      <c r="E38" s="425">
        <f t="shared" si="0"/>
        <v>0.702573179033356</v>
      </c>
      <c r="F38" s="425">
        <f t="shared" si="1"/>
        <v>0.7650704225352113</v>
      </c>
      <c r="G38" s="419">
        <f>D38-'[22]Oktobris'!D37</f>
        <v>35894</v>
      </c>
      <c r="H38" s="432" t="s">
        <v>256</v>
      </c>
      <c r="I38" s="433">
        <f aca="true" t="shared" si="10" ref="I38:K39">ROUND(B38/1000,0)</f>
        <v>73</v>
      </c>
      <c r="J38" s="433">
        <f t="shared" si="10"/>
        <v>67</v>
      </c>
      <c r="K38" s="433">
        <f>ROUND(D38/1000,0)</f>
        <v>52</v>
      </c>
      <c r="L38" s="81">
        <f t="shared" si="2"/>
        <v>71.23287671232876</v>
      </c>
      <c r="M38" s="81">
        <f t="shared" si="3"/>
        <v>77.61194029850746</v>
      </c>
      <c r="N38" s="433">
        <f>K38-'[22]Oktobris'!K37</f>
        <v>36</v>
      </c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</row>
    <row r="39" spans="1:104" s="60" customFormat="1" ht="12.75">
      <c r="A39" s="432" t="s">
        <v>257</v>
      </c>
      <c r="B39" s="433">
        <v>796900</v>
      </c>
      <c r="C39" s="433">
        <v>769900</v>
      </c>
      <c r="D39" s="433">
        <v>281310</v>
      </c>
      <c r="E39" s="425">
        <f t="shared" si="0"/>
        <v>0.3530053959091479</v>
      </c>
      <c r="F39" s="425">
        <f t="shared" si="1"/>
        <v>0.3653851149499935</v>
      </c>
      <c r="G39" s="419">
        <f>D39-'[22]Oktobris'!D38</f>
        <v>33326</v>
      </c>
      <c r="H39" s="432" t="s">
        <v>257</v>
      </c>
      <c r="I39" s="433">
        <f t="shared" si="10"/>
        <v>797</v>
      </c>
      <c r="J39" s="433">
        <f t="shared" si="10"/>
        <v>770</v>
      </c>
      <c r="K39" s="433">
        <f t="shared" si="10"/>
        <v>281</v>
      </c>
      <c r="L39" s="81">
        <f t="shared" si="2"/>
        <v>35.257214554579676</v>
      </c>
      <c r="M39" s="81">
        <f t="shared" si="3"/>
        <v>36.493506493506494</v>
      </c>
      <c r="N39" s="433">
        <f>K39-'[22]Oktobris'!K38</f>
        <v>33</v>
      </c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</row>
    <row r="40" spans="1:104" s="66" customFormat="1" ht="12">
      <c r="A40" s="74" t="s">
        <v>995</v>
      </c>
      <c r="B40" s="356">
        <f>B41+B44</f>
        <v>4336425</v>
      </c>
      <c r="C40" s="356">
        <f>C41+C44</f>
        <v>4051418</v>
      </c>
      <c r="D40" s="356">
        <f>D41+D44</f>
        <v>1885265</v>
      </c>
      <c r="E40" s="434">
        <f t="shared" si="0"/>
        <v>0.43475097574615035</v>
      </c>
      <c r="F40" s="434">
        <f t="shared" si="1"/>
        <v>0.46533460630327456</v>
      </c>
      <c r="G40" s="419">
        <f>D40-'[22]Oktobris'!D39</f>
        <v>383709</v>
      </c>
      <c r="H40" s="74" t="s">
        <v>334</v>
      </c>
      <c r="I40" s="356">
        <f>I41+I44</f>
        <v>4337</v>
      </c>
      <c r="J40" s="356">
        <f>J41+J44</f>
        <v>4052</v>
      </c>
      <c r="K40" s="356">
        <f>K41+K44</f>
        <v>1885</v>
      </c>
      <c r="L40" s="58">
        <f t="shared" si="2"/>
        <v>43.46322342633157</v>
      </c>
      <c r="M40" s="58">
        <f t="shared" si="3"/>
        <v>46.52023692003949</v>
      </c>
      <c r="N40" s="356">
        <f>K40-'[22]Oktobris'!K39</f>
        <v>383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</row>
    <row r="41" spans="1:104" s="427" customFormat="1" ht="12.75">
      <c r="A41" s="429" t="s">
        <v>259</v>
      </c>
      <c r="B41" s="430">
        <f>SUM(B42:B43)</f>
        <v>3502152</v>
      </c>
      <c r="C41" s="430">
        <f>SUM(C42:C43)</f>
        <v>3217145</v>
      </c>
      <c r="D41" s="430">
        <f>SUM(D42:D43)</f>
        <v>1141011</v>
      </c>
      <c r="E41" s="425">
        <f t="shared" si="0"/>
        <v>0.32580282066569355</v>
      </c>
      <c r="F41" s="425">
        <f t="shared" si="1"/>
        <v>0.3546657051516173</v>
      </c>
      <c r="G41" s="419">
        <f>D41-'[22]Oktobris'!D40</f>
        <v>127164</v>
      </c>
      <c r="H41" s="429" t="s">
        <v>259</v>
      </c>
      <c r="I41" s="430">
        <f>SUM(I42:I43)</f>
        <v>3502</v>
      </c>
      <c r="J41" s="430">
        <f>SUM(J42:J43)</f>
        <v>3217</v>
      </c>
      <c r="K41" s="430">
        <f>SUM(K42:K43)</f>
        <v>1141</v>
      </c>
      <c r="L41" s="431">
        <f t="shared" si="2"/>
        <v>32.58138206739007</v>
      </c>
      <c r="M41" s="431">
        <f t="shared" si="3"/>
        <v>35.4678271681691</v>
      </c>
      <c r="N41" s="430">
        <f>K41-'[22]Oktobris'!K40</f>
        <v>127</v>
      </c>
      <c r="O41" s="426"/>
      <c r="P41" s="426"/>
      <c r="Q41" s="426"/>
      <c r="R41" s="426"/>
      <c r="S41" s="426"/>
      <c r="T41" s="426"/>
      <c r="U41" s="426"/>
      <c r="V41" s="426"/>
      <c r="W41" s="426"/>
      <c r="X41" s="426"/>
      <c r="Y41" s="426"/>
      <c r="Z41" s="426"/>
      <c r="AA41" s="426"/>
      <c r="AB41" s="426"/>
      <c r="AC41" s="426"/>
      <c r="AD41" s="426"/>
      <c r="AE41" s="426"/>
      <c r="AF41" s="426"/>
      <c r="AG41" s="426"/>
      <c r="AH41" s="426"/>
      <c r="AI41" s="426"/>
      <c r="AJ41" s="426"/>
      <c r="AK41" s="426"/>
      <c r="AL41" s="426"/>
      <c r="AM41" s="426"/>
      <c r="AN41" s="426"/>
      <c r="AO41" s="426"/>
      <c r="AP41" s="426"/>
      <c r="AQ41" s="426"/>
      <c r="AR41" s="426"/>
      <c r="AS41" s="426"/>
      <c r="AT41" s="426"/>
      <c r="AU41" s="426"/>
      <c r="AV41" s="426"/>
      <c r="AW41" s="426"/>
      <c r="AX41" s="426"/>
      <c r="AY41" s="426"/>
      <c r="AZ41" s="426"/>
      <c r="BA41" s="426"/>
      <c r="BB41" s="426"/>
      <c r="BC41" s="426"/>
      <c r="BD41" s="426"/>
      <c r="BE41" s="426"/>
      <c r="BF41" s="426"/>
      <c r="BG41" s="426"/>
      <c r="BH41" s="426"/>
      <c r="BI41" s="426"/>
      <c r="BJ41" s="426"/>
      <c r="BK41" s="426"/>
      <c r="BL41" s="426"/>
      <c r="BM41" s="426"/>
      <c r="BN41" s="426"/>
      <c r="BO41" s="426"/>
      <c r="BP41" s="426"/>
      <c r="BQ41" s="426"/>
      <c r="BR41" s="426"/>
      <c r="BS41" s="426"/>
      <c r="BT41" s="426"/>
      <c r="BU41" s="426"/>
      <c r="BV41" s="426"/>
      <c r="BW41" s="426"/>
      <c r="BX41" s="426"/>
      <c r="BY41" s="426"/>
      <c r="BZ41" s="426"/>
      <c r="CA41" s="426"/>
      <c r="CB41" s="426"/>
      <c r="CC41" s="426"/>
      <c r="CD41" s="426"/>
      <c r="CE41" s="426"/>
      <c r="CF41" s="426"/>
      <c r="CG41" s="426"/>
      <c r="CH41" s="426"/>
      <c r="CI41" s="426"/>
      <c r="CJ41" s="426"/>
      <c r="CK41" s="426"/>
      <c r="CL41" s="426"/>
      <c r="CM41" s="426"/>
      <c r="CN41" s="426"/>
      <c r="CO41" s="426"/>
      <c r="CP41" s="426"/>
      <c r="CQ41" s="426"/>
      <c r="CR41" s="426"/>
      <c r="CS41" s="426"/>
      <c r="CT41" s="426"/>
      <c r="CU41" s="426"/>
      <c r="CV41" s="426"/>
      <c r="CW41" s="426"/>
      <c r="CX41" s="426"/>
      <c r="CY41" s="426"/>
      <c r="CZ41" s="426"/>
    </row>
    <row r="42" spans="1:104" s="60" customFormat="1" ht="12.75">
      <c r="A42" s="432" t="s">
        <v>256</v>
      </c>
      <c r="B42" s="433">
        <f>240052+141000</f>
        <v>381052</v>
      </c>
      <c r="C42" s="433">
        <v>373345</v>
      </c>
      <c r="D42" s="433">
        <v>275448</v>
      </c>
      <c r="E42" s="425">
        <f t="shared" si="0"/>
        <v>0.7228619715944281</v>
      </c>
      <c r="F42" s="425">
        <f t="shared" si="1"/>
        <v>0.7377840871044209</v>
      </c>
      <c r="G42" s="419">
        <f>D42-'[22]Oktobris'!D41</f>
        <v>13572</v>
      </c>
      <c r="H42" s="432" t="s">
        <v>256</v>
      </c>
      <c r="I42" s="433">
        <f aca="true" t="shared" si="11" ref="I42:K43">ROUND(B42/1000,0)</f>
        <v>381</v>
      </c>
      <c r="J42" s="433">
        <f t="shared" si="11"/>
        <v>373</v>
      </c>
      <c r="K42" s="433">
        <f t="shared" si="11"/>
        <v>275</v>
      </c>
      <c r="L42" s="81">
        <f t="shared" si="2"/>
        <v>72.17847769028872</v>
      </c>
      <c r="M42" s="81">
        <f t="shared" si="3"/>
        <v>73.7265415549598</v>
      </c>
      <c r="N42" s="433">
        <f>K42-'[22]Oktobris'!K41</f>
        <v>13</v>
      </c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</row>
    <row r="43" spans="1:104" s="60" customFormat="1" ht="12.75">
      <c r="A43" s="432" t="s">
        <v>257</v>
      </c>
      <c r="B43" s="433">
        <v>3121100</v>
      </c>
      <c r="C43" s="433">
        <v>2843800</v>
      </c>
      <c r="D43" s="433">
        <v>865563</v>
      </c>
      <c r="E43" s="425">
        <f t="shared" si="0"/>
        <v>0.2773262631764442</v>
      </c>
      <c r="F43" s="425">
        <f t="shared" si="1"/>
        <v>0.3043684506646037</v>
      </c>
      <c r="G43" s="419">
        <f>D43-'[22]Oktobris'!D42</f>
        <v>113592</v>
      </c>
      <c r="H43" s="432" t="s">
        <v>257</v>
      </c>
      <c r="I43" s="433">
        <f t="shared" si="11"/>
        <v>3121</v>
      </c>
      <c r="J43" s="433">
        <f>ROUND(C43/1000,0)</f>
        <v>2844</v>
      </c>
      <c r="K43" s="433">
        <f t="shared" si="11"/>
        <v>866</v>
      </c>
      <c r="L43" s="81">
        <f t="shared" si="2"/>
        <v>27.74751682153156</v>
      </c>
      <c r="M43" s="81">
        <f t="shared" si="3"/>
        <v>30.450070323488042</v>
      </c>
      <c r="N43" s="433">
        <f>K43-'[22]Oktobris'!K42</f>
        <v>114</v>
      </c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</row>
    <row r="44" spans="1:104" s="427" customFormat="1" ht="12.75">
      <c r="A44" s="429" t="s">
        <v>260</v>
      </c>
      <c r="B44" s="430">
        <f>SUM(B45:B46)</f>
        <v>834273</v>
      </c>
      <c r="C44" s="430">
        <f>SUM(C45:C46)</f>
        <v>834273</v>
      </c>
      <c r="D44" s="430">
        <f>SUM(D45:D46)</f>
        <v>744254</v>
      </c>
      <c r="E44" s="425">
        <f t="shared" si="0"/>
        <v>0.8920988693149604</v>
      </c>
      <c r="F44" s="425">
        <f t="shared" si="1"/>
        <v>0.8920988693149604</v>
      </c>
      <c r="G44" s="419">
        <f>D44-'[22]Oktobris'!D43</f>
        <v>256545</v>
      </c>
      <c r="H44" s="429" t="s">
        <v>260</v>
      </c>
      <c r="I44" s="430">
        <f>SUM(I45:I46)</f>
        <v>835</v>
      </c>
      <c r="J44" s="430">
        <f>SUM(J45:J46)</f>
        <v>835</v>
      </c>
      <c r="K44" s="430">
        <f>SUM(K45:K46)</f>
        <v>744</v>
      </c>
      <c r="L44" s="431">
        <f t="shared" si="2"/>
        <v>89.10179640718563</v>
      </c>
      <c r="M44" s="431">
        <f t="shared" si="3"/>
        <v>89.10179640718563</v>
      </c>
      <c r="N44" s="430">
        <f>K44-'[22]Oktobris'!K43</f>
        <v>256</v>
      </c>
      <c r="O44" s="426"/>
      <c r="P44" s="426"/>
      <c r="Q44" s="426"/>
      <c r="R44" s="426"/>
      <c r="S44" s="426"/>
      <c r="T44" s="426"/>
      <c r="U44" s="426"/>
      <c r="V44" s="426"/>
      <c r="W44" s="426"/>
      <c r="X44" s="426"/>
      <c r="Y44" s="426"/>
      <c r="Z44" s="426"/>
      <c r="AA44" s="426"/>
      <c r="AB44" s="426"/>
      <c r="AC44" s="426"/>
      <c r="AD44" s="426"/>
      <c r="AE44" s="426"/>
      <c r="AF44" s="426"/>
      <c r="AG44" s="426"/>
      <c r="AH44" s="426"/>
      <c r="AI44" s="426"/>
      <c r="AJ44" s="426"/>
      <c r="AK44" s="426"/>
      <c r="AL44" s="426"/>
      <c r="AM44" s="426"/>
      <c r="AN44" s="426"/>
      <c r="AO44" s="426"/>
      <c r="AP44" s="426"/>
      <c r="AQ44" s="426"/>
      <c r="AR44" s="426"/>
      <c r="AS44" s="426"/>
      <c r="AT44" s="426"/>
      <c r="AU44" s="426"/>
      <c r="AV44" s="426"/>
      <c r="AW44" s="426"/>
      <c r="AX44" s="426"/>
      <c r="AY44" s="426"/>
      <c r="AZ44" s="426"/>
      <c r="BA44" s="426"/>
      <c r="BB44" s="426"/>
      <c r="BC44" s="426"/>
      <c r="BD44" s="426"/>
      <c r="BE44" s="426"/>
      <c r="BF44" s="426"/>
      <c r="BG44" s="426"/>
      <c r="BH44" s="426"/>
      <c r="BI44" s="426"/>
      <c r="BJ44" s="426"/>
      <c r="BK44" s="426"/>
      <c r="BL44" s="426"/>
      <c r="BM44" s="426"/>
      <c r="BN44" s="426"/>
      <c r="BO44" s="426"/>
      <c r="BP44" s="426"/>
      <c r="BQ44" s="426"/>
      <c r="BR44" s="426"/>
      <c r="BS44" s="426"/>
      <c r="BT44" s="426"/>
      <c r="BU44" s="426"/>
      <c r="BV44" s="426"/>
      <c r="BW44" s="426"/>
      <c r="BX44" s="426"/>
      <c r="BY44" s="426"/>
      <c r="BZ44" s="426"/>
      <c r="CA44" s="426"/>
      <c r="CB44" s="426"/>
      <c r="CC44" s="426"/>
      <c r="CD44" s="426"/>
      <c r="CE44" s="426"/>
      <c r="CF44" s="426"/>
      <c r="CG44" s="426"/>
      <c r="CH44" s="426"/>
      <c r="CI44" s="426"/>
      <c r="CJ44" s="426"/>
      <c r="CK44" s="426"/>
      <c r="CL44" s="426"/>
      <c r="CM44" s="426"/>
      <c r="CN44" s="426"/>
      <c r="CO44" s="426"/>
      <c r="CP44" s="426"/>
      <c r="CQ44" s="426"/>
      <c r="CR44" s="426"/>
      <c r="CS44" s="426"/>
      <c r="CT44" s="426"/>
      <c r="CU44" s="426"/>
      <c r="CV44" s="426"/>
      <c r="CW44" s="426"/>
      <c r="CX44" s="426"/>
      <c r="CY44" s="426"/>
      <c r="CZ44" s="426"/>
    </row>
    <row r="45" spans="1:104" s="60" customFormat="1" ht="12.75">
      <c r="A45" s="432" t="s">
        <v>256</v>
      </c>
      <c r="B45" s="433">
        <v>6623</v>
      </c>
      <c r="C45" s="433">
        <v>6623</v>
      </c>
      <c r="D45" s="433">
        <v>1836</v>
      </c>
      <c r="E45" s="425">
        <f t="shared" si="0"/>
        <v>0.2772157632492828</v>
      </c>
      <c r="F45" s="425">
        <f t="shared" si="1"/>
        <v>0.2772157632492828</v>
      </c>
      <c r="G45" s="419">
        <f>D45-'[22]Oktobris'!D44</f>
        <v>1836</v>
      </c>
      <c r="H45" s="432" t="s">
        <v>256</v>
      </c>
      <c r="I45" s="433">
        <f aca="true" t="shared" si="12" ref="I45:K46">ROUND(B45/1000,0)</f>
        <v>7</v>
      </c>
      <c r="J45" s="433">
        <f t="shared" si="12"/>
        <v>7</v>
      </c>
      <c r="K45" s="433">
        <f t="shared" si="12"/>
        <v>2</v>
      </c>
      <c r="L45" s="81">
        <f t="shared" si="2"/>
        <v>28.57142857142857</v>
      </c>
      <c r="M45" s="81">
        <f t="shared" si="3"/>
        <v>28.57142857142857</v>
      </c>
      <c r="N45" s="433">
        <f>K45-'[22]Oktobris'!K44</f>
        <v>2</v>
      </c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</row>
    <row r="46" spans="1:104" s="60" customFormat="1" ht="12.75">
      <c r="A46" s="432" t="s">
        <v>257</v>
      </c>
      <c r="B46" s="433">
        <v>827650</v>
      </c>
      <c r="C46" s="433">
        <v>827650</v>
      </c>
      <c r="D46" s="433">
        <v>742418</v>
      </c>
      <c r="E46" s="425">
        <f t="shared" si="0"/>
        <v>0.8970192714311606</v>
      </c>
      <c r="F46" s="425">
        <f t="shared" si="1"/>
        <v>0.8970192714311606</v>
      </c>
      <c r="G46" s="419">
        <f>D46-'[22]Oktobris'!D45</f>
        <v>254709</v>
      </c>
      <c r="H46" s="432" t="s">
        <v>257</v>
      </c>
      <c r="I46" s="433">
        <f t="shared" si="12"/>
        <v>828</v>
      </c>
      <c r="J46" s="433">
        <f>ROUND(C46/1000,0)</f>
        <v>828</v>
      </c>
      <c r="K46" s="433">
        <f>ROUND(D46/1000,0)</f>
        <v>742</v>
      </c>
      <c r="L46" s="81">
        <f t="shared" si="2"/>
        <v>89.61352657004831</v>
      </c>
      <c r="M46" s="81">
        <f t="shared" si="3"/>
        <v>89.61352657004831</v>
      </c>
      <c r="N46" s="433">
        <f>K46-'[22]Oktobris'!K45</f>
        <v>254</v>
      </c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</row>
    <row r="47" spans="1:104" s="66" customFormat="1" ht="12">
      <c r="A47" s="59" t="s">
        <v>997</v>
      </c>
      <c r="B47" s="356">
        <f>B48+B51</f>
        <v>5945668</v>
      </c>
      <c r="C47" s="356">
        <f>C48+C51</f>
        <v>5889099</v>
      </c>
      <c r="D47" s="356">
        <f>D48+D51</f>
        <v>5026783</v>
      </c>
      <c r="E47" s="434">
        <f t="shared" si="0"/>
        <v>0.8454530256314345</v>
      </c>
      <c r="F47" s="434">
        <f t="shared" si="1"/>
        <v>0.8535742054939134</v>
      </c>
      <c r="G47" s="419">
        <f>D47-'[22]Oktobris'!D46</f>
        <v>42315</v>
      </c>
      <c r="H47" s="59" t="s">
        <v>997</v>
      </c>
      <c r="I47" s="356">
        <f>I48+I51</f>
        <v>5946</v>
      </c>
      <c r="J47" s="356">
        <f>J48+J51</f>
        <v>5889</v>
      </c>
      <c r="K47" s="356">
        <f>K48+K51</f>
        <v>5026</v>
      </c>
      <c r="L47" s="58">
        <f t="shared" si="2"/>
        <v>84.52741338715103</v>
      </c>
      <c r="M47" s="58">
        <f>IF(ISERROR(ROUND(K47,0)/ROUND(J47,0))," ",(ROUND(K47,)/ROUND(J47,)))*100</f>
        <v>85.34555951774495</v>
      </c>
      <c r="N47" s="356">
        <f>K47-'[22]Oktobris'!K46</f>
        <v>42</v>
      </c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</row>
    <row r="48" spans="1:104" s="427" customFormat="1" ht="12.75" customHeight="1">
      <c r="A48" s="429" t="s">
        <v>259</v>
      </c>
      <c r="B48" s="430">
        <f>SUM(B49:B50)</f>
        <v>3292889</v>
      </c>
      <c r="C48" s="430">
        <f>SUM(C49:C50)</f>
        <v>3292889</v>
      </c>
      <c r="D48" s="430">
        <f>SUM(D49:D50)</f>
        <v>2580782</v>
      </c>
      <c r="E48" s="425">
        <f t="shared" si="0"/>
        <v>0.7837440010884059</v>
      </c>
      <c r="F48" s="425">
        <f t="shared" si="1"/>
        <v>0.7837440010884059</v>
      </c>
      <c r="G48" s="419">
        <f>D48-'[22]Oktobris'!D47</f>
        <v>157</v>
      </c>
      <c r="H48" s="429" t="s">
        <v>259</v>
      </c>
      <c r="I48" s="430">
        <f>I49+I50</f>
        <v>3293</v>
      </c>
      <c r="J48" s="430">
        <f>J49+J50</f>
        <v>3293</v>
      </c>
      <c r="K48" s="430">
        <f>K49+K50</f>
        <v>2580</v>
      </c>
      <c r="L48" s="431">
        <f t="shared" si="2"/>
        <v>78.3480109322806</v>
      </c>
      <c r="M48" s="431">
        <f>IF(ISERROR(ROUND(K48,0)/ROUND(J48,0))," ",(ROUND(K48,)/ROUND(J48,)))*100</f>
        <v>78.3480109322806</v>
      </c>
      <c r="N48" s="430">
        <f>K48-'[22]Oktobris'!K47</f>
        <v>0</v>
      </c>
      <c r="O48" s="426"/>
      <c r="P48" s="426"/>
      <c r="Q48" s="426"/>
      <c r="R48" s="426"/>
      <c r="S48" s="426"/>
      <c r="T48" s="426"/>
      <c r="U48" s="426"/>
      <c r="V48" s="426"/>
      <c r="W48" s="426"/>
      <c r="X48" s="426"/>
      <c r="Y48" s="426"/>
      <c r="Z48" s="426"/>
      <c r="AA48" s="426"/>
      <c r="AB48" s="426"/>
      <c r="AC48" s="426"/>
      <c r="AD48" s="426"/>
      <c r="AE48" s="426"/>
      <c r="AF48" s="426"/>
      <c r="AG48" s="426"/>
      <c r="AH48" s="426"/>
      <c r="AI48" s="426"/>
      <c r="AJ48" s="426"/>
      <c r="AK48" s="426"/>
      <c r="AL48" s="426"/>
      <c r="AM48" s="426"/>
      <c r="AN48" s="426"/>
      <c r="AO48" s="426"/>
      <c r="AP48" s="426"/>
      <c r="AQ48" s="426"/>
      <c r="AR48" s="426"/>
      <c r="AS48" s="426"/>
      <c r="AT48" s="426"/>
      <c r="AU48" s="426"/>
      <c r="AV48" s="426"/>
      <c r="AW48" s="426"/>
      <c r="AX48" s="426"/>
      <c r="AY48" s="426"/>
      <c r="AZ48" s="426"/>
      <c r="BA48" s="426"/>
      <c r="BB48" s="426"/>
      <c r="BC48" s="426"/>
      <c r="BD48" s="426"/>
      <c r="BE48" s="426"/>
      <c r="BF48" s="426"/>
      <c r="BG48" s="426"/>
      <c r="BH48" s="426"/>
      <c r="BI48" s="426"/>
      <c r="BJ48" s="426"/>
      <c r="BK48" s="426"/>
      <c r="BL48" s="426"/>
      <c r="BM48" s="426"/>
      <c r="BN48" s="426"/>
      <c r="BO48" s="426"/>
      <c r="BP48" s="426"/>
      <c r="BQ48" s="426"/>
      <c r="BR48" s="426"/>
      <c r="BS48" s="426"/>
      <c r="BT48" s="426"/>
      <c r="BU48" s="426"/>
      <c r="BV48" s="426"/>
      <c r="BW48" s="426"/>
      <c r="BX48" s="426"/>
      <c r="BY48" s="426"/>
      <c r="BZ48" s="426"/>
      <c r="CA48" s="426"/>
      <c r="CB48" s="426"/>
      <c r="CC48" s="426"/>
      <c r="CD48" s="426"/>
      <c r="CE48" s="426"/>
      <c r="CF48" s="426"/>
      <c r="CG48" s="426"/>
      <c r="CH48" s="426"/>
      <c r="CI48" s="426"/>
      <c r="CJ48" s="426"/>
      <c r="CK48" s="426"/>
      <c r="CL48" s="426"/>
      <c r="CM48" s="426"/>
      <c r="CN48" s="426"/>
      <c r="CO48" s="426"/>
      <c r="CP48" s="426"/>
      <c r="CQ48" s="426"/>
      <c r="CR48" s="426"/>
      <c r="CS48" s="426"/>
      <c r="CT48" s="426"/>
      <c r="CU48" s="426"/>
      <c r="CV48" s="426"/>
      <c r="CW48" s="426"/>
      <c r="CX48" s="426"/>
      <c r="CY48" s="426"/>
      <c r="CZ48" s="426"/>
    </row>
    <row r="49" spans="1:104" s="60" customFormat="1" ht="12.75">
      <c r="A49" s="432" t="s">
        <v>256</v>
      </c>
      <c r="B49" s="433">
        <v>3209109</v>
      </c>
      <c r="C49" s="433">
        <v>3209109</v>
      </c>
      <c r="D49" s="433">
        <v>2502728</v>
      </c>
      <c r="E49" s="425">
        <f t="shared" si="0"/>
        <v>0.7798825156764697</v>
      </c>
      <c r="F49" s="425">
        <f t="shared" si="1"/>
        <v>0.7798825156764697</v>
      </c>
      <c r="G49" s="419">
        <f>D49-'[22]Oktobris'!D48</f>
        <v>157</v>
      </c>
      <c r="H49" s="432" t="s">
        <v>256</v>
      </c>
      <c r="I49" s="433">
        <f aca="true" t="shared" si="13" ref="I49:K50">ROUND(B49/1000,0)</f>
        <v>3209</v>
      </c>
      <c r="J49" s="433">
        <f>ROUND(C49/1000,0)</f>
        <v>3209</v>
      </c>
      <c r="K49" s="433">
        <f>ROUND(D49/1000,0)-1</f>
        <v>2502</v>
      </c>
      <c r="L49" s="81">
        <f t="shared" si="2"/>
        <v>77.96821439700842</v>
      </c>
      <c r="M49" s="81">
        <f aca="true" t="shared" si="14" ref="M49:M101">IF(ISERROR(ROUND(K49,0)/ROUND(J49,0))," ",(ROUND(K49,)/ROUND(J49,)))*100</f>
        <v>77.96821439700842</v>
      </c>
      <c r="N49" s="433">
        <f>K49-'[22]Oktobris'!K48</f>
        <v>0</v>
      </c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</row>
    <row r="50" spans="1:104" s="60" customFormat="1" ht="12.75">
      <c r="A50" s="432" t="s">
        <v>257</v>
      </c>
      <c r="B50" s="433">
        <v>83780</v>
      </c>
      <c r="C50" s="433">
        <v>83780</v>
      </c>
      <c r="D50" s="433">
        <v>78054</v>
      </c>
      <c r="E50" s="425">
        <f t="shared" si="0"/>
        <v>0.9316543327763189</v>
      </c>
      <c r="F50" s="425">
        <f t="shared" si="1"/>
        <v>0.9316543327763189</v>
      </c>
      <c r="G50" s="419">
        <f>D50-'[22]Oktobris'!D49</f>
        <v>0</v>
      </c>
      <c r="H50" s="432" t="s">
        <v>257</v>
      </c>
      <c r="I50" s="433">
        <f t="shared" si="13"/>
        <v>84</v>
      </c>
      <c r="J50" s="433">
        <f t="shared" si="13"/>
        <v>84</v>
      </c>
      <c r="K50" s="433">
        <f t="shared" si="13"/>
        <v>78</v>
      </c>
      <c r="L50" s="81">
        <f t="shared" si="2"/>
        <v>92.85714285714286</v>
      </c>
      <c r="M50" s="81">
        <f t="shared" si="14"/>
        <v>92.85714285714286</v>
      </c>
      <c r="N50" s="433">
        <f>K50-'[22]Oktobris'!K49</f>
        <v>0</v>
      </c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</row>
    <row r="51" spans="1:104" s="131" customFormat="1" ht="12.75">
      <c r="A51" s="429" t="s">
        <v>260</v>
      </c>
      <c r="B51" s="430">
        <f>B52</f>
        <v>2652779</v>
      </c>
      <c r="C51" s="430">
        <f>C52</f>
        <v>2596210</v>
      </c>
      <c r="D51" s="430">
        <f>D52</f>
        <v>2446001</v>
      </c>
      <c r="E51" s="425">
        <f t="shared" si="0"/>
        <v>0.9220523081643816</v>
      </c>
      <c r="F51" s="425">
        <f t="shared" si="1"/>
        <v>0.9421429699446501</v>
      </c>
      <c r="G51" s="419">
        <f>D51-'[22]Oktobris'!D50</f>
        <v>42158</v>
      </c>
      <c r="H51" s="429" t="s">
        <v>260</v>
      </c>
      <c r="I51" s="430">
        <f>I52</f>
        <v>2653</v>
      </c>
      <c r="J51" s="430">
        <f>J52</f>
        <v>2596</v>
      </c>
      <c r="K51" s="430">
        <f>K52</f>
        <v>2446</v>
      </c>
      <c r="L51" s="431">
        <f t="shared" si="2"/>
        <v>92.1975122502827</v>
      </c>
      <c r="M51" s="431">
        <f t="shared" si="14"/>
        <v>94.22187981510015</v>
      </c>
      <c r="N51" s="430">
        <f>K51-'[22]Oktobris'!K50</f>
        <v>42</v>
      </c>
      <c r="O51" s="426"/>
      <c r="P51" s="426"/>
      <c r="Q51" s="426"/>
      <c r="R51" s="426"/>
      <c r="S51" s="426"/>
      <c r="T51" s="426"/>
      <c r="U51" s="426"/>
      <c r="V51" s="426"/>
      <c r="W51" s="426"/>
      <c r="X51" s="426"/>
      <c r="Y51" s="426"/>
      <c r="Z51" s="426"/>
      <c r="AA51" s="426"/>
      <c r="AB51" s="426"/>
      <c r="AC51" s="426"/>
      <c r="AD51" s="426"/>
      <c r="AE51" s="426"/>
      <c r="AF51" s="426"/>
      <c r="AG51" s="426"/>
      <c r="AH51" s="426"/>
      <c r="AI51" s="426"/>
      <c r="AJ51" s="426"/>
      <c r="AK51" s="426"/>
      <c r="AL51" s="426"/>
      <c r="AM51" s="426"/>
      <c r="AN51" s="426"/>
      <c r="AO51" s="426"/>
      <c r="AP51" s="426"/>
      <c r="AQ51" s="426"/>
      <c r="AR51" s="426"/>
      <c r="AS51" s="426"/>
      <c r="AT51" s="426"/>
      <c r="AU51" s="426"/>
      <c r="AV51" s="426"/>
      <c r="AW51" s="426"/>
      <c r="AX51" s="426"/>
      <c r="AY51" s="426"/>
      <c r="AZ51" s="426"/>
      <c r="BA51" s="426"/>
      <c r="BB51" s="426"/>
      <c r="BC51" s="426"/>
      <c r="BD51" s="426"/>
      <c r="BE51" s="426"/>
      <c r="BF51" s="426"/>
      <c r="BG51" s="426"/>
      <c r="BH51" s="426"/>
      <c r="BI51" s="426"/>
      <c r="BJ51" s="426"/>
      <c r="BK51" s="426"/>
      <c r="BL51" s="426"/>
      <c r="BM51" s="426"/>
      <c r="BN51" s="426"/>
      <c r="BO51" s="426"/>
      <c r="BP51" s="426"/>
      <c r="BQ51" s="426"/>
      <c r="BR51" s="426"/>
      <c r="BS51" s="426"/>
      <c r="BT51" s="426"/>
      <c r="BU51" s="426"/>
      <c r="BV51" s="426"/>
      <c r="BW51" s="426"/>
      <c r="BX51" s="426"/>
      <c r="BY51" s="426"/>
      <c r="BZ51" s="426"/>
      <c r="CA51" s="426"/>
      <c r="CB51" s="426"/>
      <c r="CC51" s="426"/>
      <c r="CD51" s="426"/>
      <c r="CE51" s="426"/>
      <c r="CF51" s="426"/>
      <c r="CG51" s="426"/>
      <c r="CH51" s="426"/>
      <c r="CI51" s="426"/>
      <c r="CJ51" s="426"/>
      <c r="CK51" s="426"/>
      <c r="CL51" s="426"/>
      <c r="CM51" s="426"/>
      <c r="CN51" s="426"/>
      <c r="CO51" s="426"/>
      <c r="CP51" s="426"/>
      <c r="CQ51" s="426"/>
      <c r="CR51" s="426"/>
      <c r="CS51" s="426"/>
      <c r="CT51" s="426"/>
      <c r="CU51" s="426"/>
      <c r="CV51" s="426"/>
      <c r="CW51" s="426"/>
      <c r="CX51" s="426"/>
      <c r="CY51" s="426"/>
      <c r="CZ51" s="426"/>
    </row>
    <row r="52" spans="1:104" s="83" customFormat="1" ht="12.75">
      <c r="A52" s="432" t="s">
        <v>256</v>
      </c>
      <c r="B52" s="433">
        <v>2652779</v>
      </c>
      <c r="C52" s="433">
        <v>2596210</v>
      </c>
      <c r="D52" s="433">
        <v>2446001</v>
      </c>
      <c r="E52" s="425">
        <f t="shared" si="0"/>
        <v>0.9220523081643816</v>
      </c>
      <c r="F52" s="425">
        <f t="shared" si="1"/>
        <v>0.9421429699446501</v>
      </c>
      <c r="G52" s="419">
        <f>D52-'[22]Oktobris'!D51</f>
        <v>42158</v>
      </c>
      <c r="H52" s="432" t="s">
        <v>256</v>
      </c>
      <c r="I52" s="433">
        <f>ROUND(B52/1000,0)</f>
        <v>2653</v>
      </c>
      <c r="J52" s="433">
        <f>ROUND(C52/1000,0)</f>
        <v>2596</v>
      </c>
      <c r="K52" s="433">
        <f>ROUND(D52/1000,0)</f>
        <v>2446</v>
      </c>
      <c r="L52" s="81">
        <f t="shared" si="2"/>
        <v>92.1975122502827</v>
      </c>
      <c r="M52" s="81">
        <f t="shared" si="14"/>
        <v>94.22187981510015</v>
      </c>
      <c r="N52" s="433">
        <f>K52-'[22]Oktobris'!K51</f>
        <v>42</v>
      </c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</row>
    <row r="53" spans="1:14" s="1" customFormat="1" ht="12">
      <c r="A53" s="74" t="s">
        <v>999</v>
      </c>
      <c r="B53" s="435">
        <f>B54+B57</f>
        <v>16574093</v>
      </c>
      <c r="C53" s="435">
        <f>C54+C57</f>
        <v>8161637</v>
      </c>
      <c r="D53" s="435">
        <f>D54+D57</f>
        <v>970398</v>
      </c>
      <c r="E53" s="434">
        <f t="shared" si="0"/>
        <v>0.05854908621545686</v>
      </c>
      <c r="F53" s="434">
        <f t="shared" si="1"/>
        <v>0.11889747118133286</v>
      </c>
      <c r="G53" s="419">
        <f>D53-'[22]Oktobris'!D52</f>
        <v>57318</v>
      </c>
      <c r="H53" s="74" t="s">
        <v>999</v>
      </c>
      <c r="I53" s="356">
        <f>I54+I57</f>
        <v>16574</v>
      </c>
      <c r="J53" s="356">
        <f>J54+J57</f>
        <v>8161</v>
      </c>
      <c r="K53" s="356">
        <f>K54+K57</f>
        <v>970</v>
      </c>
      <c r="L53" s="58">
        <f t="shared" si="2"/>
        <v>5.852540123084349</v>
      </c>
      <c r="M53" s="58">
        <f t="shared" si="14"/>
        <v>11.885798309030756</v>
      </c>
      <c r="N53" s="356">
        <f>K53-'[22]Oktobris'!K52</f>
        <v>58</v>
      </c>
    </row>
    <row r="54" spans="1:14" s="426" customFormat="1" ht="12.75">
      <c r="A54" s="429" t="s">
        <v>259</v>
      </c>
      <c r="B54" s="430">
        <f>SUM(B55:B56)</f>
        <v>16233430</v>
      </c>
      <c r="C54" s="430">
        <f>SUM(C55:C56)</f>
        <v>7820974</v>
      </c>
      <c r="D54" s="430">
        <f>SUM(D55:D56)</f>
        <v>797578</v>
      </c>
      <c r="E54" s="425">
        <f t="shared" si="0"/>
        <v>0.04913182241830593</v>
      </c>
      <c r="F54" s="425">
        <f t="shared" si="1"/>
        <v>0.10197936983296454</v>
      </c>
      <c r="G54" s="419">
        <f>D54-'[22]Oktobris'!D53</f>
        <v>52584</v>
      </c>
      <c r="H54" s="429" t="s">
        <v>259</v>
      </c>
      <c r="I54" s="430">
        <f>SUM(I55:I56)</f>
        <v>16233</v>
      </c>
      <c r="J54" s="430">
        <f>SUM(J55:J56)</f>
        <v>7821</v>
      </c>
      <c r="K54" s="430">
        <f>SUM(K55:K56)</f>
        <v>798</v>
      </c>
      <c r="L54" s="431">
        <f t="shared" si="2"/>
        <v>4.915912031047866</v>
      </c>
      <c r="M54" s="431">
        <f t="shared" si="14"/>
        <v>10.203298810893747</v>
      </c>
      <c r="N54" s="430">
        <f>K54-'[22]Oktobris'!K53</f>
        <v>53</v>
      </c>
    </row>
    <row r="55" spans="1:14" ht="12.75">
      <c r="A55" s="432" t="s">
        <v>256</v>
      </c>
      <c r="B55" s="433">
        <v>14472230</v>
      </c>
      <c r="C55" s="433">
        <v>6287774</v>
      </c>
      <c r="D55" s="433">
        <v>206884</v>
      </c>
      <c r="E55" s="425">
        <f t="shared" si="0"/>
        <v>0.014295239918105227</v>
      </c>
      <c r="F55" s="425">
        <f t="shared" si="1"/>
        <v>0.03290258205845185</v>
      </c>
      <c r="G55" s="419">
        <f>D55-'[22]Oktobris'!D54</f>
        <v>39099</v>
      </c>
      <c r="H55" s="432" t="s">
        <v>256</v>
      </c>
      <c r="I55" s="433">
        <f aca="true" t="shared" si="15" ref="I55:K56">ROUND(B55/1000,0)</f>
        <v>14472</v>
      </c>
      <c r="J55" s="433">
        <f>ROUND(C55/1000,0)</f>
        <v>6288</v>
      </c>
      <c r="K55" s="433">
        <f>ROUND(D55/1000,0)</f>
        <v>207</v>
      </c>
      <c r="L55" s="81">
        <f t="shared" si="2"/>
        <v>1.4303482587064678</v>
      </c>
      <c r="M55" s="81">
        <f t="shared" si="14"/>
        <v>3.2919847328244276</v>
      </c>
      <c r="N55" s="433">
        <f>K55-'[22]Oktobris'!K54</f>
        <v>39</v>
      </c>
    </row>
    <row r="56" spans="1:14" ht="12.75">
      <c r="A56" s="432" t="s">
        <v>257</v>
      </c>
      <c r="B56" s="433">
        <v>1761200</v>
      </c>
      <c r="C56" s="433">
        <v>1533200</v>
      </c>
      <c r="D56" s="433">
        <v>590694</v>
      </c>
      <c r="E56" s="425">
        <f t="shared" si="0"/>
        <v>0.3353929139223257</v>
      </c>
      <c r="F56" s="425">
        <f t="shared" si="1"/>
        <v>0.38526871901904514</v>
      </c>
      <c r="G56" s="419">
        <f>D56-'[22]Oktobris'!D55</f>
        <v>13485</v>
      </c>
      <c r="H56" s="432" t="s">
        <v>257</v>
      </c>
      <c r="I56" s="433">
        <f t="shared" si="15"/>
        <v>1761</v>
      </c>
      <c r="J56" s="433">
        <f t="shared" si="15"/>
        <v>1533</v>
      </c>
      <c r="K56" s="433">
        <f t="shared" si="15"/>
        <v>591</v>
      </c>
      <c r="L56" s="81">
        <f t="shared" si="2"/>
        <v>33.560477001703575</v>
      </c>
      <c r="M56" s="81">
        <f t="shared" si="14"/>
        <v>38.551859099804304</v>
      </c>
      <c r="N56" s="433">
        <f>K56-'[22]Oktobris'!K55</f>
        <v>14</v>
      </c>
    </row>
    <row r="57" spans="1:14" s="426" customFormat="1" ht="12.75">
      <c r="A57" s="429" t="s">
        <v>260</v>
      </c>
      <c r="B57" s="430">
        <f>SUM(B58:B59)</f>
        <v>340663</v>
      </c>
      <c r="C57" s="430">
        <f>SUM(C58:C59)</f>
        <v>340663</v>
      </c>
      <c r="D57" s="430">
        <f>SUM(D58:D59)</f>
        <v>172820</v>
      </c>
      <c r="E57" s="425">
        <f t="shared" si="0"/>
        <v>0.5073048731444272</v>
      </c>
      <c r="F57" s="425">
        <f t="shared" si="1"/>
        <v>0.5073048731444272</v>
      </c>
      <c r="G57" s="419">
        <f>D57-'[22]Oktobris'!D56</f>
        <v>4734</v>
      </c>
      <c r="H57" s="429" t="s">
        <v>260</v>
      </c>
      <c r="I57" s="430">
        <f>SUM(I58:I59)</f>
        <v>341</v>
      </c>
      <c r="J57" s="430">
        <f>SUM(J58:J59)</f>
        <v>340</v>
      </c>
      <c r="K57" s="430">
        <f>SUM(K58:K59)</f>
        <v>172</v>
      </c>
      <c r="L57" s="431">
        <f t="shared" si="2"/>
        <v>50.43988269794721</v>
      </c>
      <c r="M57" s="431">
        <f t="shared" si="14"/>
        <v>50.588235294117645</v>
      </c>
      <c r="N57" s="430">
        <f>K57-'[22]Oktobris'!K56</f>
        <v>5</v>
      </c>
    </row>
    <row r="58" spans="1:14" ht="12.75">
      <c r="A58" s="432" t="s">
        <v>256</v>
      </c>
      <c r="B58" s="433">
        <v>132163</v>
      </c>
      <c r="C58" s="433">
        <v>132163</v>
      </c>
      <c r="D58" s="433">
        <v>21411</v>
      </c>
      <c r="E58" s="425">
        <f t="shared" si="0"/>
        <v>0.16200449445003517</v>
      </c>
      <c r="F58" s="425">
        <f t="shared" si="1"/>
        <v>0.16200449445003517</v>
      </c>
      <c r="G58" s="419">
        <f>D58-'[22]Oktobris'!D57</f>
        <v>4734</v>
      </c>
      <c r="H58" s="432" t="s">
        <v>256</v>
      </c>
      <c r="I58" s="433">
        <f aca="true" t="shared" si="16" ref="I58:K59">ROUND(B58/1000,0)</f>
        <v>132</v>
      </c>
      <c r="J58" s="433">
        <f>ROUND(C58/1000,0)</f>
        <v>132</v>
      </c>
      <c r="K58" s="433">
        <f>ROUND(D58/1000,0)</f>
        <v>21</v>
      </c>
      <c r="L58" s="81">
        <f t="shared" si="2"/>
        <v>15.909090909090908</v>
      </c>
      <c r="M58" s="81">
        <f t="shared" si="14"/>
        <v>15.909090909090908</v>
      </c>
      <c r="N58" s="433">
        <f>K58-'[22]Oktobris'!K57</f>
        <v>5</v>
      </c>
    </row>
    <row r="59" spans="1:14" ht="12.75">
      <c r="A59" s="432" t="s">
        <v>257</v>
      </c>
      <c r="B59" s="433">
        <v>208500</v>
      </c>
      <c r="C59" s="433">
        <v>208500</v>
      </c>
      <c r="D59" s="433">
        <v>151409</v>
      </c>
      <c r="E59" s="425">
        <f t="shared" si="0"/>
        <v>0.7261822541966427</v>
      </c>
      <c r="F59" s="425">
        <f t="shared" si="1"/>
        <v>0.7261822541966427</v>
      </c>
      <c r="G59" s="419">
        <f>D59-'[22]Oktobris'!D58</f>
        <v>0</v>
      </c>
      <c r="H59" s="432" t="s">
        <v>257</v>
      </c>
      <c r="I59" s="433">
        <f t="shared" si="16"/>
        <v>209</v>
      </c>
      <c r="J59" s="433">
        <f>ROUND(C59/1000,0)-1</f>
        <v>208</v>
      </c>
      <c r="K59" s="433">
        <f t="shared" si="16"/>
        <v>151</v>
      </c>
      <c r="L59" s="81">
        <f t="shared" si="2"/>
        <v>72.24880382775119</v>
      </c>
      <c r="M59" s="81">
        <f t="shared" si="14"/>
        <v>72.59615384615384</v>
      </c>
      <c r="N59" s="433">
        <f>K59-'[22]Oktobris'!K58</f>
        <v>0</v>
      </c>
    </row>
    <row r="60" spans="1:14" s="1" customFormat="1" ht="12.75" customHeight="1">
      <c r="A60" s="74" t="s">
        <v>1001</v>
      </c>
      <c r="B60" s="435">
        <f>B61+B64</f>
        <v>8889527</v>
      </c>
      <c r="C60" s="435">
        <f>C61+C64</f>
        <v>7191777</v>
      </c>
      <c r="D60" s="435">
        <f>D61+D64</f>
        <v>3195122</v>
      </c>
      <c r="E60" s="434">
        <f t="shared" si="0"/>
        <v>0.35942542274746453</v>
      </c>
      <c r="F60" s="434">
        <f t="shared" si="1"/>
        <v>0.444274342766746</v>
      </c>
      <c r="G60" s="419">
        <f>D60-'[22]Oktobris'!D59</f>
        <v>91997</v>
      </c>
      <c r="H60" s="74" t="s">
        <v>1001</v>
      </c>
      <c r="I60" s="356">
        <f>I61+I64</f>
        <v>8890</v>
      </c>
      <c r="J60" s="356">
        <f>J61+J64</f>
        <v>7192</v>
      </c>
      <c r="K60" s="356">
        <f>K61+K64</f>
        <v>3195</v>
      </c>
      <c r="L60" s="58">
        <f t="shared" si="2"/>
        <v>35.9392575928009</v>
      </c>
      <c r="M60" s="58">
        <f t="shared" si="14"/>
        <v>44.42436040044494</v>
      </c>
      <c r="N60" s="356">
        <f>K60-'[22]Oktobris'!K59</f>
        <v>92</v>
      </c>
    </row>
    <row r="61" spans="1:14" s="426" customFormat="1" ht="12.75" customHeight="1">
      <c r="A61" s="429" t="s">
        <v>259</v>
      </c>
      <c r="B61" s="430">
        <f>SUM(B62:B63)</f>
        <v>6174527</v>
      </c>
      <c r="C61" s="430">
        <f>SUM(C62:C63)</f>
        <v>4945777</v>
      </c>
      <c r="D61" s="430">
        <f>SUM(D62:D63)</f>
        <v>1671290</v>
      </c>
      <c r="E61" s="425">
        <f t="shared" si="0"/>
        <v>0.2706749844967882</v>
      </c>
      <c r="F61" s="425">
        <f t="shared" si="1"/>
        <v>0.3379226358163743</v>
      </c>
      <c r="G61" s="419">
        <f>D61-'[22]Oktobris'!D60</f>
        <v>0</v>
      </c>
      <c r="H61" s="429" t="s">
        <v>259</v>
      </c>
      <c r="I61" s="430">
        <f>I62+I63</f>
        <v>6175</v>
      </c>
      <c r="J61" s="430">
        <f>J62+J63</f>
        <v>4946</v>
      </c>
      <c r="K61" s="430">
        <f>K62+K63</f>
        <v>1671</v>
      </c>
      <c r="L61" s="431">
        <f t="shared" si="2"/>
        <v>27.060728744939272</v>
      </c>
      <c r="M61" s="431">
        <f t="shared" si="14"/>
        <v>33.784876668014554</v>
      </c>
      <c r="N61" s="430">
        <f>K61-'[22]Oktobris'!K60</f>
        <v>0</v>
      </c>
    </row>
    <row r="62" spans="1:14" ht="12.75">
      <c r="A62" s="432" t="s">
        <v>256</v>
      </c>
      <c r="B62" s="433">
        <v>477522</v>
      </c>
      <c r="C62" s="433">
        <v>392272</v>
      </c>
      <c r="D62" s="433">
        <v>260315</v>
      </c>
      <c r="E62" s="425">
        <f t="shared" si="0"/>
        <v>0.5451371873966017</v>
      </c>
      <c r="F62" s="425">
        <f t="shared" si="1"/>
        <v>0.6636084145694824</v>
      </c>
      <c r="G62" s="419">
        <f>D62-'[22]Oktobris'!D61</f>
        <v>0</v>
      </c>
      <c r="H62" s="432" t="s">
        <v>256</v>
      </c>
      <c r="I62" s="433">
        <f aca="true" t="shared" si="17" ref="I62:K63">ROUND(B62/1000,0)</f>
        <v>478</v>
      </c>
      <c r="J62" s="433">
        <f t="shared" si="17"/>
        <v>392</v>
      </c>
      <c r="K62" s="433">
        <f t="shared" si="17"/>
        <v>260</v>
      </c>
      <c r="L62" s="81">
        <f t="shared" si="2"/>
        <v>54.39330543933054</v>
      </c>
      <c r="M62" s="81">
        <f t="shared" si="14"/>
        <v>66.3265306122449</v>
      </c>
      <c r="N62" s="433">
        <f>K62-'[22]Oktobris'!K61</f>
        <v>0</v>
      </c>
    </row>
    <row r="63" spans="1:14" ht="12.75">
      <c r="A63" s="432" t="s">
        <v>257</v>
      </c>
      <c r="B63" s="433">
        <v>5697005</v>
      </c>
      <c r="C63" s="433">
        <v>4553505</v>
      </c>
      <c r="D63" s="433">
        <v>1410975</v>
      </c>
      <c r="E63" s="425">
        <f t="shared" si="0"/>
        <v>0.2476696088558813</v>
      </c>
      <c r="F63" s="425">
        <f t="shared" si="1"/>
        <v>0.30986569686428367</v>
      </c>
      <c r="G63" s="419">
        <f>D63-'[22]Oktobris'!D62</f>
        <v>0</v>
      </c>
      <c r="H63" s="432" t="s">
        <v>257</v>
      </c>
      <c r="I63" s="433">
        <f t="shared" si="17"/>
        <v>5697</v>
      </c>
      <c r="J63" s="433">
        <f t="shared" si="17"/>
        <v>4554</v>
      </c>
      <c r="K63" s="433">
        <f t="shared" si="17"/>
        <v>1411</v>
      </c>
      <c r="L63" s="81">
        <f t="shared" si="2"/>
        <v>24.767421449885905</v>
      </c>
      <c r="M63" s="81">
        <f t="shared" si="14"/>
        <v>30.983750548967944</v>
      </c>
      <c r="N63" s="433">
        <f>K63-'[22]Oktobris'!K62</f>
        <v>0</v>
      </c>
    </row>
    <row r="64" spans="1:14" s="426" customFormat="1" ht="12.75">
      <c r="A64" s="429" t="s">
        <v>260</v>
      </c>
      <c r="B64" s="430">
        <f>B65</f>
        <v>2715000</v>
      </c>
      <c r="C64" s="430">
        <f>C65</f>
        <v>2246000</v>
      </c>
      <c r="D64" s="430">
        <f>D65</f>
        <v>1523832</v>
      </c>
      <c r="E64" s="425">
        <f t="shared" si="0"/>
        <v>0.5612640883977901</v>
      </c>
      <c r="F64" s="425">
        <f t="shared" si="1"/>
        <v>0.6784648263579697</v>
      </c>
      <c r="G64" s="419">
        <f>D64-'[22]Oktobris'!D63</f>
        <v>91997</v>
      </c>
      <c r="H64" s="429" t="s">
        <v>260</v>
      </c>
      <c r="I64" s="430">
        <f>I65</f>
        <v>2715</v>
      </c>
      <c r="J64" s="430">
        <f>J65</f>
        <v>2246</v>
      </c>
      <c r="K64" s="430">
        <f>K65</f>
        <v>1524</v>
      </c>
      <c r="L64" s="431">
        <f t="shared" si="2"/>
        <v>56.132596685082866</v>
      </c>
      <c r="M64" s="431">
        <f t="shared" si="14"/>
        <v>67.8539626001781</v>
      </c>
      <c r="N64" s="430">
        <f>K64-'[22]Oktobris'!K63</f>
        <v>92</v>
      </c>
    </row>
    <row r="65" spans="1:14" ht="12.75">
      <c r="A65" s="432" t="s">
        <v>257</v>
      </c>
      <c r="B65" s="433">
        <v>2715000</v>
      </c>
      <c r="C65" s="433">
        <v>2246000</v>
      </c>
      <c r="D65" s="433">
        <v>1523832</v>
      </c>
      <c r="E65" s="425">
        <f t="shared" si="0"/>
        <v>0.5612640883977901</v>
      </c>
      <c r="F65" s="425">
        <f t="shared" si="1"/>
        <v>0.6784648263579697</v>
      </c>
      <c r="G65" s="419">
        <f>D65-'[22]Oktobris'!D64</f>
        <v>91997</v>
      </c>
      <c r="H65" s="432" t="s">
        <v>257</v>
      </c>
      <c r="I65" s="433">
        <f>ROUND(B65/1000,0)</f>
        <v>2715</v>
      </c>
      <c r="J65" s="433">
        <f>ROUND(C65/1000,0)</f>
        <v>2246</v>
      </c>
      <c r="K65" s="433">
        <f>ROUND(D65/1000,0)</f>
        <v>1524</v>
      </c>
      <c r="L65" s="81">
        <f t="shared" si="2"/>
        <v>56.132596685082866</v>
      </c>
      <c r="M65" s="81">
        <f t="shared" si="14"/>
        <v>67.8539626001781</v>
      </c>
      <c r="N65" s="433">
        <f>K65-'[22]Oktobris'!K64</f>
        <v>92</v>
      </c>
    </row>
    <row r="66" spans="1:14" s="1" customFormat="1" ht="12">
      <c r="A66" s="74" t="s">
        <v>1003</v>
      </c>
      <c r="B66" s="435">
        <f>B67+B70</f>
        <v>3393392</v>
      </c>
      <c r="C66" s="435">
        <f>C67+C70</f>
        <v>3191516</v>
      </c>
      <c r="D66" s="435">
        <f>D67+D70</f>
        <v>691875</v>
      </c>
      <c r="E66" s="434">
        <f t="shared" si="0"/>
        <v>0.20388891115438476</v>
      </c>
      <c r="F66" s="434">
        <f t="shared" si="1"/>
        <v>0.21678569056210278</v>
      </c>
      <c r="G66" s="419">
        <f>D66-'[22]Oktobris'!D65</f>
        <v>188175</v>
      </c>
      <c r="H66" s="74" t="s">
        <v>1003</v>
      </c>
      <c r="I66" s="356">
        <f>I67+I70</f>
        <v>3393</v>
      </c>
      <c r="J66" s="356">
        <f>J67+J70</f>
        <v>3192</v>
      </c>
      <c r="K66" s="356">
        <f>K67+K70</f>
        <v>692</v>
      </c>
      <c r="L66" s="58">
        <f t="shared" si="2"/>
        <v>20.394930739758326</v>
      </c>
      <c r="M66" s="58">
        <f t="shared" si="14"/>
        <v>21.67919799498747</v>
      </c>
      <c r="N66" s="356">
        <f>K66-'[22]Oktobris'!K65</f>
        <v>188</v>
      </c>
    </row>
    <row r="67" spans="1:14" s="426" customFormat="1" ht="12.75">
      <c r="A67" s="429" t="s">
        <v>259</v>
      </c>
      <c r="B67" s="430">
        <f>SUM(B68:B69)</f>
        <v>3041252</v>
      </c>
      <c r="C67" s="430">
        <f>SUM(C68:C69)</f>
        <v>2900055</v>
      </c>
      <c r="D67" s="430">
        <f>SUM(D68:D69)</f>
        <v>446295</v>
      </c>
      <c r="E67" s="425">
        <f t="shared" si="0"/>
        <v>0.14674712914286617</v>
      </c>
      <c r="F67" s="425">
        <f t="shared" si="1"/>
        <v>0.15389190894655447</v>
      </c>
      <c r="G67" s="419">
        <f>D67-'[22]Oktobris'!D66</f>
        <v>130762</v>
      </c>
      <c r="H67" s="429" t="s">
        <v>259</v>
      </c>
      <c r="I67" s="430">
        <f>SUM(I68:I69)</f>
        <v>3041</v>
      </c>
      <c r="J67" s="430">
        <f>SUM(J68:J69)</f>
        <v>2900</v>
      </c>
      <c r="K67" s="430">
        <f>SUM(K68:K69)</f>
        <v>446</v>
      </c>
      <c r="L67" s="431">
        <f t="shared" si="2"/>
        <v>14.666228214403157</v>
      </c>
      <c r="M67" s="431">
        <f t="shared" si="14"/>
        <v>15.379310344827587</v>
      </c>
      <c r="N67" s="430">
        <f>K67-'[22]Oktobris'!K66</f>
        <v>130</v>
      </c>
    </row>
    <row r="68" spans="1:14" ht="12.75">
      <c r="A68" s="432" t="s">
        <v>256</v>
      </c>
      <c r="B68" s="433">
        <v>2296193</v>
      </c>
      <c r="C68" s="433">
        <v>2164908</v>
      </c>
      <c r="D68" s="433">
        <v>354361</v>
      </c>
      <c r="E68" s="425">
        <f t="shared" si="0"/>
        <v>0.15432544215577698</v>
      </c>
      <c r="F68" s="425">
        <f t="shared" si="1"/>
        <v>0.16368409188750746</v>
      </c>
      <c r="G68" s="419">
        <f>D68-'[22]Oktobris'!D67</f>
        <v>38828</v>
      </c>
      <c r="H68" s="432" t="s">
        <v>256</v>
      </c>
      <c r="I68" s="433">
        <f aca="true" t="shared" si="18" ref="I68:K69">ROUND(B68/1000,0)</f>
        <v>2296</v>
      </c>
      <c r="J68" s="433">
        <f>ROUND(C68/1000,0)</f>
        <v>2165</v>
      </c>
      <c r="K68" s="433">
        <f>ROUND(D68/1000,0)</f>
        <v>354</v>
      </c>
      <c r="L68" s="81">
        <f t="shared" si="2"/>
        <v>15.418118466898957</v>
      </c>
      <c r="M68" s="81">
        <f t="shared" si="14"/>
        <v>16.351039260969976</v>
      </c>
      <c r="N68" s="433">
        <f>K68-'[22]Oktobris'!K67</f>
        <v>38</v>
      </c>
    </row>
    <row r="69" spans="1:14" ht="12.75">
      <c r="A69" s="432" t="s">
        <v>257</v>
      </c>
      <c r="B69" s="433">
        <v>745059</v>
      </c>
      <c r="C69" s="433">
        <v>735147</v>
      </c>
      <c r="D69" s="433">
        <v>91934</v>
      </c>
      <c r="E69" s="425">
        <f t="shared" si="0"/>
        <v>0.12339157033201398</v>
      </c>
      <c r="F69" s="425">
        <f t="shared" si="1"/>
        <v>0.1250552610566322</v>
      </c>
      <c r="G69" s="419">
        <f>D69-'[22]Oktobris'!D68</f>
        <v>91934</v>
      </c>
      <c r="H69" s="432" t="s">
        <v>257</v>
      </c>
      <c r="I69" s="433">
        <f t="shared" si="18"/>
        <v>745</v>
      </c>
      <c r="J69" s="433">
        <f t="shared" si="18"/>
        <v>735</v>
      </c>
      <c r="K69" s="433">
        <f t="shared" si="18"/>
        <v>92</v>
      </c>
      <c r="L69" s="81">
        <f t="shared" si="2"/>
        <v>12.348993288590604</v>
      </c>
      <c r="M69" s="81">
        <f t="shared" si="14"/>
        <v>12.51700680272109</v>
      </c>
      <c r="N69" s="433">
        <f>K69-'[22]Oktobris'!K68</f>
        <v>92</v>
      </c>
    </row>
    <row r="70" spans="1:14" s="426" customFormat="1" ht="12.75">
      <c r="A70" s="429" t="s">
        <v>260</v>
      </c>
      <c r="B70" s="430">
        <f>SUM(B71:B72)</f>
        <v>352140</v>
      </c>
      <c r="C70" s="430">
        <f>SUM(C71:C72)</f>
        <v>291461</v>
      </c>
      <c r="D70" s="430">
        <f>SUM(D71:D72)</f>
        <v>245580</v>
      </c>
      <c r="E70" s="425">
        <f t="shared" si="0"/>
        <v>0.6973930822968137</v>
      </c>
      <c r="F70" s="425">
        <f t="shared" si="1"/>
        <v>0.8425827126099203</v>
      </c>
      <c r="G70" s="419">
        <f>D70-'[22]Oktobris'!D69</f>
        <v>57413</v>
      </c>
      <c r="H70" s="429" t="s">
        <v>260</v>
      </c>
      <c r="I70" s="430">
        <f>SUM(I71:I72)</f>
        <v>352</v>
      </c>
      <c r="J70" s="430">
        <f>SUM(J71:J72)</f>
        <v>292</v>
      </c>
      <c r="K70" s="430">
        <f>SUM(K71:K72)</f>
        <v>246</v>
      </c>
      <c r="L70" s="431">
        <f t="shared" si="2"/>
        <v>69.88636363636364</v>
      </c>
      <c r="M70" s="431">
        <f t="shared" si="14"/>
        <v>84.24657534246576</v>
      </c>
      <c r="N70" s="430">
        <f>K70-'[22]Oktobris'!K69</f>
        <v>58</v>
      </c>
    </row>
    <row r="71" spans="1:14" ht="12.75">
      <c r="A71" s="432" t="s">
        <v>256</v>
      </c>
      <c r="B71" s="433">
        <v>256914</v>
      </c>
      <c r="C71" s="433">
        <v>197765</v>
      </c>
      <c r="D71" s="433">
        <v>194884</v>
      </c>
      <c r="E71" s="425">
        <f t="shared" si="0"/>
        <v>0.7585573382532677</v>
      </c>
      <c r="F71" s="425">
        <f t="shared" si="1"/>
        <v>0.9854322048896418</v>
      </c>
      <c r="G71" s="419">
        <f>D71-'[22]Oktobris'!D70</f>
        <v>32743</v>
      </c>
      <c r="H71" s="432" t="s">
        <v>256</v>
      </c>
      <c r="I71" s="433">
        <f aca="true" t="shared" si="19" ref="I71:K72">ROUND(B71/1000,0)</f>
        <v>257</v>
      </c>
      <c r="J71" s="433">
        <f>ROUND(C71/1000,0)</f>
        <v>198</v>
      </c>
      <c r="K71" s="433">
        <f>ROUND(D71/1000,0)</f>
        <v>195</v>
      </c>
      <c r="L71" s="81">
        <f t="shared" si="2"/>
        <v>75.87548638132296</v>
      </c>
      <c r="M71" s="81">
        <f t="shared" si="14"/>
        <v>98.48484848484848</v>
      </c>
      <c r="N71" s="433">
        <f>K71-'[22]Oktobris'!K70</f>
        <v>33</v>
      </c>
    </row>
    <row r="72" spans="1:14" ht="12.75">
      <c r="A72" s="432" t="s">
        <v>257</v>
      </c>
      <c r="B72" s="433">
        <v>95226</v>
      </c>
      <c r="C72" s="433">
        <v>93696</v>
      </c>
      <c r="D72" s="433">
        <v>50696</v>
      </c>
      <c r="E72" s="425">
        <f aca="true" t="shared" si="20" ref="E72:E101">IF(ISERROR(D72/B72)," ",(D72/B72))</f>
        <v>0.5323756117026862</v>
      </c>
      <c r="F72" s="425">
        <f t="shared" si="1"/>
        <v>0.5410689890710383</v>
      </c>
      <c r="G72" s="419">
        <f>D72-'[22]Oktobris'!D71</f>
        <v>24670</v>
      </c>
      <c r="H72" s="432" t="s">
        <v>257</v>
      </c>
      <c r="I72" s="433">
        <f t="shared" si="19"/>
        <v>95</v>
      </c>
      <c r="J72" s="433">
        <f>ROUND(C72/1000,0)</f>
        <v>94</v>
      </c>
      <c r="K72" s="433">
        <f t="shared" si="19"/>
        <v>51</v>
      </c>
      <c r="L72" s="81">
        <f aca="true" t="shared" si="21" ref="L72:L132">IF(ISERROR(ROUND(K72,0)/ROUND(I72,0))," ",(ROUND(K72,)/ROUND(I72,)))*100</f>
        <v>53.68421052631579</v>
      </c>
      <c r="M72" s="81">
        <f t="shared" si="14"/>
        <v>54.25531914893617</v>
      </c>
      <c r="N72" s="433">
        <f>K72-'[22]Oktobris'!K71</f>
        <v>25</v>
      </c>
    </row>
    <row r="73" spans="1:14" s="1" customFormat="1" ht="12">
      <c r="A73" s="74" t="s">
        <v>261</v>
      </c>
      <c r="B73" s="435">
        <f>B74+B77</f>
        <v>2777795</v>
      </c>
      <c r="C73" s="435">
        <f>C74+C77</f>
        <v>1482668</v>
      </c>
      <c r="D73" s="435">
        <f>D74+D77</f>
        <v>964608</v>
      </c>
      <c r="E73" s="434">
        <f t="shared" si="20"/>
        <v>0.3472567270082926</v>
      </c>
      <c r="F73" s="434">
        <f aca="true" t="shared" si="22" ref="F73:F97">IF(ISERROR(D73/C73)," ",(D73/C73))</f>
        <v>0.6505893429951951</v>
      </c>
      <c r="G73" s="419">
        <f>D73-'[22]Oktobris'!D72</f>
        <v>57908</v>
      </c>
      <c r="H73" s="74" t="s">
        <v>335</v>
      </c>
      <c r="I73" s="356">
        <f>I74+I77</f>
        <v>2778</v>
      </c>
      <c r="J73" s="356">
        <f>J74+J77</f>
        <v>1483</v>
      </c>
      <c r="K73" s="356">
        <f>K74+K77</f>
        <v>965</v>
      </c>
      <c r="L73" s="58">
        <f t="shared" si="21"/>
        <v>34.73722102231822</v>
      </c>
      <c r="M73" s="58">
        <f t="shared" si="14"/>
        <v>65.0708024275118</v>
      </c>
      <c r="N73" s="356">
        <f>K73-'[22]Oktobris'!K72</f>
        <v>57</v>
      </c>
    </row>
    <row r="74" spans="1:14" s="426" customFormat="1" ht="12.75">
      <c r="A74" s="429" t="s">
        <v>259</v>
      </c>
      <c r="B74" s="430">
        <f>SUM(B75:B76)</f>
        <v>2453095</v>
      </c>
      <c r="C74" s="430">
        <f>SUM(C75:C76)</f>
        <v>1185595</v>
      </c>
      <c r="D74" s="430">
        <f>SUM(D75:D76)</f>
        <v>693527</v>
      </c>
      <c r="E74" s="425">
        <f t="shared" si="20"/>
        <v>0.28271510071970307</v>
      </c>
      <c r="F74" s="425">
        <f t="shared" si="22"/>
        <v>0.5849611376566197</v>
      </c>
      <c r="G74" s="419">
        <f>D74-'[22]Oktobris'!D73</f>
        <v>26103</v>
      </c>
      <c r="H74" s="429" t="s">
        <v>259</v>
      </c>
      <c r="I74" s="430">
        <f>SUM(I75:I76)</f>
        <v>2453</v>
      </c>
      <c r="J74" s="430">
        <f>SUM(J75:J76)</f>
        <v>1186</v>
      </c>
      <c r="K74" s="430">
        <f>SUM(K75:K76)</f>
        <v>694</v>
      </c>
      <c r="L74" s="431">
        <f t="shared" si="21"/>
        <v>28.291887484712596</v>
      </c>
      <c r="M74" s="431">
        <f t="shared" si="14"/>
        <v>58.516020236087684</v>
      </c>
      <c r="N74" s="430">
        <f>K74-'[22]Oktobris'!K73</f>
        <v>26</v>
      </c>
    </row>
    <row r="75" spans="1:14" ht="12.75">
      <c r="A75" s="432" t="s">
        <v>256</v>
      </c>
      <c r="B75" s="433">
        <f>1855604+29991</f>
        <v>1885595</v>
      </c>
      <c r="C75" s="433">
        <v>745595</v>
      </c>
      <c r="D75" s="433">
        <v>281731</v>
      </c>
      <c r="E75" s="425">
        <f t="shared" si="20"/>
        <v>0.14941225448731038</v>
      </c>
      <c r="F75" s="425">
        <f t="shared" si="22"/>
        <v>0.37786063479502946</v>
      </c>
      <c r="G75" s="419">
        <f>D75-'[22]Oktobris'!D74</f>
        <v>26103</v>
      </c>
      <c r="H75" s="432" t="s">
        <v>256</v>
      </c>
      <c r="I75" s="433">
        <f aca="true" t="shared" si="23" ref="I75:K76">ROUND(B75/1000,0)</f>
        <v>1886</v>
      </c>
      <c r="J75" s="433">
        <f t="shared" si="23"/>
        <v>746</v>
      </c>
      <c r="K75" s="433">
        <f>ROUND(D75/1000,0)</f>
        <v>282</v>
      </c>
      <c r="L75" s="81">
        <f t="shared" si="21"/>
        <v>14.952279957582185</v>
      </c>
      <c r="M75" s="81">
        <f t="shared" si="14"/>
        <v>37.801608579088466</v>
      </c>
      <c r="N75" s="433">
        <f>K75-'[22]Oktobris'!K74</f>
        <v>26</v>
      </c>
    </row>
    <row r="76" spans="1:14" ht="12.75">
      <c r="A76" s="432" t="s">
        <v>257</v>
      </c>
      <c r="B76" s="433">
        <v>567500</v>
      </c>
      <c r="C76" s="433">
        <v>440000</v>
      </c>
      <c r="D76" s="433">
        <v>411796</v>
      </c>
      <c r="E76" s="425">
        <f t="shared" si="20"/>
        <v>0.725631718061674</v>
      </c>
      <c r="F76" s="425">
        <f t="shared" si="22"/>
        <v>0.9359</v>
      </c>
      <c r="G76" s="419">
        <f>D76-'[22]Oktobris'!D75</f>
        <v>0</v>
      </c>
      <c r="H76" s="432" t="s">
        <v>257</v>
      </c>
      <c r="I76" s="433">
        <f>ROUND(B76/1000,0)-1</f>
        <v>567</v>
      </c>
      <c r="J76" s="433">
        <f t="shared" si="23"/>
        <v>440</v>
      </c>
      <c r="K76" s="433">
        <f t="shared" si="23"/>
        <v>412</v>
      </c>
      <c r="L76" s="81">
        <f t="shared" si="21"/>
        <v>72.66313932980599</v>
      </c>
      <c r="M76" s="81">
        <f t="shared" si="14"/>
        <v>93.63636363636364</v>
      </c>
      <c r="N76" s="433">
        <f>K76-'[22]Oktobris'!K75</f>
        <v>0</v>
      </c>
    </row>
    <row r="77" spans="1:14" s="426" customFormat="1" ht="12.75">
      <c r="A77" s="429" t="s">
        <v>260</v>
      </c>
      <c r="B77" s="430">
        <f>SUM(B78:B79)</f>
        <v>324700</v>
      </c>
      <c r="C77" s="430">
        <f>SUM(C78:C79)</f>
        <v>297073</v>
      </c>
      <c r="D77" s="430">
        <f>SUM(D78:D79)</f>
        <v>271081</v>
      </c>
      <c r="E77" s="425">
        <f t="shared" si="20"/>
        <v>0.8348660301817062</v>
      </c>
      <c r="F77" s="425">
        <f t="shared" si="22"/>
        <v>0.9125063536571819</v>
      </c>
      <c r="G77" s="419">
        <f>D77-'[22]Oktobris'!D76</f>
        <v>31805</v>
      </c>
      <c r="H77" s="429" t="s">
        <v>260</v>
      </c>
      <c r="I77" s="430">
        <f>SUM(I78:I79)</f>
        <v>325</v>
      </c>
      <c r="J77" s="430">
        <f>SUM(J78:J79)</f>
        <v>297</v>
      </c>
      <c r="K77" s="430">
        <f>SUM(K78:K79)</f>
        <v>271</v>
      </c>
      <c r="L77" s="431">
        <f t="shared" si="21"/>
        <v>83.38461538461537</v>
      </c>
      <c r="M77" s="431">
        <f t="shared" si="14"/>
        <v>91.24579124579124</v>
      </c>
      <c r="N77" s="430">
        <f>K77-'[22]Oktobris'!K76</f>
        <v>31</v>
      </c>
    </row>
    <row r="78" spans="1:14" ht="12.75">
      <c r="A78" s="432" t="s">
        <v>256</v>
      </c>
      <c r="B78" s="433">
        <v>36700</v>
      </c>
      <c r="C78" s="433">
        <v>33273</v>
      </c>
      <c r="D78" s="433">
        <v>33214</v>
      </c>
      <c r="E78" s="425">
        <f t="shared" si="20"/>
        <v>0.9050136239782016</v>
      </c>
      <c r="F78" s="425">
        <f t="shared" si="22"/>
        <v>0.9982267904907883</v>
      </c>
      <c r="G78" s="419">
        <f>D78-'[22]Oktobris'!D77</f>
        <v>3513</v>
      </c>
      <c r="H78" s="432" t="s">
        <v>256</v>
      </c>
      <c r="I78" s="433">
        <f aca="true" t="shared" si="24" ref="I78:K79">ROUND(B78/1000,0)</f>
        <v>37</v>
      </c>
      <c r="J78" s="433">
        <f t="shared" si="24"/>
        <v>33</v>
      </c>
      <c r="K78" s="433">
        <f t="shared" si="24"/>
        <v>33</v>
      </c>
      <c r="L78" s="81">
        <f t="shared" si="21"/>
        <v>89.1891891891892</v>
      </c>
      <c r="M78" s="81">
        <f t="shared" si="14"/>
        <v>100</v>
      </c>
      <c r="N78" s="433">
        <f>K78-'[22]Oktobris'!K77</f>
        <v>3</v>
      </c>
    </row>
    <row r="79" spans="1:14" ht="12.75">
      <c r="A79" s="432" t="s">
        <v>257</v>
      </c>
      <c r="B79" s="433">
        <v>288000</v>
      </c>
      <c r="C79" s="433">
        <v>263800</v>
      </c>
      <c r="D79" s="433">
        <v>237867</v>
      </c>
      <c r="E79" s="425">
        <f t="shared" si="20"/>
        <v>0.8259270833333333</v>
      </c>
      <c r="F79" s="425">
        <f t="shared" si="22"/>
        <v>0.9016944655041699</v>
      </c>
      <c r="G79" s="419">
        <f>D79-'[22]Oktobris'!D78</f>
        <v>28292</v>
      </c>
      <c r="H79" s="432" t="s">
        <v>257</v>
      </c>
      <c r="I79" s="433">
        <f t="shared" si="24"/>
        <v>288</v>
      </c>
      <c r="J79" s="433">
        <f t="shared" si="24"/>
        <v>264</v>
      </c>
      <c r="K79" s="433">
        <f>ROUND(D79/1000,0)</f>
        <v>238</v>
      </c>
      <c r="L79" s="81">
        <f t="shared" si="21"/>
        <v>82.63888888888889</v>
      </c>
      <c r="M79" s="81">
        <f t="shared" si="14"/>
        <v>90.15151515151516</v>
      </c>
      <c r="N79" s="433">
        <f>K79-'[22]Oktobris'!K78</f>
        <v>28</v>
      </c>
    </row>
    <row r="80" spans="1:14" s="1" customFormat="1" ht="24">
      <c r="A80" s="59" t="s">
        <v>262</v>
      </c>
      <c r="B80" s="435">
        <f>B81+B84</f>
        <v>5962758</v>
      </c>
      <c r="C80" s="435">
        <f>C81+C84</f>
        <v>5543248</v>
      </c>
      <c r="D80" s="435">
        <f>D81+D84</f>
        <v>2747934</v>
      </c>
      <c r="E80" s="434">
        <f t="shared" si="20"/>
        <v>0.4608494928018209</v>
      </c>
      <c r="F80" s="434">
        <f t="shared" si="22"/>
        <v>0.4957263322874964</v>
      </c>
      <c r="G80" s="419">
        <f>D80-'[22]Oktobris'!D79</f>
        <v>503057</v>
      </c>
      <c r="H80" s="59" t="s">
        <v>336</v>
      </c>
      <c r="I80" s="356">
        <f>I81+I84</f>
        <v>5963</v>
      </c>
      <c r="J80" s="356">
        <f>J81+J84</f>
        <v>5543</v>
      </c>
      <c r="K80" s="356">
        <f>K81+K84</f>
        <v>2748</v>
      </c>
      <c r="L80" s="58">
        <f t="shared" si="21"/>
        <v>46.08418581251048</v>
      </c>
      <c r="M80" s="58">
        <f t="shared" si="14"/>
        <v>49.576041854591374</v>
      </c>
      <c r="N80" s="356">
        <f>K80-'[22]Oktobris'!K79</f>
        <v>503</v>
      </c>
    </row>
    <row r="81" spans="1:14" s="426" customFormat="1" ht="12.75">
      <c r="A81" s="429" t="s">
        <v>259</v>
      </c>
      <c r="B81" s="430">
        <f>SUM(B82:B83)</f>
        <v>5712758</v>
      </c>
      <c r="C81" s="430">
        <f>SUM(C82:C83)</f>
        <v>5373248</v>
      </c>
      <c r="D81" s="430">
        <f>SUM(D82:D83)</f>
        <v>2731296</v>
      </c>
      <c r="E81" s="425">
        <f t="shared" si="20"/>
        <v>0.4781046212704967</v>
      </c>
      <c r="F81" s="425">
        <f t="shared" si="22"/>
        <v>0.5083137796729278</v>
      </c>
      <c r="G81" s="419">
        <f>D81-'[22]Oktobris'!D80</f>
        <v>495033</v>
      </c>
      <c r="H81" s="429" t="s">
        <v>259</v>
      </c>
      <c r="I81" s="430">
        <f>SUM(I82:I83)</f>
        <v>5713</v>
      </c>
      <c r="J81" s="430">
        <f>SUM(J82:J83)</f>
        <v>5373</v>
      </c>
      <c r="K81" s="430">
        <f>SUM(K82:K83)</f>
        <v>2731</v>
      </c>
      <c r="L81" s="431">
        <f t="shared" si="21"/>
        <v>47.803255732539824</v>
      </c>
      <c r="M81" s="431">
        <f t="shared" si="14"/>
        <v>50.82821514982319</v>
      </c>
      <c r="N81" s="430">
        <f>K81-'[22]Oktobris'!K80</f>
        <v>495</v>
      </c>
    </row>
    <row r="82" spans="1:14" ht="12.75">
      <c r="A82" s="432" t="s">
        <v>256</v>
      </c>
      <c r="B82" s="433">
        <f>11500+20600</f>
        <v>32100</v>
      </c>
      <c r="C82" s="433">
        <v>32100</v>
      </c>
      <c r="D82" s="433">
        <v>22184</v>
      </c>
      <c r="E82" s="425">
        <f t="shared" si="20"/>
        <v>0.6910903426791277</v>
      </c>
      <c r="F82" s="425">
        <f t="shared" si="22"/>
        <v>0.6910903426791277</v>
      </c>
      <c r="G82" s="419">
        <f>D82-'[22]Oktobris'!D81</f>
        <v>0</v>
      </c>
      <c r="H82" s="432" t="s">
        <v>256</v>
      </c>
      <c r="I82" s="433">
        <f aca="true" t="shared" si="25" ref="I82:K83">ROUND(B82/1000,0)</f>
        <v>32</v>
      </c>
      <c r="J82" s="433">
        <f t="shared" si="25"/>
        <v>32</v>
      </c>
      <c r="K82" s="433">
        <f t="shared" si="25"/>
        <v>22</v>
      </c>
      <c r="L82" s="81">
        <f t="shared" si="21"/>
        <v>68.75</v>
      </c>
      <c r="M82" s="81">
        <f t="shared" si="14"/>
        <v>68.75</v>
      </c>
      <c r="N82" s="433">
        <f>K82-'[22]Oktobris'!K81</f>
        <v>0</v>
      </c>
    </row>
    <row r="83" spans="1:14" ht="12.75">
      <c r="A83" s="436" t="s">
        <v>257</v>
      </c>
      <c r="B83" s="433">
        <f>5201858+478800</f>
        <v>5680658</v>
      </c>
      <c r="C83" s="433">
        <v>5341148</v>
      </c>
      <c r="D83" s="433">
        <v>2709112</v>
      </c>
      <c r="E83" s="425">
        <f t="shared" si="20"/>
        <v>0.47690109138765263</v>
      </c>
      <c r="F83" s="425">
        <f t="shared" si="22"/>
        <v>0.5072153027776051</v>
      </c>
      <c r="G83" s="419">
        <f>D83-'[22]Oktobris'!D82</f>
        <v>495033</v>
      </c>
      <c r="H83" s="436" t="s">
        <v>257</v>
      </c>
      <c r="I83" s="433">
        <f t="shared" si="25"/>
        <v>5681</v>
      </c>
      <c r="J83" s="433">
        <f t="shared" si="25"/>
        <v>5341</v>
      </c>
      <c r="K83" s="433">
        <f>ROUND(D83/1000,0)</f>
        <v>2709</v>
      </c>
      <c r="L83" s="81">
        <f t="shared" si="21"/>
        <v>47.68526667840169</v>
      </c>
      <c r="M83" s="81">
        <f t="shared" si="14"/>
        <v>50.720838794233295</v>
      </c>
      <c r="N83" s="433">
        <f>K83-'[22]Oktobris'!K82</f>
        <v>495</v>
      </c>
    </row>
    <row r="84" spans="1:14" s="426" customFormat="1" ht="12.75">
      <c r="A84" s="429" t="s">
        <v>260</v>
      </c>
      <c r="B84" s="430">
        <f>SUM(B85:B86)</f>
        <v>250000</v>
      </c>
      <c r="C84" s="430">
        <f>SUM(C85:C86)</f>
        <v>170000</v>
      </c>
      <c r="D84" s="430">
        <f>SUM(D85:D86)</f>
        <v>16638</v>
      </c>
      <c r="E84" s="425">
        <f t="shared" si="20"/>
        <v>0.066552</v>
      </c>
      <c r="F84" s="425">
        <f t="shared" si="22"/>
        <v>0.09787058823529411</v>
      </c>
      <c r="G84" s="419">
        <f>D84-'[22]Oktobris'!D83</f>
        <v>8024</v>
      </c>
      <c r="H84" s="429" t="s">
        <v>260</v>
      </c>
      <c r="I84" s="430">
        <f>SUM(I85:I86)</f>
        <v>250</v>
      </c>
      <c r="J84" s="430">
        <f>SUM(J85:J86)</f>
        <v>170</v>
      </c>
      <c r="K84" s="430">
        <f>SUM(K85:K86)</f>
        <v>17</v>
      </c>
      <c r="L84" s="431">
        <f t="shared" si="21"/>
        <v>6.800000000000001</v>
      </c>
      <c r="M84" s="431">
        <f t="shared" si="14"/>
        <v>10</v>
      </c>
      <c r="N84" s="430">
        <f>K84-'[22]Oktobris'!K83</f>
        <v>8</v>
      </c>
    </row>
    <row r="85" spans="1:14" ht="12.75" hidden="1">
      <c r="A85" s="432" t="s">
        <v>256</v>
      </c>
      <c r="B85" s="433"/>
      <c r="C85" s="430"/>
      <c r="D85" s="430"/>
      <c r="E85" s="425" t="str">
        <f t="shared" si="20"/>
        <v> </v>
      </c>
      <c r="F85" s="425" t="str">
        <f t="shared" si="22"/>
        <v> </v>
      </c>
      <c r="G85" s="419">
        <f>D85-'[22]Oktobris'!D84</f>
        <v>0</v>
      </c>
      <c r="H85" s="432" t="s">
        <v>256</v>
      </c>
      <c r="I85" s="433">
        <f>ROUND(B85/1000,0)</f>
        <v>0</v>
      </c>
      <c r="J85" s="433">
        <f>ROUND(C85/1000,0)</f>
        <v>0</v>
      </c>
      <c r="K85" s="433"/>
      <c r="L85" s="81" t="e">
        <f t="shared" si="21"/>
        <v>#VALUE!</v>
      </c>
      <c r="M85" s="81" t="e">
        <f t="shared" si="14"/>
        <v>#VALUE!</v>
      </c>
      <c r="N85" s="430">
        <f>K85-'[22]Oktobris'!K84</f>
        <v>0</v>
      </c>
    </row>
    <row r="86" spans="1:14" ht="12.75">
      <c r="A86" s="432" t="s">
        <v>257</v>
      </c>
      <c r="B86" s="433">
        <v>250000</v>
      </c>
      <c r="C86" s="433">
        <v>170000</v>
      </c>
      <c r="D86" s="433">
        <v>16638</v>
      </c>
      <c r="E86" s="425">
        <f t="shared" si="20"/>
        <v>0.066552</v>
      </c>
      <c r="F86" s="425">
        <f t="shared" si="22"/>
        <v>0.09787058823529411</v>
      </c>
      <c r="G86" s="419">
        <f>D86-'[22]Oktobris'!D85</f>
        <v>8024</v>
      </c>
      <c r="H86" s="432" t="s">
        <v>257</v>
      </c>
      <c r="I86" s="433">
        <f>ROUND(B86/1000,0)</f>
        <v>250</v>
      </c>
      <c r="J86" s="433">
        <f>ROUND(C86/1000,0)</f>
        <v>170</v>
      </c>
      <c r="K86" s="433">
        <f>ROUND(D86/1000,0)</f>
        <v>17</v>
      </c>
      <c r="L86" s="81">
        <f t="shared" si="21"/>
        <v>6.800000000000001</v>
      </c>
      <c r="M86" s="81">
        <f t="shared" si="14"/>
        <v>10</v>
      </c>
      <c r="N86" s="433">
        <f>K86-'[22]Oktobris'!K85</f>
        <v>8</v>
      </c>
    </row>
    <row r="87" spans="1:14" s="1" customFormat="1" ht="12">
      <c r="A87" s="437" t="s">
        <v>1009</v>
      </c>
      <c r="B87" s="435">
        <f>B88+B90</f>
        <v>288293</v>
      </c>
      <c r="C87" s="435">
        <f>C88+C90</f>
        <v>286423</v>
      </c>
      <c r="D87" s="435">
        <f>D88+D90</f>
        <v>87708</v>
      </c>
      <c r="E87" s="434">
        <f t="shared" si="20"/>
        <v>0.3042321527057542</v>
      </c>
      <c r="F87" s="434">
        <f t="shared" si="22"/>
        <v>0.3062184251963006</v>
      </c>
      <c r="G87" s="419">
        <f>D87-'[22]Oktobris'!D86</f>
        <v>14465</v>
      </c>
      <c r="H87" s="437" t="s">
        <v>1009</v>
      </c>
      <c r="I87" s="356">
        <f>I88+I90</f>
        <v>288</v>
      </c>
      <c r="J87" s="356">
        <f>J88+J90</f>
        <v>286</v>
      </c>
      <c r="K87" s="356">
        <f>K88+K90</f>
        <v>87</v>
      </c>
      <c r="L87" s="58">
        <f t="shared" si="21"/>
        <v>30.208333333333332</v>
      </c>
      <c r="M87" s="58">
        <f t="shared" si="14"/>
        <v>30.419580419580424</v>
      </c>
      <c r="N87" s="356">
        <f>K87-'[22]Oktobris'!K86</f>
        <v>14</v>
      </c>
    </row>
    <row r="88" spans="1:14" s="426" customFormat="1" ht="12.75">
      <c r="A88" s="429" t="s">
        <v>259</v>
      </c>
      <c r="B88" s="430">
        <f>B89</f>
        <v>261393</v>
      </c>
      <c r="C88" s="430">
        <f>C89</f>
        <v>261393</v>
      </c>
      <c r="D88" s="430">
        <f>D89</f>
        <v>81316</v>
      </c>
      <c r="E88" s="425">
        <f t="shared" si="20"/>
        <v>0.311087136992957</v>
      </c>
      <c r="F88" s="425">
        <f t="shared" si="22"/>
        <v>0.311087136992957</v>
      </c>
      <c r="G88" s="419">
        <f>D88-'[22]Oktobris'!D87</f>
        <v>10194</v>
      </c>
      <c r="H88" s="429" t="s">
        <v>259</v>
      </c>
      <c r="I88" s="430">
        <f>I89</f>
        <v>261</v>
      </c>
      <c r="J88" s="430">
        <f>J89</f>
        <v>261</v>
      </c>
      <c r="K88" s="430">
        <f>K89</f>
        <v>81</v>
      </c>
      <c r="L88" s="431">
        <f t="shared" si="21"/>
        <v>31.03448275862069</v>
      </c>
      <c r="M88" s="431">
        <f t="shared" si="14"/>
        <v>31.03448275862069</v>
      </c>
      <c r="N88" s="430">
        <f>K88-'[22]Oktobris'!K87</f>
        <v>10</v>
      </c>
    </row>
    <row r="89" spans="1:14" ht="12.75">
      <c r="A89" s="432" t="s">
        <v>256</v>
      </c>
      <c r="B89" s="433">
        <v>261393</v>
      </c>
      <c r="C89" s="433">
        <v>261393</v>
      </c>
      <c r="D89" s="433">
        <v>81316</v>
      </c>
      <c r="E89" s="425">
        <f t="shared" si="20"/>
        <v>0.311087136992957</v>
      </c>
      <c r="F89" s="425">
        <f t="shared" si="22"/>
        <v>0.311087136992957</v>
      </c>
      <c r="G89" s="419">
        <f>D89-'[22]Oktobris'!D88</f>
        <v>10194</v>
      </c>
      <c r="H89" s="432" t="s">
        <v>256</v>
      </c>
      <c r="I89" s="433">
        <f>ROUND(B89/1000,0)</f>
        <v>261</v>
      </c>
      <c r="J89" s="433">
        <f>ROUND(C89/1000,0)</f>
        <v>261</v>
      </c>
      <c r="K89" s="433">
        <f>ROUND(D89/1000,0)</f>
        <v>81</v>
      </c>
      <c r="L89" s="81">
        <f t="shared" si="21"/>
        <v>31.03448275862069</v>
      </c>
      <c r="M89" s="81">
        <f t="shared" si="14"/>
        <v>31.03448275862069</v>
      </c>
      <c r="N89" s="433">
        <f>K89-'[22]Oktobris'!K88</f>
        <v>10</v>
      </c>
    </row>
    <row r="90" spans="1:14" s="426" customFormat="1" ht="12.75">
      <c r="A90" s="429" t="s">
        <v>260</v>
      </c>
      <c r="B90" s="430">
        <f>B91</f>
        <v>26900</v>
      </c>
      <c r="C90" s="430">
        <f>C91</f>
        <v>25030</v>
      </c>
      <c r="D90" s="430">
        <f>D91</f>
        <v>6392</v>
      </c>
      <c r="E90" s="425">
        <f t="shared" si="20"/>
        <v>0.23762081784386618</v>
      </c>
      <c r="F90" s="425">
        <f t="shared" si="22"/>
        <v>0.2553735517379145</v>
      </c>
      <c r="G90" s="419">
        <f>D90-'[22]Oktobris'!D89</f>
        <v>4271</v>
      </c>
      <c r="H90" s="429" t="s">
        <v>260</v>
      </c>
      <c r="I90" s="430">
        <f>I91</f>
        <v>27</v>
      </c>
      <c r="J90" s="430">
        <f>J91</f>
        <v>25</v>
      </c>
      <c r="K90" s="430">
        <f>K91</f>
        <v>6</v>
      </c>
      <c r="L90" s="431">
        <f t="shared" si="21"/>
        <v>22.22222222222222</v>
      </c>
      <c r="M90" s="431">
        <f t="shared" si="14"/>
        <v>24</v>
      </c>
      <c r="N90" s="430">
        <f>K90-'[22]Oktobris'!K89</f>
        <v>4</v>
      </c>
    </row>
    <row r="91" spans="1:14" ht="12.75">
      <c r="A91" s="432" t="s">
        <v>256</v>
      </c>
      <c r="B91" s="433">
        <v>26900</v>
      </c>
      <c r="C91" s="433">
        <v>25030</v>
      </c>
      <c r="D91" s="433">
        <v>6392</v>
      </c>
      <c r="E91" s="425">
        <f t="shared" si="20"/>
        <v>0.23762081784386618</v>
      </c>
      <c r="F91" s="425">
        <f t="shared" si="22"/>
        <v>0.2553735517379145</v>
      </c>
      <c r="G91" s="419">
        <f>D91-'[22]Oktobris'!D90</f>
        <v>4271</v>
      </c>
      <c r="H91" s="432" t="s">
        <v>256</v>
      </c>
      <c r="I91" s="433">
        <f>ROUND(B91/1000,0)</f>
        <v>27</v>
      </c>
      <c r="J91" s="433">
        <f>ROUND(C91/1000,0)</f>
        <v>25</v>
      </c>
      <c r="K91" s="433">
        <f>ROUND(D91/1000,0)</f>
        <v>6</v>
      </c>
      <c r="L91" s="81">
        <f t="shared" si="21"/>
        <v>22.22222222222222</v>
      </c>
      <c r="M91" s="81">
        <f t="shared" si="14"/>
        <v>24</v>
      </c>
      <c r="N91" s="433">
        <f>K91-'[22]Oktobris'!K90</f>
        <v>4</v>
      </c>
    </row>
    <row r="92" spans="1:14" s="1" customFormat="1" ht="12">
      <c r="A92" s="437" t="s">
        <v>1013</v>
      </c>
      <c r="B92" s="435">
        <f>B93+B96</f>
        <v>330250</v>
      </c>
      <c r="C92" s="435">
        <f>C93+C96</f>
        <v>249775</v>
      </c>
      <c r="D92" s="435">
        <f>D93+D96</f>
        <v>23127</v>
      </c>
      <c r="E92" s="425">
        <f t="shared" si="20"/>
        <v>0.07002876608629825</v>
      </c>
      <c r="F92" s="425">
        <f t="shared" si="22"/>
        <v>0.09259133219897908</v>
      </c>
      <c r="G92" s="419">
        <f>D92-'[22]Oktobris'!D91</f>
        <v>5638</v>
      </c>
      <c r="H92" s="437" t="s">
        <v>1013</v>
      </c>
      <c r="I92" s="356">
        <f>I93+I96</f>
        <v>331</v>
      </c>
      <c r="J92" s="356">
        <f>J93+J96</f>
        <v>249</v>
      </c>
      <c r="K92" s="356">
        <f>K93+K96</f>
        <v>23</v>
      </c>
      <c r="L92" s="58">
        <f t="shared" si="21"/>
        <v>6.948640483383686</v>
      </c>
      <c r="M92" s="58">
        <f t="shared" si="14"/>
        <v>9.236947791164658</v>
      </c>
      <c r="N92" s="356">
        <f>K92-'[22]Oktobris'!K91</f>
        <v>6</v>
      </c>
    </row>
    <row r="93" spans="1:14" s="426" customFormat="1" ht="12.75">
      <c r="A93" s="429" t="s">
        <v>259</v>
      </c>
      <c r="B93" s="430">
        <f>SUM(B94:B95)</f>
        <v>280250</v>
      </c>
      <c r="C93" s="430">
        <f>SUM(C94:C95)</f>
        <v>219775</v>
      </c>
      <c r="D93" s="430">
        <f>SUM(D94:D95)</f>
        <v>0</v>
      </c>
      <c r="E93" s="425">
        <f t="shared" si="20"/>
        <v>0</v>
      </c>
      <c r="F93" s="425">
        <f t="shared" si="22"/>
        <v>0</v>
      </c>
      <c r="G93" s="419">
        <f>D93-'[22]Oktobris'!D92</f>
        <v>0</v>
      </c>
      <c r="H93" s="429" t="s">
        <v>259</v>
      </c>
      <c r="I93" s="430">
        <f>I94+I95</f>
        <v>281</v>
      </c>
      <c r="J93" s="430">
        <f>J94+J95</f>
        <v>219</v>
      </c>
      <c r="K93" s="430">
        <f>K94+K95</f>
        <v>0</v>
      </c>
      <c r="L93" s="431">
        <f t="shared" si="21"/>
        <v>0</v>
      </c>
      <c r="M93" s="431">
        <f t="shared" si="14"/>
        <v>0</v>
      </c>
      <c r="N93" s="430">
        <f>K93-'[22]Oktobris'!K92</f>
        <v>0</v>
      </c>
    </row>
    <row r="94" spans="1:14" ht="12.75">
      <c r="A94" s="432" t="s">
        <v>256</v>
      </c>
      <c r="B94" s="433">
        <v>191750</v>
      </c>
      <c r="C94" s="433">
        <v>153400</v>
      </c>
      <c r="D94" s="433"/>
      <c r="E94" s="425">
        <f t="shared" si="20"/>
        <v>0</v>
      </c>
      <c r="F94" s="425">
        <f t="shared" si="22"/>
        <v>0</v>
      </c>
      <c r="G94" s="419">
        <f>D94-'[22]Oktobris'!D93</f>
        <v>0</v>
      </c>
      <c r="H94" s="432" t="s">
        <v>256</v>
      </c>
      <c r="I94" s="433">
        <f aca="true" t="shared" si="26" ref="I94:K95">ROUND(B94/1000,0)</f>
        <v>192</v>
      </c>
      <c r="J94" s="433">
        <f t="shared" si="26"/>
        <v>153</v>
      </c>
      <c r="K94" s="433">
        <f t="shared" si="26"/>
        <v>0</v>
      </c>
      <c r="L94" s="81">
        <f t="shared" si="21"/>
        <v>0</v>
      </c>
      <c r="M94" s="81">
        <f t="shared" si="14"/>
        <v>0</v>
      </c>
      <c r="N94" s="433">
        <f>K94-'[22]Oktobris'!K93</f>
        <v>0</v>
      </c>
    </row>
    <row r="95" spans="1:14" ht="12.75">
      <c r="A95" s="432" t="s">
        <v>257</v>
      </c>
      <c r="B95" s="433">
        <v>88500</v>
      </c>
      <c r="C95" s="433">
        <v>66375</v>
      </c>
      <c r="D95" s="433"/>
      <c r="E95" s="425">
        <f t="shared" si="20"/>
        <v>0</v>
      </c>
      <c r="F95" s="425">
        <f t="shared" si="22"/>
        <v>0</v>
      </c>
      <c r="G95" s="419">
        <f>D95-'[22]Oktobris'!D94</f>
        <v>0</v>
      </c>
      <c r="H95" s="432" t="s">
        <v>257</v>
      </c>
      <c r="I95" s="433">
        <f t="shared" si="26"/>
        <v>89</v>
      </c>
      <c r="J95" s="433">
        <f t="shared" si="26"/>
        <v>66</v>
      </c>
      <c r="K95" s="433">
        <f t="shared" si="26"/>
        <v>0</v>
      </c>
      <c r="L95" s="81">
        <f t="shared" si="21"/>
        <v>0</v>
      </c>
      <c r="M95" s="81">
        <f t="shared" si="14"/>
        <v>0</v>
      </c>
      <c r="N95" s="433">
        <f>K95-'[22]Oktobris'!K94</f>
        <v>0</v>
      </c>
    </row>
    <row r="96" spans="1:14" s="426" customFormat="1" ht="12.75">
      <c r="A96" s="429" t="s">
        <v>260</v>
      </c>
      <c r="B96" s="430">
        <f>SUM(B97:B98)</f>
        <v>50000</v>
      </c>
      <c r="C96" s="430">
        <f>SUM(C97:C98)</f>
        <v>30000</v>
      </c>
      <c r="D96" s="430">
        <f>SUM(D97:D98)</f>
        <v>23127</v>
      </c>
      <c r="E96" s="425">
        <f t="shared" si="20"/>
        <v>0.46254</v>
      </c>
      <c r="F96" s="425">
        <f t="shared" si="22"/>
        <v>0.7709</v>
      </c>
      <c r="G96" s="419">
        <f>D96-'[22]Oktobris'!D95</f>
        <v>5638</v>
      </c>
      <c r="H96" s="429" t="s">
        <v>260</v>
      </c>
      <c r="I96" s="430">
        <f>I97+I98</f>
        <v>50</v>
      </c>
      <c r="J96" s="430">
        <f>J97+J98</f>
        <v>30</v>
      </c>
      <c r="K96" s="430">
        <f>K97+K98</f>
        <v>23</v>
      </c>
      <c r="L96" s="431">
        <f t="shared" si="21"/>
        <v>46</v>
      </c>
      <c r="M96" s="431">
        <f t="shared" si="14"/>
        <v>76.66666666666667</v>
      </c>
      <c r="N96" s="430">
        <f>K96-'[22]Oktobris'!K95</f>
        <v>6</v>
      </c>
    </row>
    <row r="97" spans="1:14" ht="12.75">
      <c r="A97" s="432" t="s">
        <v>256</v>
      </c>
      <c r="B97" s="433">
        <v>10000</v>
      </c>
      <c r="C97" s="433">
        <v>10000</v>
      </c>
      <c r="D97" s="433">
        <v>10000</v>
      </c>
      <c r="E97" s="425">
        <f t="shared" si="20"/>
        <v>1</v>
      </c>
      <c r="F97" s="425">
        <f t="shared" si="22"/>
        <v>1</v>
      </c>
      <c r="G97" s="419">
        <f>D97-'[22]Oktobris'!D96</f>
        <v>0</v>
      </c>
      <c r="H97" s="432" t="s">
        <v>256</v>
      </c>
      <c r="I97" s="433">
        <f aca="true" t="shared" si="27" ref="I97:K98">ROUND(B97/1000,0)</f>
        <v>10</v>
      </c>
      <c r="J97" s="433">
        <f t="shared" si="27"/>
        <v>10</v>
      </c>
      <c r="K97" s="433">
        <f t="shared" si="27"/>
        <v>10</v>
      </c>
      <c r="L97" s="81">
        <f t="shared" si="21"/>
        <v>100</v>
      </c>
      <c r="M97" s="81">
        <f t="shared" si="14"/>
        <v>100</v>
      </c>
      <c r="N97" s="433">
        <f>K97-'[22]Oktobris'!K96</f>
        <v>0</v>
      </c>
    </row>
    <row r="98" spans="1:14" ht="12.75">
      <c r="A98" s="432" t="s">
        <v>257</v>
      </c>
      <c r="B98" s="438">
        <v>40000</v>
      </c>
      <c r="C98" s="438">
        <v>20000</v>
      </c>
      <c r="D98" s="438">
        <v>13127</v>
      </c>
      <c r="E98" s="425">
        <f t="shared" si="20"/>
        <v>0.328175</v>
      </c>
      <c r="F98" s="425"/>
      <c r="G98" s="419">
        <f>D98-'[22]Oktobris'!D97</f>
        <v>5638</v>
      </c>
      <c r="H98" s="432" t="s">
        <v>257</v>
      </c>
      <c r="I98" s="433">
        <f t="shared" si="27"/>
        <v>40</v>
      </c>
      <c r="J98" s="433">
        <f t="shared" si="27"/>
        <v>20</v>
      </c>
      <c r="K98" s="433">
        <f t="shared" si="27"/>
        <v>13</v>
      </c>
      <c r="L98" s="81">
        <f t="shared" si="21"/>
        <v>32.5</v>
      </c>
      <c r="M98" s="81">
        <f t="shared" si="14"/>
        <v>65</v>
      </c>
      <c r="N98" s="433">
        <f>K98-'[22]Oktobris'!K97</f>
        <v>6</v>
      </c>
    </row>
    <row r="99" spans="1:14" s="1" customFormat="1" ht="36">
      <c r="A99" s="437" t="s">
        <v>1030</v>
      </c>
      <c r="B99" s="435">
        <f>B100+B103</f>
        <v>4204380</v>
      </c>
      <c r="C99" s="435">
        <f>C100+C103</f>
        <v>3708100</v>
      </c>
      <c r="D99" s="435">
        <f>D100+D103</f>
        <v>1190181</v>
      </c>
      <c r="E99" s="434">
        <f t="shared" si="20"/>
        <v>0.28308121530404007</v>
      </c>
      <c r="F99" s="434">
        <f>IF(ISERROR(D99/C99)," ",(D99/C99))</f>
        <v>0.3209678811251045</v>
      </c>
      <c r="G99" s="419">
        <f>D99-'[22]Oktobris'!D98</f>
        <v>103695</v>
      </c>
      <c r="H99" s="437" t="s">
        <v>337</v>
      </c>
      <c r="I99" s="356">
        <f>I100+I103</f>
        <v>4204</v>
      </c>
      <c r="J99" s="356">
        <f>J100+J103</f>
        <v>3708</v>
      </c>
      <c r="K99" s="356">
        <f>K100+K103</f>
        <v>1190</v>
      </c>
      <c r="L99" s="58">
        <f t="shared" si="21"/>
        <v>28.30637488106565</v>
      </c>
      <c r="M99" s="58">
        <f t="shared" si="14"/>
        <v>32.09277238403452</v>
      </c>
      <c r="N99" s="356">
        <f>K99-'[22]Oktobris'!K98</f>
        <v>104</v>
      </c>
    </row>
    <row r="100" spans="1:14" s="426" customFormat="1" ht="12.75">
      <c r="A100" s="429" t="s">
        <v>259</v>
      </c>
      <c r="B100" s="430">
        <f>SUM(B101:B102)</f>
        <v>3734890</v>
      </c>
      <c r="C100" s="430">
        <f>SUM(C101:C102)</f>
        <v>3249083</v>
      </c>
      <c r="D100" s="430">
        <f>SUM(D101:D102)</f>
        <v>1076809</v>
      </c>
      <c r="E100" s="434">
        <f t="shared" si="20"/>
        <v>0.2883107668498938</v>
      </c>
      <c r="F100" s="434">
        <f>IF(ISERROR(D100/C100)," ",(D100/C100))</f>
        <v>0.3314193574002265</v>
      </c>
      <c r="G100" s="419">
        <f>D100-'[22]Oktobris'!D99</f>
        <v>94749</v>
      </c>
      <c r="H100" s="429" t="s">
        <v>259</v>
      </c>
      <c r="I100" s="430">
        <f>SUM(I101:I102)</f>
        <v>3735</v>
      </c>
      <c r="J100" s="430">
        <f>SUM(J101:J102)</f>
        <v>3249</v>
      </c>
      <c r="K100" s="430">
        <f>SUM(K101:K102)</f>
        <v>1077</v>
      </c>
      <c r="L100" s="431">
        <f t="shared" si="21"/>
        <v>28.835341365461847</v>
      </c>
      <c r="M100" s="431">
        <f t="shared" si="14"/>
        <v>33.148661126500464</v>
      </c>
      <c r="N100" s="430">
        <f>K100-'[22]Oktobris'!K99</f>
        <v>95</v>
      </c>
    </row>
    <row r="101" spans="1:14" ht="12.75">
      <c r="A101" s="432" t="s">
        <v>256</v>
      </c>
      <c r="B101" s="433">
        <f>2323607+187033</f>
        <v>2510640</v>
      </c>
      <c r="C101" s="433">
        <v>2330897</v>
      </c>
      <c r="D101" s="433">
        <v>1076809</v>
      </c>
      <c r="E101" s="434">
        <f t="shared" si="20"/>
        <v>0.4288982092215531</v>
      </c>
      <c r="F101" s="434">
        <f>IF(ISERROR(D101/C101)," ",(D101/C101))</f>
        <v>0.4619719361258777</v>
      </c>
      <c r="G101" s="419">
        <f>D101-'[22]Oktobris'!D100</f>
        <v>94749</v>
      </c>
      <c r="H101" s="432" t="s">
        <v>256</v>
      </c>
      <c r="I101" s="433">
        <f aca="true" t="shared" si="28" ref="I101:K102">ROUND(B101/1000,0)</f>
        <v>2511</v>
      </c>
      <c r="J101" s="433">
        <f t="shared" si="28"/>
        <v>2331</v>
      </c>
      <c r="K101" s="433">
        <f t="shared" si="28"/>
        <v>1077</v>
      </c>
      <c r="L101" s="81">
        <f t="shared" si="21"/>
        <v>42.89127837514934</v>
      </c>
      <c r="M101" s="81">
        <f t="shared" si="14"/>
        <v>46.2033462033462</v>
      </c>
      <c r="N101" s="433">
        <f>K101-'[22]Oktobris'!K100</f>
        <v>95</v>
      </c>
    </row>
    <row r="102" spans="1:14" ht="12.75">
      <c r="A102" s="432" t="s">
        <v>257</v>
      </c>
      <c r="B102" s="438">
        <v>1224250</v>
      </c>
      <c r="C102" s="438">
        <v>918186</v>
      </c>
      <c r="D102" s="438"/>
      <c r="E102" s="425"/>
      <c r="F102" s="425"/>
      <c r="G102" s="419">
        <f>D102-'[22]Oktobris'!D101</f>
        <v>0</v>
      </c>
      <c r="H102" s="432" t="s">
        <v>257</v>
      </c>
      <c r="I102" s="433">
        <f t="shared" si="28"/>
        <v>1224</v>
      </c>
      <c r="J102" s="433">
        <f t="shared" si="28"/>
        <v>918</v>
      </c>
      <c r="K102" s="433">
        <f t="shared" si="28"/>
        <v>0</v>
      </c>
      <c r="L102" s="81">
        <f t="shared" si="21"/>
        <v>0</v>
      </c>
      <c r="M102" s="81"/>
      <c r="N102" s="433">
        <f>K102-'[22]Oktobris'!K101</f>
        <v>0</v>
      </c>
    </row>
    <row r="103" spans="1:14" s="426" customFormat="1" ht="12.75">
      <c r="A103" s="429" t="s">
        <v>260</v>
      </c>
      <c r="B103" s="430">
        <f>B104</f>
        <v>469490</v>
      </c>
      <c r="C103" s="430">
        <f>C104</f>
        <v>459017</v>
      </c>
      <c r="D103" s="430">
        <f>D104</f>
        <v>113372</v>
      </c>
      <c r="E103" s="425">
        <f aca="true" t="shared" si="29" ref="E103:E132">IF(ISERROR(D103/B103)," ",(D103/B103))</f>
        <v>0.2414790517369912</v>
      </c>
      <c r="F103" s="425">
        <f aca="true" t="shared" si="30" ref="F103:F108">IF(ISERROR(D103/C103)," ",(D103/C103))</f>
        <v>0.24698867362210986</v>
      </c>
      <c r="G103" s="419">
        <f>D103-'[22]Oktobris'!D102</f>
        <v>8946</v>
      </c>
      <c r="H103" s="429" t="s">
        <v>260</v>
      </c>
      <c r="I103" s="430">
        <f>I104</f>
        <v>469</v>
      </c>
      <c r="J103" s="430">
        <f>J104</f>
        <v>459</v>
      </c>
      <c r="K103" s="430">
        <f>K104</f>
        <v>113</v>
      </c>
      <c r="L103" s="431">
        <f t="shared" si="21"/>
        <v>24.093816631130064</v>
      </c>
      <c r="M103" s="431">
        <f aca="true" t="shared" si="31" ref="M103:M132">IF(ISERROR(ROUND(K103,0)/ROUND(J103,0))," ",(ROUND(K103,)/ROUND(J103,)))*100</f>
        <v>24.618736383442265</v>
      </c>
      <c r="N103" s="430">
        <f>K103-'[22]Oktobris'!K102</f>
        <v>9</v>
      </c>
    </row>
    <row r="104" spans="1:14" ht="12.75">
      <c r="A104" s="432" t="s">
        <v>256</v>
      </c>
      <c r="B104" s="433">
        <v>469490</v>
      </c>
      <c r="C104" s="433">
        <v>459017</v>
      </c>
      <c r="D104" s="433">
        <v>113372</v>
      </c>
      <c r="E104" s="425">
        <f t="shared" si="29"/>
        <v>0.2414790517369912</v>
      </c>
      <c r="F104" s="425">
        <f t="shared" si="30"/>
        <v>0.24698867362210986</v>
      </c>
      <c r="G104" s="419">
        <f>D104-'[22]Oktobris'!D103</f>
        <v>8946</v>
      </c>
      <c r="H104" s="432" t="s">
        <v>256</v>
      </c>
      <c r="I104" s="433">
        <f>ROUND(B104/1000,0)</f>
        <v>469</v>
      </c>
      <c r="J104" s="433">
        <f>ROUND(C104/1000,0)</f>
        <v>459</v>
      </c>
      <c r="K104" s="433">
        <f>ROUND(D104/1000,0)</f>
        <v>113</v>
      </c>
      <c r="L104" s="81">
        <f t="shared" si="21"/>
        <v>24.093816631130064</v>
      </c>
      <c r="M104" s="81">
        <f t="shared" si="31"/>
        <v>24.618736383442265</v>
      </c>
      <c r="N104" s="433">
        <f>K104-'[22]Oktobris'!K103</f>
        <v>9</v>
      </c>
    </row>
    <row r="105" spans="1:14" s="1" customFormat="1" ht="24">
      <c r="A105" s="437" t="s">
        <v>263</v>
      </c>
      <c r="B105" s="356">
        <f>B106+B108</f>
        <v>1091245</v>
      </c>
      <c r="C105" s="356">
        <f>C106+C108</f>
        <v>1055210</v>
      </c>
      <c r="D105" s="356">
        <f>D106+D108</f>
        <v>325037</v>
      </c>
      <c r="E105" s="425">
        <f t="shared" si="29"/>
        <v>0.2978588676236775</v>
      </c>
      <c r="F105" s="425">
        <f t="shared" si="30"/>
        <v>0.30803062897432737</v>
      </c>
      <c r="G105" s="419">
        <f>D105-'[22]Oktobris'!D104</f>
        <v>5510</v>
      </c>
      <c r="H105" s="437" t="s">
        <v>263</v>
      </c>
      <c r="I105" s="356">
        <f>I106+I108</f>
        <v>1091</v>
      </c>
      <c r="J105" s="356">
        <f>J106</f>
        <v>1046</v>
      </c>
      <c r="K105" s="356">
        <f>K106</f>
        <v>320</v>
      </c>
      <c r="L105" s="58">
        <f t="shared" si="21"/>
        <v>29.330889092575617</v>
      </c>
      <c r="M105" s="58">
        <f t="shared" si="31"/>
        <v>30.592734225621417</v>
      </c>
      <c r="N105" s="356">
        <f>K105-'[22]Oktobris'!K104</f>
        <v>0</v>
      </c>
    </row>
    <row r="106" spans="1:14" s="426" customFormat="1" ht="12.75">
      <c r="A106" s="429" t="s">
        <v>259</v>
      </c>
      <c r="B106" s="430">
        <f>B107</f>
        <v>1077970</v>
      </c>
      <c r="C106" s="430">
        <f>C107</f>
        <v>1046256</v>
      </c>
      <c r="D106" s="430">
        <f>D107</f>
        <v>319527</v>
      </c>
      <c r="E106" s="425">
        <f t="shared" si="29"/>
        <v>0.29641548466098316</v>
      </c>
      <c r="F106" s="425">
        <f t="shared" si="30"/>
        <v>0.305400399137496</v>
      </c>
      <c r="G106" s="419">
        <f>D106-'[22]Oktobris'!D105</f>
        <v>0</v>
      </c>
      <c r="H106" s="429" t="s">
        <v>259</v>
      </c>
      <c r="I106" s="430">
        <f>I107</f>
        <v>1078</v>
      </c>
      <c r="J106" s="430">
        <f>J107</f>
        <v>1046</v>
      </c>
      <c r="K106" s="430">
        <f>K107</f>
        <v>320</v>
      </c>
      <c r="L106" s="431">
        <f t="shared" si="21"/>
        <v>29.684601113172544</v>
      </c>
      <c r="M106" s="431">
        <f t="shared" si="31"/>
        <v>30.592734225621417</v>
      </c>
      <c r="N106" s="430">
        <f>K106-'[22]Oktobris'!K105</f>
        <v>0</v>
      </c>
    </row>
    <row r="107" spans="1:14" ht="12.75">
      <c r="A107" s="432" t="s">
        <v>256</v>
      </c>
      <c r="B107" s="433">
        <v>1077970</v>
      </c>
      <c r="C107" s="433">
        <v>1046256</v>
      </c>
      <c r="D107" s="433">
        <v>319527</v>
      </c>
      <c r="E107" s="425">
        <f t="shared" si="29"/>
        <v>0.29641548466098316</v>
      </c>
      <c r="F107" s="425">
        <f t="shared" si="30"/>
        <v>0.305400399137496</v>
      </c>
      <c r="G107" s="419">
        <f>D107-'[22]Oktobris'!D106</f>
        <v>0</v>
      </c>
      <c r="H107" s="432" t="s">
        <v>256</v>
      </c>
      <c r="I107" s="433">
        <f>ROUND(B107/1000,0)</f>
        <v>1078</v>
      </c>
      <c r="J107" s="433">
        <f>ROUND(C107/1000,0)</f>
        <v>1046</v>
      </c>
      <c r="K107" s="433">
        <f>ROUND(D107/1000,0)</f>
        <v>320</v>
      </c>
      <c r="L107" s="81">
        <f t="shared" si="21"/>
        <v>29.684601113172544</v>
      </c>
      <c r="M107" s="81">
        <f t="shared" si="31"/>
        <v>30.592734225621417</v>
      </c>
      <c r="N107" s="433">
        <f>K107-'[22]Oktobris'!K106</f>
        <v>0</v>
      </c>
    </row>
    <row r="108" spans="1:14" s="426" customFormat="1" ht="12.75">
      <c r="A108" s="429" t="s">
        <v>260</v>
      </c>
      <c r="B108" s="430">
        <f>B109</f>
        <v>13275</v>
      </c>
      <c r="C108" s="430">
        <f>C109</f>
        <v>8954</v>
      </c>
      <c r="D108" s="430">
        <f>D109</f>
        <v>5510</v>
      </c>
      <c r="E108" s="425">
        <f t="shared" si="29"/>
        <v>0.41506591337099813</v>
      </c>
      <c r="F108" s="425">
        <f t="shared" si="30"/>
        <v>0.6153674335492517</v>
      </c>
      <c r="G108" s="419">
        <f>D108-'[22]Oktobris'!D107</f>
        <v>5510</v>
      </c>
      <c r="H108" s="429" t="s">
        <v>260</v>
      </c>
      <c r="I108" s="430">
        <f>I109</f>
        <v>13</v>
      </c>
      <c r="J108" s="430">
        <f>J109</f>
        <v>9</v>
      </c>
      <c r="K108" s="430">
        <f>K109</f>
        <v>6</v>
      </c>
      <c r="L108" s="431">
        <f t="shared" si="21"/>
        <v>46.15384615384615</v>
      </c>
      <c r="M108" s="431">
        <f t="shared" si="31"/>
        <v>66.66666666666666</v>
      </c>
      <c r="N108" s="430">
        <f>K108-'[22]Oktobris'!K107</f>
        <v>6</v>
      </c>
    </row>
    <row r="109" spans="1:14" ht="12.75">
      <c r="A109" s="432" t="s">
        <v>256</v>
      </c>
      <c r="B109" s="433">
        <v>13275</v>
      </c>
      <c r="C109" s="433">
        <v>8954</v>
      </c>
      <c r="D109" s="433">
        <v>5510</v>
      </c>
      <c r="E109" s="425">
        <f t="shared" si="29"/>
        <v>0.41506591337099813</v>
      </c>
      <c r="F109" s="425"/>
      <c r="G109" s="419">
        <f>D109-'[22]Oktobris'!D108</f>
        <v>5510</v>
      </c>
      <c r="H109" s="432" t="s">
        <v>256</v>
      </c>
      <c r="I109" s="433">
        <f>ROUND(B109/1000,0)</f>
        <v>13</v>
      </c>
      <c r="J109" s="433">
        <f>ROUND(C109/1000,0)</f>
        <v>9</v>
      </c>
      <c r="K109" s="433">
        <f>ROUND(D109/1000,0)</f>
        <v>6</v>
      </c>
      <c r="L109" s="81">
        <f t="shared" si="21"/>
        <v>46.15384615384615</v>
      </c>
      <c r="M109" s="81">
        <f t="shared" si="31"/>
        <v>66.66666666666666</v>
      </c>
      <c r="N109" s="433">
        <f>K109-'[22]Oktobris'!K108</f>
        <v>6</v>
      </c>
    </row>
    <row r="110" spans="1:104" ht="38.25">
      <c r="A110" s="416" t="s">
        <v>264</v>
      </c>
      <c r="B110" s="439">
        <f>B111+B114</f>
        <v>6265741</v>
      </c>
      <c r="C110" s="439">
        <f>C111+C114</f>
        <v>6190974</v>
      </c>
      <c r="D110" s="439">
        <f>D111+D114</f>
        <v>5530411</v>
      </c>
      <c r="E110" s="425">
        <f t="shared" si="29"/>
        <v>0.8826427712221109</v>
      </c>
      <c r="F110" s="425"/>
      <c r="G110" s="419">
        <f>D110-'[22]Oktobris'!D109</f>
        <v>442754</v>
      </c>
      <c r="H110" s="416" t="s">
        <v>264</v>
      </c>
      <c r="I110" s="420">
        <f>I111+I114</f>
        <v>6266</v>
      </c>
      <c r="J110" s="420">
        <f>J111+J114</f>
        <v>6191</v>
      </c>
      <c r="K110" s="420">
        <f>K111+K114</f>
        <v>5531</v>
      </c>
      <c r="L110" s="421">
        <f t="shared" si="21"/>
        <v>88.27002872646025</v>
      </c>
      <c r="M110" s="421">
        <f t="shared" si="31"/>
        <v>89.33936359231141</v>
      </c>
      <c r="N110" s="420">
        <f>K110-'[22]Oktobris'!K109</f>
        <v>443</v>
      </c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49"/>
      <c r="AS110" s="49"/>
      <c r="AT110" s="49"/>
      <c r="AU110" s="49"/>
      <c r="AV110" s="49"/>
      <c r="AW110" s="49"/>
      <c r="AX110" s="49"/>
      <c r="AY110" s="49"/>
      <c r="AZ110" s="49"/>
      <c r="BA110" s="49"/>
      <c r="BB110" s="49"/>
      <c r="BC110" s="49"/>
      <c r="BD110" s="49"/>
      <c r="BE110" s="49"/>
      <c r="BF110" s="49"/>
      <c r="BG110" s="49"/>
      <c r="BH110" s="49"/>
      <c r="BI110" s="49"/>
      <c r="BJ110" s="49"/>
      <c r="BK110" s="49"/>
      <c r="BL110" s="49"/>
      <c r="BM110" s="49"/>
      <c r="BN110" s="49"/>
      <c r="BO110" s="49"/>
      <c r="BP110" s="49"/>
      <c r="BQ110" s="49"/>
      <c r="BR110" s="49"/>
      <c r="BS110" s="49"/>
      <c r="BT110" s="49"/>
      <c r="BU110" s="49"/>
      <c r="BV110" s="49"/>
      <c r="BW110" s="49"/>
      <c r="BX110" s="49"/>
      <c r="BY110" s="49"/>
      <c r="BZ110" s="49"/>
      <c r="CA110" s="49"/>
      <c r="CB110" s="49"/>
      <c r="CC110" s="49"/>
      <c r="CD110" s="49"/>
      <c r="CE110" s="49"/>
      <c r="CF110" s="49"/>
      <c r="CG110" s="49"/>
      <c r="CH110" s="49"/>
      <c r="CI110" s="49"/>
      <c r="CJ110" s="49"/>
      <c r="CK110" s="49"/>
      <c r="CL110" s="49"/>
      <c r="CM110" s="49"/>
      <c r="CN110" s="49"/>
      <c r="CO110" s="49"/>
      <c r="CP110" s="49"/>
      <c r="CQ110" s="49"/>
      <c r="CR110" s="49"/>
      <c r="CS110" s="49"/>
      <c r="CT110" s="49"/>
      <c r="CU110" s="49"/>
      <c r="CV110" s="49"/>
      <c r="CW110" s="49"/>
      <c r="CX110" s="49"/>
      <c r="CY110" s="49"/>
      <c r="CZ110" s="49"/>
    </row>
    <row r="111" spans="1:104" s="344" customFormat="1" ht="15" customHeight="1">
      <c r="A111" s="422" t="s">
        <v>973</v>
      </c>
      <c r="B111" s="417">
        <f>B112+B113</f>
        <v>2773256</v>
      </c>
      <c r="C111" s="417">
        <f>C112+C113</f>
        <v>2773256</v>
      </c>
      <c r="D111" s="417">
        <f>D112+D113</f>
        <v>2505759</v>
      </c>
      <c r="E111" s="425">
        <f t="shared" si="29"/>
        <v>0.903544065171048</v>
      </c>
      <c r="F111" s="425"/>
      <c r="G111" s="419">
        <f>D111-'[22]Oktobris'!D110</f>
        <v>150928</v>
      </c>
      <c r="H111" s="422" t="s">
        <v>973</v>
      </c>
      <c r="I111" s="440">
        <f>I112+I113</f>
        <v>2773</v>
      </c>
      <c r="J111" s="440">
        <f>J112+J113</f>
        <v>2773</v>
      </c>
      <c r="K111" s="440">
        <f>K112+K113</f>
        <v>2506</v>
      </c>
      <c r="L111" s="421">
        <f t="shared" si="21"/>
        <v>90.37143887486477</v>
      </c>
      <c r="M111" s="421">
        <f t="shared" si="31"/>
        <v>90.37143887486477</v>
      </c>
      <c r="N111" s="440">
        <f>K111-'[22]Oktobris'!K110</f>
        <v>151</v>
      </c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/>
      <c r="AR111" s="49"/>
      <c r="AS111" s="49"/>
      <c r="AT111" s="49"/>
      <c r="AU111" s="49"/>
      <c r="AV111" s="49"/>
      <c r="AW111" s="49"/>
      <c r="AX111" s="49"/>
      <c r="AY111" s="49"/>
      <c r="AZ111" s="49"/>
      <c r="BA111" s="49"/>
      <c r="BB111" s="49"/>
      <c r="BC111" s="49"/>
      <c r="BD111" s="49"/>
      <c r="BE111" s="49"/>
      <c r="BF111" s="49"/>
      <c r="BG111" s="49"/>
      <c r="BH111" s="49"/>
      <c r="BI111" s="49"/>
      <c r="BJ111" s="49"/>
      <c r="BK111" s="49"/>
      <c r="BL111" s="49"/>
      <c r="BM111" s="49"/>
      <c r="BN111" s="49"/>
      <c r="BO111" s="49"/>
      <c r="BP111" s="49"/>
      <c r="BQ111" s="49"/>
      <c r="BR111" s="49"/>
      <c r="BS111" s="49"/>
      <c r="BT111" s="49"/>
      <c r="BU111" s="49"/>
      <c r="BV111" s="49"/>
      <c r="BW111" s="49"/>
      <c r="BX111" s="49"/>
      <c r="BY111" s="49"/>
      <c r="BZ111" s="49"/>
      <c r="CA111" s="49"/>
      <c r="CB111" s="49"/>
      <c r="CC111" s="49"/>
      <c r="CD111" s="49"/>
      <c r="CE111" s="49"/>
      <c r="CF111" s="49"/>
      <c r="CG111" s="49"/>
      <c r="CH111" s="49"/>
      <c r="CI111" s="49"/>
      <c r="CJ111" s="49"/>
      <c r="CK111" s="49"/>
      <c r="CL111" s="49"/>
      <c r="CM111" s="49"/>
      <c r="CN111" s="49"/>
      <c r="CO111" s="49"/>
      <c r="CP111" s="49"/>
      <c r="CQ111" s="49"/>
      <c r="CR111" s="49"/>
      <c r="CS111" s="49"/>
      <c r="CT111" s="49"/>
      <c r="CU111" s="49"/>
      <c r="CV111" s="49"/>
      <c r="CW111" s="49"/>
      <c r="CX111" s="49"/>
      <c r="CY111" s="49"/>
      <c r="CZ111" s="49"/>
    </row>
    <row r="112" spans="1:14" ht="12.75">
      <c r="A112" s="424" t="s">
        <v>256</v>
      </c>
      <c r="B112" s="435">
        <f>B119+B125+B130</f>
        <v>493256</v>
      </c>
      <c r="C112" s="435">
        <f>C119+C125+C130</f>
        <v>493256</v>
      </c>
      <c r="D112" s="435">
        <f>D119+D125+D130</f>
        <v>363629</v>
      </c>
      <c r="E112" s="425">
        <f t="shared" si="29"/>
        <v>0.7372013721069789</v>
      </c>
      <c r="F112" s="425"/>
      <c r="G112" s="419">
        <f>D112-'[22]Oktobris'!D111</f>
        <v>0</v>
      </c>
      <c r="H112" s="424" t="s">
        <v>256</v>
      </c>
      <c r="I112" s="356">
        <f>I119+I125+I130</f>
        <v>493</v>
      </c>
      <c r="J112" s="356">
        <f>J119+J125+J130</f>
        <v>493</v>
      </c>
      <c r="K112" s="356">
        <f>K119+K125+K130</f>
        <v>364</v>
      </c>
      <c r="L112" s="421">
        <f t="shared" si="21"/>
        <v>73.83367139959432</v>
      </c>
      <c r="M112" s="58">
        <f t="shared" si="31"/>
        <v>73.83367139959432</v>
      </c>
      <c r="N112" s="356">
        <f>K112-'[22]Oktobris'!K111</f>
        <v>0</v>
      </c>
    </row>
    <row r="113" spans="1:14" ht="12.75">
      <c r="A113" s="424" t="s">
        <v>257</v>
      </c>
      <c r="B113" s="435">
        <f>B120</f>
        <v>2280000</v>
      </c>
      <c r="C113" s="435">
        <f>C120</f>
        <v>2280000</v>
      </c>
      <c r="D113" s="435">
        <f>D120</f>
        <v>2142130</v>
      </c>
      <c r="E113" s="425">
        <f t="shared" si="29"/>
        <v>0.9395307017543859</v>
      </c>
      <c r="F113" s="425"/>
      <c r="G113" s="419">
        <f>D113-'[22]Oktobris'!D112</f>
        <v>150928</v>
      </c>
      <c r="H113" s="424" t="s">
        <v>257</v>
      </c>
      <c r="I113" s="356">
        <f>I120</f>
        <v>2280</v>
      </c>
      <c r="J113" s="74">
        <f>J120</f>
        <v>2280</v>
      </c>
      <c r="K113" s="356">
        <f>K120</f>
        <v>2142</v>
      </c>
      <c r="L113" s="58">
        <f t="shared" si="21"/>
        <v>93.94736842105263</v>
      </c>
      <c r="M113" s="58">
        <f t="shared" si="31"/>
        <v>93.94736842105263</v>
      </c>
      <c r="N113" s="356">
        <f>K113-'[22]Oktobris'!K112</f>
        <v>151</v>
      </c>
    </row>
    <row r="114" spans="1:104" s="344" customFormat="1" ht="15" customHeight="1">
      <c r="A114" s="422" t="s">
        <v>265</v>
      </c>
      <c r="B114" s="417">
        <f>SUM(B115:B116)</f>
        <v>3492485</v>
      </c>
      <c r="C114" s="417">
        <f>SUM(C115:C116)</f>
        <v>3417718</v>
      </c>
      <c r="D114" s="417">
        <f>SUM(D115:D116)</f>
        <v>3024652</v>
      </c>
      <c r="E114" s="425">
        <f t="shared" si="29"/>
        <v>0.8660458097887321</v>
      </c>
      <c r="F114" s="425"/>
      <c r="G114" s="419">
        <f>D114-'[22]Oktobris'!D113</f>
        <v>291826</v>
      </c>
      <c r="H114" s="422" t="s">
        <v>265</v>
      </c>
      <c r="I114" s="420">
        <f>I116+I115</f>
        <v>3493</v>
      </c>
      <c r="J114" s="420">
        <f>J116+J115</f>
        <v>3418</v>
      </c>
      <c r="K114" s="420">
        <f>K116+K115</f>
        <v>3025</v>
      </c>
      <c r="L114" s="421">
        <f t="shared" si="21"/>
        <v>86.6017749785285</v>
      </c>
      <c r="M114" s="421">
        <f t="shared" si="31"/>
        <v>88.5020479812756</v>
      </c>
      <c r="N114" s="420">
        <f>K114-'[22]Oktobris'!K113</f>
        <v>292</v>
      </c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  <c r="AV114" s="49"/>
      <c r="AW114" s="49"/>
      <c r="AX114" s="49"/>
      <c r="AY114" s="49"/>
      <c r="AZ114" s="49"/>
      <c r="BA114" s="49"/>
      <c r="BB114" s="49"/>
      <c r="BC114" s="49"/>
      <c r="BD114" s="49"/>
      <c r="BE114" s="49"/>
      <c r="BF114" s="49"/>
      <c r="BG114" s="49"/>
      <c r="BH114" s="49"/>
      <c r="BI114" s="49"/>
      <c r="BJ114" s="49"/>
      <c r="BK114" s="49"/>
      <c r="BL114" s="49"/>
      <c r="BM114" s="49"/>
      <c r="BN114" s="49"/>
      <c r="BO114" s="49"/>
      <c r="BP114" s="49"/>
      <c r="BQ114" s="49"/>
      <c r="BR114" s="49"/>
      <c r="BS114" s="49"/>
      <c r="BT114" s="49"/>
      <c r="BU114" s="49"/>
      <c r="BV114" s="49"/>
      <c r="BW114" s="49"/>
      <c r="BX114" s="49"/>
      <c r="BY114" s="49"/>
      <c r="BZ114" s="49"/>
      <c r="CA114" s="49"/>
      <c r="CB114" s="49"/>
      <c r="CC114" s="49"/>
      <c r="CD114" s="49"/>
      <c r="CE114" s="49"/>
      <c r="CF114" s="49"/>
      <c r="CG114" s="49"/>
      <c r="CH114" s="49"/>
      <c r="CI114" s="49"/>
      <c r="CJ114" s="49"/>
      <c r="CK114" s="49"/>
      <c r="CL114" s="49"/>
      <c r="CM114" s="49"/>
      <c r="CN114" s="49"/>
      <c r="CO114" s="49"/>
      <c r="CP114" s="49"/>
      <c r="CQ114" s="49"/>
      <c r="CR114" s="49"/>
      <c r="CS114" s="49"/>
      <c r="CT114" s="49"/>
      <c r="CU114" s="49"/>
      <c r="CV114" s="49"/>
      <c r="CW114" s="49"/>
      <c r="CX114" s="49"/>
      <c r="CY114" s="49"/>
      <c r="CZ114" s="49"/>
    </row>
    <row r="115" spans="1:14" ht="12.75">
      <c r="A115" s="424" t="s">
        <v>256</v>
      </c>
      <c r="B115" s="435">
        <f>B127+B132</f>
        <v>181148</v>
      </c>
      <c r="C115" s="435">
        <f>C127+C132</f>
        <v>180209</v>
      </c>
      <c r="D115" s="435">
        <f>D127+D132</f>
        <v>180209</v>
      </c>
      <c r="E115" s="425">
        <f t="shared" si="29"/>
        <v>0.9948163932254289</v>
      </c>
      <c r="F115" s="425"/>
      <c r="G115" s="419">
        <f>D115-'[22]Oktobris'!D114</f>
        <v>5628</v>
      </c>
      <c r="H115" s="424" t="s">
        <v>256</v>
      </c>
      <c r="I115" s="356">
        <f>I127+I132</f>
        <v>182</v>
      </c>
      <c r="J115" s="356">
        <f>J127+J132</f>
        <v>181</v>
      </c>
      <c r="K115" s="356">
        <f>K127+K132</f>
        <v>181</v>
      </c>
      <c r="L115" s="58">
        <f t="shared" si="21"/>
        <v>99.45054945054946</v>
      </c>
      <c r="M115" s="58">
        <f t="shared" si="31"/>
        <v>100</v>
      </c>
      <c r="N115" s="356">
        <f>K115-'[22]Oktobris'!K114</f>
        <v>6</v>
      </c>
    </row>
    <row r="116" spans="1:14" ht="12.75">
      <c r="A116" s="424" t="s">
        <v>257</v>
      </c>
      <c r="B116" s="435">
        <f>B122</f>
        <v>3311337</v>
      </c>
      <c r="C116" s="435">
        <f>C122</f>
        <v>3237509</v>
      </c>
      <c r="D116" s="435">
        <f>D122</f>
        <v>2844443</v>
      </c>
      <c r="E116" s="425">
        <f t="shared" si="29"/>
        <v>0.8590013641015698</v>
      </c>
      <c r="F116" s="425"/>
      <c r="G116" s="419">
        <f>D116-'[22]Oktobris'!D115</f>
        <v>286198</v>
      </c>
      <c r="H116" s="424" t="s">
        <v>257</v>
      </c>
      <c r="I116" s="356">
        <f>I122</f>
        <v>3311</v>
      </c>
      <c r="J116" s="356">
        <f>J122</f>
        <v>3237</v>
      </c>
      <c r="K116" s="356">
        <f>K122</f>
        <v>2844</v>
      </c>
      <c r="L116" s="58">
        <f t="shared" si="21"/>
        <v>85.89549984898822</v>
      </c>
      <c r="M116" s="58">
        <f t="shared" si="31"/>
        <v>87.85912882298425</v>
      </c>
      <c r="N116" s="356">
        <f>K116-'[22]Oktobris'!K115</f>
        <v>286</v>
      </c>
    </row>
    <row r="117" spans="1:14" s="1" customFormat="1" ht="12">
      <c r="A117" s="437" t="s">
        <v>1001</v>
      </c>
      <c r="B117" s="356">
        <f>B118+B121</f>
        <v>5850775</v>
      </c>
      <c r="C117" s="356">
        <f>C118+C121</f>
        <v>5776947</v>
      </c>
      <c r="D117" s="356">
        <f>D118+D121</f>
        <v>5194292</v>
      </c>
      <c r="E117" s="425">
        <f t="shared" si="29"/>
        <v>0.8877955484529827</v>
      </c>
      <c r="F117" s="425"/>
      <c r="G117" s="419">
        <f>D117-'[22]Oktobris'!D116</f>
        <v>437126</v>
      </c>
      <c r="H117" s="437" t="s">
        <v>1001</v>
      </c>
      <c r="I117" s="356">
        <f>I118+I121</f>
        <v>5850</v>
      </c>
      <c r="J117" s="356">
        <f>J118+J121</f>
        <v>5776</v>
      </c>
      <c r="K117" s="356">
        <f>K118+K121</f>
        <v>5194</v>
      </c>
      <c r="L117" s="58">
        <f t="shared" si="21"/>
        <v>88.78632478632478</v>
      </c>
      <c r="M117" s="58">
        <f t="shared" si="31"/>
        <v>89.92382271468145</v>
      </c>
      <c r="N117" s="356">
        <f>K117-'[22]Oktobris'!K116</f>
        <v>437</v>
      </c>
    </row>
    <row r="118" spans="1:14" s="426" customFormat="1" ht="12.75">
      <c r="A118" s="429" t="s">
        <v>259</v>
      </c>
      <c r="B118" s="430">
        <f>B119+B120</f>
        <v>2539438</v>
      </c>
      <c r="C118" s="430">
        <f>C119+C120</f>
        <v>2539438</v>
      </c>
      <c r="D118" s="430">
        <f>D119+D120</f>
        <v>2349849</v>
      </c>
      <c r="E118" s="425">
        <f t="shared" si="29"/>
        <v>0.9253421426315587</v>
      </c>
      <c r="F118" s="425"/>
      <c r="G118" s="419">
        <f>D118-'[22]Oktobris'!D117</f>
        <v>150928</v>
      </c>
      <c r="H118" s="429" t="s">
        <v>259</v>
      </c>
      <c r="I118" s="430">
        <f>I120+I119</f>
        <v>2539</v>
      </c>
      <c r="J118" s="430">
        <f>J120+J119</f>
        <v>2539</v>
      </c>
      <c r="K118" s="430">
        <f>K120+K119</f>
        <v>2350</v>
      </c>
      <c r="L118" s="431">
        <f t="shared" si="21"/>
        <v>92.55612445844821</v>
      </c>
      <c r="M118" s="431">
        <f t="shared" si="31"/>
        <v>92.55612445844821</v>
      </c>
      <c r="N118" s="430">
        <f>K118-'[22]Oktobris'!K117</f>
        <v>151</v>
      </c>
    </row>
    <row r="119" spans="1:14" ht="12.75">
      <c r="A119" s="432" t="s">
        <v>256</v>
      </c>
      <c r="B119" s="433">
        <v>259438</v>
      </c>
      <c r="C119" s="433">
        <v>259438</v>
      </c>
      <c r="D119" s="433">
        <v>207719</v>
      </c>
      <c r="E119" s="425">
        <f t="shared" si="29"/>
        <v>0.8006498662493544</v>
      </c>
      <c r="F119" s="425"/>
      <c r="G119" s="419">
        <f>D119-'[22]Oktobris'!D118</f>
        <v>0</v>
      </c>
      <c r="H119" s="432" t="s">
        <v>256</v>
      </c>
      <c r="I119" s="433">
        <f aca="true" t="shared" si="32" ref="I119:K120">ROUND(B119/1000,0)</f>
        <v>259</v>
      </c>
      <c r="J119" s="433">
        <f t="shared" si="32"/>
        <v>259</v>
      </c>
      <c r="K119" s="433">
        <f t="shared" si="32"/>
        <v>208</v>
      </c>
      <c r="L119" s="81">
        <f t="shared" si="21"/>
        <v>80.3088803088803</v>
      </c>
      <c r="M119" s="81">
        <f t="shared" si="31"/>
        <v>80.3088803088803</v>
      </c>
      <c r="N119" s="433">
        <f>K119-'[22]Oktobris'!K118</f>
        <v>0</v>
      </c>
    </row>
    <row r="120" spans="1:104" s="60" customFormat="1" ht="12.75">
      <c r="A120" s="432" t="s">
        <v>257</v>
      </c>
      <c r="B120" s="433">
        <v>2280000</v>
      </c>
      <c r="C120" s="433">
        <v>2280000</v>
      </c>
      <c r="D120" s="433">
        <v>2142130</v>
      </c>
      <c r="E120" s="425">
        <f t="shared" si="29"/>
        <v>0.9395307017543859</v>
      </c>
      <c r="F120" s="425"/>
      <c r="G120" s="419">
        <f>D120-'[22]Oktobris'!D119</f>
        <v>150928</v>
      </c>
      <c r="H120" s="432" t="s">
        <v>257</v>
      </c>
      <c r="I120" s="433">
        <f t="shared" si="32"/>
        <v>2280</v>
      </c>
      <c r="J120" s="433">
        <f t="shared" si="32"/>
        <v>2280</v>
      </c>
      <c r="K120" s="433">
        <f t="shared" si="32"/>
        <v>2142</v>
      </c>
      <c r="L120" s="81">
        <f t="shared" si="21"/>
        <v>93.94736842105263</v>
      </c>
      <c r="M120" s="81">
        <f t="shared" si="31"/>
        <v>93.94736842105263</v>
      </c>
      <c r="N120" s="433">
        <f>K120-'[22]Oktobris'!K119</f>
        <v>151</v>
      </c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</row>
    <row r="121" spans="1:14" s="426" customFormat="1" ht="12.75">
      <c r="A121" s="429" t="s">
        <v>266</v>
      </c>
      <c r="B121" s="430">
        <f>B122</f>
        <v>3311337</v>
      </c>
      <c r="C121" s="430">
        <f>C122</f>
        <v>3237509</v>
      </c>
      <c r="D121" s="430">
        <f>D122</f>
        <v>2844443</v>
      </c>
      <c r="E121" s="425">
        <f t="shared" si="29"/>
        <v>0.8590013641015698</v>
      </c>
      <c r="F121" s="425"/>
      <c r="G121" s="419">
        <f>D121-'[22]Oktobris'!D120</f>
        <v>286198</v>
      </c>
      <c r="H121" s="429" t="s">
        <v>266</v>
      </c>
      <c r="I121" s="430">
        <f>I122</f>
        <v>3311</v>
      </c>
      <c r="J121" s="430">
        <f>J122</f>
        <v>3237</v>
      </c>
      <c r="K121" s="430">
        <f>K122</f>
        <v>2844</v>
      </c>
      <c r="L121" s="431">
        <f t="shared" si="21"/>
        <v>85.89549984898822</v>
      </c>
      <c r="M121" s="431">
        <f t="shared" si="31"/>
        <v>87.85912882298425</v>
      </c>
      <c r="N121" s="430">
        <f>K121-'[22]Oktobris'!K120</f>
        <v>286</v>
      </c>
    </row>
    <row r="122" spans="1:104" s="60" customFormat="1" ht="12.75">
      <c r="A122" s="432" t="s">
        <v>257</v>
      </c>
      <c r="B122" s="433">
        <v>3311337</v>
      </c>
      <c r="C122" s="433">
        <v>3237509</v>
      </c>
      <c r="D122" s="433">
        <v>2844443</v>
      </c>
      <c r="E122" s="425">
        <f t="shared" si="29"/>
        <v>0.8590013641015698</v>
      </c>
      <c r="F122" s="425"/>
      <c r="G122" s="419">
        <f>D122-'[22]Oktobris'!D121</f>
        <v>286198</v>
      </c>
      <c r="H122" s="432" t="s">
        <v>257</v>
      </c>
      <c r="I122" s="433">
        <f>ROUND(B122/1000,0)</f>
        <v>3311</v>
      </c>
      <c r="J122" s="433">
        <f>ROUND(C122/1000,0)-1</f>
        <v>3237</v>
      </c>
      <c r="K122" s="433">
        <f>ROUND(D122/1000,0)</f>
        <v>2844</v>
      </c>
      <c r="L122" s="81">
        <f t="shared" si="21"/>
        <v>85.89549984898822</v>
      </c>
      <c r="M122" s="81">
        <f t="shared" si="31"/>
        <v>87.85912882298425</v>
      </c>
      <c r="N122" s="433">
        <f>K122-'[22]Oktobris'!K121</f>
        <v>286</v>
      </c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</row>
    <row r="123" spans="1:14" s="1" customFormat="1" ht="12">
      <c r="A123" s="437" t="s">
        <v>1003</v>
      </c>
      <c r="B123" s="356">
        <f>B124+B126</f>
        <v>72235</v>
      </c>
      <c r="C123" s="356">
        <f>C124+C126</f>
        <v>71296</v>
      </c>
      <c r="D123" s="356">
        <f>D124+D126</f>
        <v>5628</v>
      </c>
      <c r="E123" s="425">
        <f t="shared" si="29"/>
        <v>0.07791236935003808</v>
      </c>
      <c r="F123" s="425"/>
      <c r="G123" s="419">
        <f>D123-'[22]Oktobris'!D122</f>
        <v>5628</v>
      </c>
      <c r="H123" s="437" t="s">
        <v>1003</v>
      </c>
      <c r="I123" s="356">
        <f>I124+I126</f>
        <v>73</v>
      </c>
      <c r="J123" s="356">
        <f>J124+J126</f>
        <v>72</v>
      </c>
      <c r="K123" s="356">
        <f>K124+K126</f>
        <v>6</v>
      </c>
      <c r="L123" s="58">
        <f t="shared" si="21"/>
        <v>8.21917808219178</v>
      </c>
      <c r="M123" s="58">
        <f t="shared" si="31"/>
        <v>8.333333333333332</v>
      </c>
      <c r="N123" s="356">
        <f>K123-'[22]Oktobris'!K122</f>
        <v>6</v>
      </c>
    </row>
    <row r="124" spans="1:14" s="426" customFormat="1" ht="12.75">
      <c r="A124" s="429" t="s">
        <v>259</v>
      </c>
      <c r="B124" s="430">
        <f>B125</f>
        <v>65668</v>
      </c>
      <c r="C124" s="430">
        <f>C125</f>
        <v>65668</v>
      </c>
      <c r="D124" s="430">
        <f>D125</f>
        <v>0</v>
      </c>
      <c r="E124" s="425">
        <f t="shared" si="29"/>
        <v>0</v>
      </c>
      <c r="F124" s="425"/>
      <c r="G124" s="419">
        <f>D124-'[22]Oktobris'!D123</f>
        <v>0</v>
      </c>
      <c r="H124" s="429" t="s">
        <v>259</v>
      </c>
      <c r="I124" s="430">
        <f>I125</f>
        <v>66</v>
      </c>
      <c r="J124" s="430">
        <f>J125</f>
        <v>66</v>
      </c>
      <c r="K124" s="430">
        <f>K125</f>
        <v>0</v>
      </c>
      <c r="L124" s="431">
        <f t="shared" si="21"/>
        <v>0</v>
      </c>
      <c r="M124" s="431">
        <f t="shared" si="31"/>
        <v>0</v>
      </c>
      <c r="N124" s="430">
        <f>K124-'[22]Oktobris'!K123</f>
        <v>0</v>
      </c>
    </row>
    <row r="125" spans="1:14" ht="12.75">
      <c r="A125" s="432" t="s">
        <v>256</v>
      </c>
      <c r="B125" s="433">
        <v>65668</v>
      </c>
      <c r="C125" s="433">
        <v>65668</v>
      </c>
      <c r="D125" s="433"/>
      <c r="E125" s="425">
        <f t="shared" si="29"/>
        <v>0</v>
      </c>
      <c r="F125" s="425"/>
      <c r="G125" s="419">
        <f>D125-'[22]Oktobris'!D124</f>
        <v>0</v>
      </c>
      <c r="H125" s="432" t="s">
        <v>256</v>
      </c>
      <c r="I125" s="433">
        <f>ROUND(B125/1000,0)</f>
        <v>66</v>
      </c>
      <c r="J125" s="433">
        <f>ROUND(C125/1000,0)</f>
        <v>66</v>
      </c>
      <c r="K125" s="433">
        <f>ROUND(D125/1000,0)</f>
        <v>0</v>
      </c>
      <c r="L125" s="81">
        <f t="shared" si="21"/>
        <v>0</v>
      </c>
      <c r="M125" s="81">
        <f t="shared" si="31"/>
        <v>0</v>
      </c>
      <c r="N125" s="433">
        <f>K125-'[22]Oktobris'!K124</f>
        <v>0</v>
      </c>
    </row>
    <row r="126" spans="1:14" s="426" customFormat="1" ht="12.75">
      <c r="A126" s="429" t="s">
        <v>266</v>
      </c>
      <c r="B126" s="430">
        <f>B127</f>
        <v>6567</v>
      </c>
      <c r="C126" s="430">
        <f>C127</f>
        <v>5628</v>
      </c>
      <c r="D126" s="430">
        <f>D127</f>
        <v>5628</v>
      </c>
      <c r="E126" s="425">
        <f t="shared" si="29"/>
        <v>0.857012334399269</v>
      </c>
      <c r="F126" s="425"/>
      <c r="G126" s="419">
        <f>D126-'[22]Oktobris'!D125</f>
        <v>5628</v>
      </c>
      <c r="H126" s="429" t="s">
        <v>266</v>
      </c>
      <c r="I126" s="430">
        <f>I127</f>
        <v>7</v>
      </c>
      <c r="J126" s="430">
        <f>J127</f>
        <v>6</v>
      </c>
      <c r="K126" s="430">
        <f>K127</f>
        <v>6</v>
      </c>
      <c r="L126" s="431">
        <f t="shared" si="21"/>
        <v>85.71428571428571</v>
      </c>
      <c r="M126" s="431">
        <f t="shared" si="31"/>
        <v>100</v>
      </c>
      <c r="N126" s="430">
        <f>K126-'[22]Oktobris'!K125</f>
        <v>6</v>
      </c>
    </row>
    <row r="127" spans="1:104" s="60" customFormat="1" ht="12.75">
      <c r="A127" s="432" t="s">
        <v>256</v>
      </c>
      <c r="B127" s="433">
        <v>6567</v>
      </c>
      <c r="C127" s="433">
        <v>5628</v>
      </c>
      <c r="D127" s="433">
        <v>5628</v>
      </c>
      <c r="E127" s="425">
        <f t="shared" si="29"/>
        <v>0.857012334399269</v>
      </c>
      <c r="F127" s="425"/>
      <c r="G127" s="433">
        <f>D127-'[22]Oktobris'!D126</f>
        <v>5628</v>
      </c>
      <c r="H127" s="432" t="s">
        <v>256</v>
      </c>
      <c r="I127" s="433">
        <f>ROUND(B127/1000,0)</f>
        <v>7</v>
      </c>
      <c r="J127" s="433">
        <f>ROUND(C127/1000,0)</f>
        <v>6</v>
      </c>
      <c r="K127" s="433">
        <f>ROUND(D127/1000,0)</f>
        <v>6</v>
      </c>
      <c r="L127" s="81">
        <f t="shared" si="21"/>
        <v>85.71428571428571</v>
      </c>
      <c r="M127" s="81">
        <f t="shared" si="31"/>
        <v>100</v>
      </c>
      <c r="N127" s="433">
        <f>K127-'[22]Oktobris'!K126</f>
        <v>6</v>
      </c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</row>
    <row r="128" spans="1:104" s="83" customFormat="1" ht="12.75" customHeight="1">
      <c r="A128" s="437" t="s">
        <v>560</v>
      </c>
      <c r="B128" s="356">
        <f>SUM(B129+B131)</f>
        <v>342731</v>
      </c>
      <c r="C128" s="356">
        <f>SUM(C129+C131)</f>
        <v>342731</v>
      </c>
      <c r="D128" s="356">
        <f>SUM(D129+D131)</f>
        <v>330491</v>
      </c>
      <c r="E128" s="425">
        <f t="shared" si="29"/>
        <v>0.964286860540774</v>
      </c>
      <c r="F128" s="425"/>
      <c r="G128" s="356">
        <f>D128-'[22]Oktobris'!D127</f>
        <v>0</v>
      </c>
      <c r="H128" s="437" t="s">
        <v>338</v>
      </c>
      <c r="I128" s="356">
        <f>I129+I131</f>
        <v>343</v>
      </c>
      <c r="J128" s="356">
        <f>J129+J131</f>
        <v>343</v>
      </c>
      <c r="K128" s="356">
        <f>K129+K131</f>
        <v>331</v>
      </c>
      <c r="L128" s="58">
        <f t="shared" si="21"/>
        <v>96.50145772594753</v>
      </c>
      <c r="M128" s="58">
        <f t="shared" si="31"/>
        <v>96.50145772594753</v>
      </c>
      <c r="N128" s="356">
        <f>K128-'[22]Oktobris'!K127</f>
        <v>0</v>
      </c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</row>
    <row r="129" spans="1:104" s="83" customFormat="1" ht="12.75">
      <c r="A129" s="429" t="s">
        <v>259</v>
      </c>
      <c r="B129" s="430">
        <f>SUM(B130)</f>
        <v>168150</v>
      </c>
      <c r="C129" s="430">
        <f>SUM(C130)</f>
        <v>168150</v>
      </c>
      <c r="D129" s="430">
        <f>SUM(D130)</f>
        <v>155910</v>
      </c>
      <c r="E129" s="425">
        <f t="shared" si="29"/>
        <v>0.9272078501338091</v>
      </c>
      <c r="F129" s="425"/>
      <c r="G129" s="430">
        <f>D129-'[22]Oktobris'!D128</f>
        <v>0</v>
      </c>
      <c r="H129" s="429" t="s">
        <v>259</v>
      </c>
      <c r="I129" s="430">
        <f>I130</f>
        <v>168</v>
      </c>
      <c r="J129" s="430">
        <f>J130</f>
        <v>168</v>
      </c>
      <c r="K129" s="430">
        <f>K130</f>
        <v>156</v>
      </c>
      <c r="L129" s="431">
        <f t="shared" si="21"/>
        <v>92.85714285714286</v>
      </c>
      <c r="M129" s="431">
        <f t="shared" si="31"/>
        <v>92.85714285714286</v>
      </c>
      <c r="N129" s="430">
        <f>K129-'[22]Oktobris'!K128</f>
        <v>0</v>
      </c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</row>
    <row r="130" spans="1:104" s="83" customFormat="1" ht="12.75">
      <c r="A130" s="432" t="s">
        <v>256</v>
      </c>
      <c r="B130" s="433">
        <v>168150</v>
      </c>
      <c r="C130" s="433">
        <v>168150</v>
      </c>
      <c r="D130" s="433">
        <v>155910</v>
      </c>
      <c r="E130" s="425">
        <f t="shared" si="29"/>
        <v>0.9272078501338091</v>
      </c>
      <c r="F130" s="425"/>
      <c r="G130" s="433">
        <f>D130-'[22]Oktobris'!D129</f>
        <v>0</v>
      </c>
      <c r="H130" s="432" t="s">
        <v>256</v>
      </c>
      <c r="I130" s="433">
        <f>ROUND(B130/1000,0)</f>
        <v>168</v>
      </c>
      <c r="J130" s="433">
        <f>ROUND(C130/1000,0)</f>
        <v>168</v>
      </c>
      <c r="K130" s="433">
        <f>ROUND(D130/1000,0)</f>
        <v>156</v>
      </c>
      <c r="L130" s="81">
        <f t="shared" si="21"/>
        <v>92.85714285714286</v>
      </c>
      <c r="M130" s="81">
        <f t="shared" si="31"/>
        <v>92.85714285714286</v>
      </c>
      <c r="N130" s="433">
        <f>K130-'[22]Oktobris'!K129</f>
        <v>0</v>
      </c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</row>
    <row r="131" spans="1:14" s="426" customFormat="1" ht="12.75">
      <c r="A131" s="429" t="s">
        <v>266</v>
      </c>
      <c r="B131" s="430">
        <f>SUM(B132)</f>
        <v>174581</v>
      </c>
      <c r="C131" s="430">
        <f>SUM(C132)</f>
        <v>174581</v>
      </c>
      <c r="D131" s="430">
        <f>SUM(D132)</f>
        <v>174581</v>
      </c>
      <c r="E131" s="425">
        <f t="shared" si="29"/>
        <v>1</v>
      </c>
      <c r="F131" s="425"/>
      <c r="G131" s="430">
        <f>D131-'[22]Oktobris'!D130</f>
        <v>0</v>
      </c>
      <c r="H131" s="429" t="s">
        <v>266</v>
      </c>
      <c r="I131" s="430">
        <f>SUM(I132)</f>
        <v>175</v>
      </c>
      <c r="J131" s="430">
        <f>SUM(J132)</f>
        <v>175</v>
      </c>
      <c r="K131" s="430">
        <f>SUM(K132)</f>
        <v>175</v>
      </c>
      <c r="L131" s="431">
        <f t="shared" si="21"/>
        <v>100</v>
      </c>
      <c r="M131" s="431">
        <f t="shared" si="31"/>
        <v>100</v>
      </c>
      <c r="N131" s="430">
        <f>K131-'[22]Oktobris'!K130</f>
        <v>0</v>
      </c>
    </row>
    <row r="132" spans="1:104" s="60" customFormat="1" ht="12.75">
      <c r="A132" s="432" t="s">
        <v>256</v>
      </c>
      <c r="B132" s="433">
        <v>174581</v>
      </c>
      <c r="C132" s="433">
        <v>174581</v>
      </c>
      <c r="D132" s="433">
        <v>174581</v>
      </c>
      <c r="E132" s="425">
        <f t="shared" si="29"/>
        <v>1</v>
      </c>
      <c r="F132" s="425"/>
      <c r="G132" s="433">
        <f>D132-'[22]Oktobris'!D131</f>
        <v>0</v>
      </c>
      <c r="H132" s="432" t="s">
        <v>256</v>
      </c>
      <c r="I132" s="433">
        <f>ROUND(B132/1000,0)</f>
        <v>175</v>
      </c>
      <c r="J132" s="433">
        <f>ROUND(C132/1000,0)</f>
        <v>175</v>
      </c>
      <c r="K132" s="433">
        <f>ROUND(D132/1000,0)</f>
        <v>175</v>
      </c>
      <c r="L132" s="81">
        <f t="shared" si="21"/>
        <v>100</v>
      </c>
      <c r="M132" s="81">
        <f t="shared" si="31"/>
        <v>100</v>
      </c>
      <c r="N132" s="433">
        <f>K132-'[22]Oktobris'!K131</f>
        <v>0</v>
      </c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</row>
    <row r="133" spans="1:14" ht="12.75">
      <c r="A133" s="422" t="s">
        <v>267</v>
      </c>
      <c r="B133" s="441" t="s">
        <v>268</v>
      </c>
      <c r="C133" s="441" t="s">
        <v>268</v>
      </c>
      <c r="D133" s="420">
        <f>D134+D135</f>
        <v>0</v>
      </c>
      <c r="E133" s="441" t="s">
        <v>268</v>
      </c>
      <c r="F133" s="441" t="s">
        <v>268</v>
      </c>
      <c r="G133" s="419"/>
      <c r="H133" s="422" t="s">
        <v>267</v>
      </c>
      <c r="I133" s="441" t="s">
        <v>268</v>
      </c>
      <c r="J133" s="441" t="s">
        <v>268</v>
      </c>
      <c r="K133" s="420">
        <f>K134+K135</f>
        <v>0</v>
      </c>
      <c r="L133" s="441" t="s">
        <v>268</v>
      </c>
      <c r="M133" s="441" t="s">
        <v>268</v>
      </c>
      <c r="N133" s="420">
        <v>0</v>
      </c>
    </row>
    <row r="134" spans="1:14" ht="12.75">
      <c r="A134" s="432" t="s">
        <v>256</v>
      </c>
      <c r="B134" s="442" t="s">
        <v>268</v>
      </c>
      <c r="C134" s="442" t="s">
        <v>268</v>
      </c>
      <c r="D134" s="433"/>
      <c r="E134" s="442" t="s">
        <v>268</v>
      </c>
      <c r="F134" s="442" t="s">
        <v>268</v>
      </c>
      <c r="G134" s="419"/>
      <c r="H134" s="432" t="s">
        <v>256</v>
      </c>
      <c r="I134" s="442" t="s">
        <v>268</v>
      </c>
      <c r="J134" s="442" t="s">
        <v>268</v>
      </c>
      <c r="K134" s="433">
        <f>ROUND(D134/1000,0)</f>
        <v>0</v>
      </c>
      <c r="L134" s="442" t="s">
        <v>268</v>
      </c>
      <c r="M134" s="442" t="s">
        <v>268</v>
      </c>
      <c r="N134" s="433">
        <v>0</v>
      </c>
    </row>
    <row r="135" spans="1:14" ht="12.75">
      <c r="A135" s="432" t="s">
        <v>257</v>
      </c>
      <c r="B135" s="442" t="s">
        <v>268</v>
      </c>
      <c r="C135" s="442" t="s">
        <v>268</v>
      </c>
      <c r="D135" s="433"/>
      <c r="E135" s="442" t="s">
        <v>268</v>
      </c>
      <c r="F135" s="442" t="s">
        <v>268</v>
      </c>
      <c r="G135" s="419"/>
      <c r="H135" s="432" t="s">
        <v>257</v>
      </c>
      <c r="I135" s="442" t="s">
        <v>268</v>
      </c>
      <c r="J135" s="442" t="s">
        <v>268</v>
      </c>
      <c r="K135" s="433">
        <f>ROUND(D135/1000,0)</f>
        <v>0</v>
      </c>
      <c r="L135" s="442" t="s">
        <v>268</v>
      </c>
      <c r="M135" s="442" t="s">
        <v>268</v>
      </c>
      <c r="N135" s="433">
        <v>0</v>
      </c>
    </row>
    <row r="136" ht="12.75">
      <c r="H136" s="38" t="s">
        <v>339</v>
      </c>
    </row>
    <row r="141" spans="8:14" ht="12.75">
      <c r="H141" s="845" t="s">
        <v>561</v>
      </c>
      <c r="I141" s="845"/>
      <c r="J141" s="845"/>
      <c r="K141" s="845"/>
      <c r="L141" s="845"/>
      <c r="M141" s="845"/>
      <c r="N141" s="845"/>
    </row>
    <row r="143" spans="8:14" ht="12.75">
      <c r="H143" s="1"/>
      <c r="I143" s="1"/>
      <c r="J143" s="1"/>
      <c r="K143" s="1"/>
      <c r="L143" s="1"/>
      <c r="M143" s="1"/>
      <c r="N143" s="1"/>
    </row>
    <row r="144" spans="8:14" ht="12.75">
      <c r="H144" s="1" t="s">
        <v>923</v>
      </c>
      <c r="I144" s="1"/>
      <c r="J144" s="1"/>
      <c r="K144" s="1"/>
      <c r="L144" s="1"/>
      <c r="M144" s="1"/>
      <c r="N144" s="1"/>
    </row>
    <row r="145" spans="8:14" ht="12.75">
      <c r="H145" s="1" t="s">
        <v>340</v>
      </c>
      <c r="I145" s="1"/>
      <c r="J145" s="1"/>
      <c r="K145" s="1"/>
      <c r="L145" s="1"/>
      <c r="M145" s="1"/>
      <c r="N145" s="1"/>
    </row>
    <row r="146" spans="8:14" ht="12.75">
      <c r="H146" s="1"/>
      <c r="I146" s="1"/>
      <c r="J146" s="1"/>
      <c r="K146" s="1"/>
      <c r="L146" s="1"/>
      <c r="M146" s="1"/>
      <c r="N146" s="1"/>
    </row>
    <row r="147" spans="9:14" ht="12.75">
      <c r="I147" s="1"/>
      <c r="J147" s="1"/>
      <c r="K147" s="1"/>
      <c r="L147" s="1"/>
      <c r="M147" s="1"/>
      <c r="N147" s="1"/>
    </row>
    <row r="148" spans="9:14" ht="12.75">
      <c r="I148" s="1"/>
      <c r="J148" s="1"/>
      <c r="K148" s="1"/>
      <c r="L148" s="1"/>
      <c r="M148" s="1"/>
      <c r="N148" s="1"/>
    </row>
    <row r="149" spans="8:14" ht="12.75">
      <c r="H149" s="1"/>
      <c r="I149" s="1"/>
      <c r="J149" s="1"/>
      <c r="K149" s="1"/>
      <c r="L149" s="1"/>
      <c r="M149" s="1"/>
      <c r="N149" s="1"/>
    </row>
    <row r="150" spans="8:14" ht="12.75">
      <c r="H150" s="1"/>
      <c r="I150" s="1"/>
      <c r="J150" s="1"/>
      <c r="K150" s="1"/>
      <c r="L150" s="1"/>
      <c r="M150" s="1"/>
      <c r="N150" s="1"/>
    </row>
    <row r="151" spans="9:14" ht="12.75">
      <c r="I151" s="1"/>
      <c r="J151" s="1"/>
      <c r="K151" s="1"/>
      <c r="L151" s="1"/>
      <c r="M151" s="1"/>
      <c r="N151" s="1"/>
    </row>
    <row r="152" spans="9:14" ht="12.75">
      <c r="I152" s="1"/>
      <c r="J152" s="1"/>
      <c r="K152" s="1"/>
      <c r="L152" s="1"/>
      <c r="M152" s="1"/>
      <c r="N152" s="1"/>
    </row>
    <row r="153" spans="8:14" ht="12.75">
      <c r="H153" s="1"/>
      <c r="I153" s="1"/>
      <c r="J153" s="1"/>
      <c r="K153" s="1"/>
      <c r="L153" s="1"/>
      <c r="M153" s="1"/>
      <c r="N153" s="1"/>
    </row>
    <row r="154" spans="8:14" ht="12.75">
      <c r="H154" s="1"/>
      <c r="I154" s="1"/>
      <c r="J154" s="1"/>
      <c r="K154" s="1"/>
      <c r="L154" s="1"/>
      <c r="M154" s="1"/>
      <c r="N154" s="1"/>
    </row>
    <row r="155" spans="9:14" ht="12.75">
      <c r="I155" s="1"/>
      <c r="J155" s="1"/>
      <c r="K155" s="1"/>
      <c r="L155" s="1"/>
      <c r="M155" s="1"/>
      <c r="N155" s="1"/>
    </row>
    <row r="156" spans="9:14" ht="12.75">
      <c r="I156" s="1"/>
      <c r="J156" s="1"/>
      <c r="K156" s="1"/>
      <c r="L156" s="1"/>
      <c r="M156" s="1"/>
      <c r="N156" s="1"/>
    </row>
    <row r="157" spans="8:14" ht="12.75">
      <c r="H157" s="1"/>
      <c r="I157" s="1"/>
      <c r="J157" s="1"/>
      <c r="K157" s="1"/>
      <c r="L157" s="1"/>
      <c r="M157" s="1"/>
      <c r="N157" s="1"/>
    </row>
    <row r="158" spans="8:14" ht="12.75">
      <c r="H158" s="1"/>
      <c r="I158" s="1"/>
      <c r="J158" s="1"/>
      <c r="K158" s="1"/>
      <c r="L158" s="1"/>
      <c r="M158" s="1"/>
      <c r="N158" s="1"/>
    </row>
    <row r="159" spans="8:14" ht="12.75">
      <c r="H159" s="1"/>
      <c r="I159" s="1"/>
      <c r="J159" s="1"/>
      <c r="K159" s="1"/>
      <c r="L159" s="1"/>
      <c r="M159" s="1"/>
      <c r="N159" s="1"/>
    </row>
    <row r="160" spans="8:14" ht="12.75">
      <c r="H160" s="1"/>
      <c r="I160" s="1"/>
      <c r="J160" s="1"/>
      <c r="K160" s="1"/>
      <c r="L160" s="1"/>
      <c r="M160" s="1"/>
      <c r="N160" s="1"/>
    </row>
    <row r="161" spans="8:14" ht="12.75">
      <c r="H161" s="1"/>
      <c r="I161" s="1"/>
      <c r="J161" s="1"/>
      <c r="K161" s="1"/>
      <c r="L161" s="1"/>
      <c r="M161" s="1"/>
      <c r="N161" s="1"/>
    </row>
    <row r="162" spans="8:14" ht="12.75">
      <c r="H162" s="1"/>
      <c r="I162" s="1"/>
      <c r="J162" s="1"/>
      <c r="K162" s="1"/>
      <c r="L162" s="1"/>
      <c r="M162" s="1"/>
      <c r="N162" s="1"/>
    </row>
    <row r="163" spans="8:14" ht="12.75">
      <c r="H163" s="1"/>
      <c r="I163" s="1"/>
      <c r="J163" s="1"/>
      <c r="K163" s="1"/>
      <c r="L163" s="1"/>
      <c r="M163" s="1"/>
      <c r="N163" s="1"/>
    </row>
    <row r="164" spans="8:14" ht="12.75">
      <c r="H164" s="1"/>
      <c r="I164" s="1"/>
      <c r="J164" s="1"/>
      <c r="K164" s="1"/>
      <c r="L164" s="1"/>
      <c r="M164" s="1"/>
      <c r="N164" s="1"/>
    </row>
    <row r="165" spans="8:14" ht="12.75">
      <c r="H165" s="1"/>
      <c r="I165" s="1"/>
      <c r="J165" s="1"/>
      <c r="K165" s="1"/>
      <c r="L165" s="1"/>
      <c r="M165" s="1"/>
      <c r="N165" s="1"/>
    </row>
    <row r="166" spans="8:14" ht="12.75">
      <c r="H166" s="1"/>
      <c r="I166" s="1"/>
      <c r="J166" s="1"/>
      <c r="K166" s="1"/>
      <c r="L166" s="1"/>
      <c r="M166" s="1"/>
      <c r="N166" s="1"/>
    </row>
    <row r="167" spans="8:14" ht="12.75">
      <c r="H167" s="1"/>
      <c r="I167" s="1"/>
      <c r="J167" s="1"/>
      <c r="K167" s="1"/>
      <c r="L167" s="1"/>
      <c r="M167" s="1"/>
      <c r="N167" s="1"/>
    </row>
    <row r="168" spans="8:14" ht="12.75">
      <c r="H168" s="1"/>
      <c r="I168" s="1"/>
      <c r="J168" s="1"/>
      <c r="K168" s="1"/>
      <c r="L168" s="1"/>
      <c r="M168" s="1"/>
      <c r="N168" s="1"/>
    </row>
    <row r="169" spans="8:14" ht="12.75">
      <c r="H169" s="1"/>
      <c r="I169" s="1"/>
      <c r="J169" s="1"/>
      <c r="K169" s="1"/>
      <c r="L169" s="1"/>
      <c r="M169" s="1"/>
      <c r="N169" s="1"/>
    </row>
    <row r="170" spans="8:14" ht="12.75">
      <c r="H170" s="1"/>
      <c r="I170" s="1"/>
      <c r="J170" s="1"/>
      <c r="K170" s="1"/>
      <c r="L170" s="1"/>
      <c r="M170" s="1"/>
      <c r="N170" s="1"/>
    </row>
    <row r="171" spans="8:14" ht="12.75">
      <c r="H171" s="1"/>
      <c r="I171" s="1"/>
      <c r="J171" s="1"/>
      <c r="K171" s="1"/>
      <c r="L171" s="1"/>
      <c r="M171" s="1"/>
      <c r="N171" s="1"/>
    </row>
    <row r="172" spans="8:14" ht="12.75">
      <c r="H172" s="1"/>
      <c r="I172" s="1"/>
      <c r="J172" s="1"/>
      <c r="K172" s="1"/>
      <c r="L172" s="1"/>
      <c r="M172" s="1"/>
      <c r="N172" s="1"/>
    </row>
    <row r="173" spans="8:14" ht="12.75">
      <c r="H173" s="1"/>
      <c r="I173" s="1"/>
      <c r="J173" s="1"/>
      <c r="K173" s="1"/>
      <c r="L173" s="1"/>
      <c r="M173" s="1"/>
      <c r="N173" s="1"/>
    </row>
    <row r="174" spans="8:14" ht="12.75">
      <c r="H174" s="1"/>
      <c r="I174" s="1"/>
      <c r="J174" s="1"/>
      <c r="K174" s="1"/>
      <c r="L174" s="1"/>
      <c r="M174" s="1"/>
      <c r="N174" s="1"/>
    </row>
    <row r="175" spans="8:14" ht="12.75">
      <c r="H175" s="1"/>
      <c r="I175" s="1"/>
      <c r="J175" s="1"/>
      <c r="K175" s="1"/>
      <c r="L175" s="1"/>
      <c r="M175" s="1"/>
      <c r="N175" s="1"/>
    </row>
    <row r="176" spans="8:14" ht="12.75">
      <c r="H176" s="1"/>
      <c r="I176" s="1"/>
      <c r="J176" s="1"/>
      <c r="K176" s="1"/>
      <c r="L176" s="1"/>
      <c r="M176" s="1"/>
      <c r="N176" s="1"/>
    </row>
    <row r="177" spans="8:14" ht="12.75">
      <c r="H177" s="1"/>
      <c r="I177" s="1"/>
      <c r="J177" s="1"/>
      <c r="K177" s="1"/>
      <c r="L177" s="1"/>
      <c r="M177" s="1"/>
      <c r="N177" s="1"/>
    </row>
    <row r="178" spans="8:14" ht="12.75">
      <c r="H178" s="1"/>
      <c r="I178" s="1"/>
      <c r="J178" s="1"/>
      <c r="K178" s="1"/>
      <c r="L178" s="1"/>
      <c r="M178" s="1"/>
      <c r="N178" s="1"/>
    </row>
    <row r="179" spans="8:14" ht="12.75">
      <c r="H179" s="1"/>
      <c r="I179" s="1"/>
      <c r="J179" s="1"/>
      <c r="K179" s="1"/>
      <c r="L179" s="1"/>
      <c r="M179" s="1"/>
      <c r="N179" s="1"/>
    </row>
    <row r="180" spans="8:14" ht="12.75">
      <c r="H180" s="1"/>
      <c r="I180" s="1"/>
      <c r="J180" s="1"/>
      <c r="K180" s="1"/>
      <c r="L180" s="1"/>
      <c r="M180" s="1"/>
      <c r="N180" s="1"/>
    </row>
    <row r="181" spans="8:14" ht="12.75">
      <c r="H181" s="1"/>
      <c r="I181" s="1"/>
      <c r="J181" s="1"/>
      <c r="K181" s="1"/>
      <c r="L181" s="1"/>
      <c r="M181" s="1"/>
      <c r="N181" s="1"/>
    </row>
    <row r="182" spans="8:14" ht="12.75">
      <c r="H182" s="1"/>
      <c r="I182" s="1"/>
      <c r="J182" s="1"/>
      <c r="K182" s="1"/>
      <c r="L182" s="1"/>
      <c r="M182" s="1"/>
      <c r="N182" s="1"/>
    </row>
    <row r="183" spans="8:14" ht="12.75">
      <c r="H183" s="1"/>
      <c r="I183" s="1"/>
      <c r="J183" s="1"/>
      <c r="K183" s="1"/>
      <c r="L183" s="1"/>
      <c r="M183" s="1"/>
      <c r="N183" s="1"/>
    </row>
    <row r="184" spans="8:14" ht="12.75">
      <c r="H184" s="1"/>
      <c r="I184" s="1"/>
      <c r="J184" s="1"/>
      <c r="K184" s="1"/>
      <c r="L184" s="1"/>
      <c r="M184" s="1"/>
      <c r="N184" s="1"/>
    </row>
    <row r="185" spans="8:14" ht="12.75">
      <c r="H185" s="1"/>
      <c r="I185" s="1"/>
      <c r="J185" s="1"/>
      <c r="K185" s="1"/>
      <c r="L185" s="1"/>
      <c r="M185" s="1"/>
      <c r="N185" s="1"/>
    </row>
    <row r="186" spans="8:14" ht="12.75">
      <c r="H186" s="1"/>
      <c r="I186" s="1"/>
      <c r="J186" s="1"/>
      <c r="K186" s="1"/>
      <c r="L186" s="1"/>
      <c r="M186" s="1"/>
      <c r="N186" s="1"/>
    </row>
    <row r="187" spans="8:14" ht="12.75">
      <c r="H187" s="1"/>
      <c r="I187" s="1"/>
      <c r="J187" s="1"/>
      <c r="K187" s="1"/>
      <c r="L187" s="1"/>
      <c r="M187" s="1"/>
      <c r="N187" s="1"/>
    </row>
    <row r="188" spans="8:14" ht="12.75">
      <c r="H188" s="1"/>
      <c r="I188" s="1"/>
      <c r="J188" s="1"/>
      <c r="K188" s="1"/>
      <c r="L188" s="1"/>
      <c r="M188" s="1"/>
      <c r="N188" s="1"/>
    </row>
    <row r="189" spans="8:14" ht="12.75">
      <c r="H189" s="1"/>
      <c r="I189" s="1"/>
      <c r="J189" s="1"/>
      <c r="K189" s="1"/>
      <c r="L189" s="1"/>
      <c r="M189" s="1"/>
      <c r="N189" s="1"/>
    </row>
    <row r="190" spans="8:14" ht="12.75">
      <c r="H190" s="1"/>
      <c r="I190" s="1"/>
      <c r="J190" s="1"/>
      <c r="K190" s="1"/>
      <c r="L190" s="1"/>
      <c r="M190" s="1"/>
      <c r="N190" s="1"/>
    </row>
    <row r="191" spans="8:14" ht="12.75">
      <c r="H191" s="1"/>
      <c r="I191" s="1"/>
      <c r="J191" s="1"/>
      <c r="K191" s="1"/>
      <c r="L191" s="1"/>
      <c r="M191" s="1"/>
      <c r="N191" s="1"/>
    </row>
    <row r="192" spans="8:14" ht="12.75">
      <c r="H192" s="1"/>
      <c r="I192" s="1"/>
      <c r="J192" s="1"/>
      <c r="K192" s="1"/>
      <c r="L192" s="1"/>
      <c r="M192" s="1"/>
      <c r="N192" s="1"/>
    </row>
    <row r="193" spans="8:14" ht="12.75">
      <c r="H193" s="1"/>
      <c r="I193" s="1"/>
      <c r="J193" s="1"/>
      <c r="K193" s="1"/>
      <c r="L193" s="1"/>
      <c r="M193" s="1"/>
      <c r="N193" s="1"/>
    </row>
    <row r="194" spans="8:14" ht="12.75">
      <c r="H194" s="1"/>
      <c r="I194" s="1"/>
      <c r="J194" s="1"/>
      <c r="K194" s="1"/>
      <c r="L194" s="1"/>
      <c r="M194" s="1"/>
      <c r="N194" s="1"/>
    </row>
    <row r="195" spans="8:14" ht="12.75">
      <c r="H195" s="1"/>
      <c r="I195" s="1"/>
      <c r="J195" s="1"/>
      <c r="K195" s="1"/>
      <c r="L195" s="1"/>
      <c r="M195" s="1"/>
      <c r="N195" s="1"/>
    </row>
    <row r="196" spans="8:14" ht="12.75">
      <c r="H196" s="1"/>
      <c r="I196" s="1"/>
      <c r="J196" s="1"/>
      <c r="K196" s="1"/>
      <c r="L196" s="1"/>
      <c r="M196" s="1"/>
      <c r="N196" s="1"/>
    </row>
    <row r="197" spans="8:14" ht="12.75">
      <c r="H197" s="1"/>
      <c r="I197" s="1"/>
      <c r="J197" s="1"/>
      <c r="K197" s="1"/>
      <c r="L197" s="1"/>
      <c r="M197" s="1"/>
      <c r="N197" s="1"/>
    </row>
    <row r="198" spans="8:14" ht="12.75">
      <c r="H198" s="1"/>
      <c r="I198" s="1"/>
      <c r="J198" s="1"/>
      <c r="K198" s="1"/>
      <c r="L198" s="1"/>
      <c r="M198" s="1"/>
      <c r="N198" s="1"/>
    </row>
    <row r="199" spans="8:14" ht="12.75">
      <c r="H199" s="1"/>
      <c r="I199" s="1"/>
      <c r="J199" s="1"/>
      <c r="K199" s="1"/>
      <c r="L199" s="1"/>
      <c r="M199" s="1"/>
      <c r="N199" s="1"/>
    </row>
    <row r="200" spans="8:14" ht="12.75">
      <c r="H200" s="1"/>
      <c r="I200" s="1"/>
      <c r="J200" s="1"/>
      <c r="K200" s="1"/>
      <c r="L200" s="1"/>
      <c r="M200" s="1"/>
      <c r="N200" s="1"/>
    </row>
    <row r="201" spans="8:14" ht="12.75">
      <c r="H201" s="1"/>
      <c r="I201" s="1"/>
      <c r="J201" s="1"/>
      <c r="K201" s="1"/>
      <c r="L201" s="1"/>
      <c r="M201" s="1"/>
      <c r="N201" s="1"/>
    </row>
    <row r="202" spans="8:14" ht="12.75">
      <c r="H202" s="1"/>
      <c r="I202" s="1"/>
      <c r="J202" s="1"/>
      <c r="K202" s="1"/>
      <c r="L202" s="1"/>
      <c r="M202" s="1"/>
      <c r="N202" s="1"/>
    </row>
    <row r="203" spans="8:14" ht="12.75">
      <c r="H203" s="1"/>
      <c r="I203" s="1"/>
      <c r="J203" s="1"/>
      <c r="K203" s="1"/>
      <c r="L203" s="1"/>
      <c r="M203" s="1"/>
      <c r="N203" s="1"/>
    </row>
    <row r="204" spans="8:14" ht="12.75">
      <c r="H204" s="1"/>
      <c r="I204" s="1"/>
      <c r="J204" s="1"/>
      <c r="K204" s="1"/>
      <c r="L204" s="1"/>
      <c r="M204" s="1"/>
      <c r="N204" s="1"/>
    </row>
    <row r="205" spans="8:14" ht="12.75">
      <c r="H205" s="1"/>
      <c r="I205" s="1"/>
      <c r="J205" s="1"/>
      <c r="K205" s="1"/>
      <c r="L205" s="1"/>
      <c r="M205" s="1"/>
      <c r="N205" s="1"/>
    </row>
    <row r="206" spans="8:14" ht="12.75">
      <c r="H206" s="1"/>
      <c r="I206" s="1"/>
      <c r="J206" s="1"/>
      <c r="K206" s="1"/>
      <c r="L206" s="1"/>
      <c r="M206" s="1"/>
      <c r="N206" s="1"/>
    </row>
    <row r="207" spans="8:14" ht="12.75">
      <c r="H207" s="1"/>
      <c r="I207" s="1"/>
      <c r="J207" s="1"/>
      <c r="K207" s="1"/>
      <c r="L207" s="1"/>
      <c r="M207" s="1"/>
      <c r="N207" s="1"/>
    </row>
    <row r="208" spans="8:14" ht="12.75">
      <c r="H208" s="1"/>
      <c r="I208" s="1"/>
      <c r="J208" s="1"/>
      <c r="K208" s="1"/>
      <c r="L208" s="1"/>
      <c r="M208" s="1"/>
      <c r="N208" s="1"/>
    </row>
    <row r="209" spans="8:14" ht="12.75">
      <c r="H209" s="1"/>
      <c r="I209" s="1"/>
      <c r="J209" s="1"/>
      <c r="K209" s="1"/>
      <c r="L209" s="1"/>
      <c r="M209" s="1"/>
      <c r="N209" s="1"/>
    </row>
    <row r="210" spans="8:14" ht="12.75">
      <c r="H210" s="1"/>
      <c r="I210" s="1"/>
      <c r="J210" s="1"/>
      <c r="K210" s="1"/>
      <c r="L210" s="1"/>
      <c r="M210" s="1"/>
      <c r="N210" s="1"/>
    </row>
    <row r="211" spans="8:14" ht="12.75">
      <c r="H211" s="1"/>
      <c r="I211" s="1"/>
      <c r="J211" s="1"/>
      <c r="K211" s="1"/>
      <c r="L211" s="1"/>
      <c r="M211" s="1"/>
      <c r="N211" s="1"/>
    </row>
    <row r="212" spans="8:14" ht="12.75">
      <c r="H212" s="1"/>
      <c r="I212" s="1"/>
      <c r="J212" s="1"/>
      <c r="K212" s="1"/>
      <c r="L212" s="1"/>
      <c r="M212" s="1"/>
      <c r="N212" s="1"/>
    </row>
    <row r="213" spans="8:14" ht="12.75">
      <c r="H213" s="1"/>
      <c r="I213" s="1"/>
      <c r="J213" s="1"/>
      <c r="K213" s="1"/>
      <c r="L213" s="1"/>
      <c r="M213" s="1"/>
      <c r="N213" s="1"/>
    </row>
    <row r="214" spans="8:14" ht="12.75">
      <c r="H214" s="1"/>
      <c r="I214" s="1"/>
      <c r="J214" s="1"/>
      <c r="K214" s="1"/>
      <c r="L214" s="1"/>
      <c r="M214" s="1"/>
      <c r="N214" s="1"/>
    </row>
    <row r="215" spans="8:14" ht="12.75">
      <c r="H215" s="1"/>
      <c r="I215" s="1"/>
      <c r="J215" s="1"/>
      <c r="K215" s="1"/>
      <c r="L215" s="1"/>
      <c r="M215" s="1"/>
      <c r="N215" s="1"/>
    </row>
    <row r="216" spans="8:14" ht="12.75">
      <c r="H216" s="1"/>
      <c r="I216" s="1"/>
      <c r="J216" s="1"/>
      <c r="K216" s="1"/>
      <c r="L216" s="1"/>
      <c r="M216" s="1"/>
      <c r="N216" s="1"/>
    </row>
    <row r="217" spans="8:14" ht="12.75">
      <c r="H217" s="1"/>
      <c r="I217" s="1"/>
      <c r="J217" s="1"/>
      <c r="K217" s="1"/>
      <c r="L217" s="1"/>
      <c r="M217" s="1"/>
      <c r="N217" s="1"/>
    </row>
    <row r="218" spans="8:14" ht="12.75">
      <c r="H218" s="1"/>
      <c r="I218" s="1"/>
      <c r="J218" s="1"/>
      <c r="K218" s="1"/>
      <c r="L218" s="1"/>
      <c r="M218" s="1"/>
      <c r="N218" s="1"/>
    </row>
    <row r="219" spans="1:14" ht="12.75">
      <c r="A219" s="1"/>
      <c r="B219" s="1"/>
      <c r="C219" s="1"/>
      <c r="D219" s="1"/>
      <c r="E219" s="1"/>
      <c r="F219" s="1"/>
      <c r="H219" s="1"/>
      <c r="I219" s="1"/>
      <c r="J219" s="1"/>
      <c r="K219" s="1"/>
      <c r="L219" s="1"/>
      <c r="M219" s="1"/>
      <c r="N219" s="1"/>
    </row>
    <row r="220" spans="1:14" ht="12.75">
      <c r="A220" s="1"/>
      <c r="B220" s="1"/>
      <c r="C220" s="1"/>
      <c r="D220" s="1"/>
      <c r="E220" s="1"/>
      <c r="F220" s="1"/>
      <c r="H220" s="1"/>
      <c r="I220" s="1"/>
      <c r="J220" s="1"/>
      <c r="K220" s="1"/>
      <c r="L220" s="1"/>
      <c r="M220" s="1"/>
      <c r="N220" s="1"/>
    </row>
    <row r="221" spans="1:14" ht="12.75">
      <c r="A221" s="1"/>
      <c r="B221" s="1"/>
      <c r="C221" s="1"/>
      <c r="D221" s="1"/>
      <c r="E221" s="1"/>
      <c r="F221" s="1"/>
      <c r="H221" s="1"/>
      <c r="I221" s="1"/>
      <c r="J221" s="1"/>
      <c r="K221" s="1"/>
      <c r="L221" s="1"/>
      <c r="M221" s="1"/>
      <c r="N221" s="1"/>
    </row>
    <row r="222" spans="1:14" ht="12.75">
      <c r="A222" s="1"/>
      <c r="B222" s="1"/>
      <c r="C222" s="1"/>
      <c r="D222" s="1"/>
      <c r="E222" s="1"/>
      <c r="F222" s="1"/>
      <c r="H222" s="1"/>
      <c r="I222" s="1"/>
      <c r="J222" s="1"/>
      <c r="K222" s="1"/>
      <c r="L222" s="1"/>
      <c r="M222" s="1"/>
      <c r="N222" s="1"/>
    </row>
    <row r="223" spans="1:14" ht="12.75">
      <c r="A223" s="1"/>
      <c r="B223" s="1"/>
      <c r="C223" s="1"/>
      <c r="D223" s="1"/>
      <c r="E223" s="1"/>
      <c r="F223" s="1"/>
      <c r="H223" s="1"/>
      <c r="I223" s="1"/>
      <c r="J223" s="1"/>
      <c r="K223" s="1"/>
      <c r="L223" s="1"/>
      <c r="M223" s="1"/>
      <c r="N223" s="1"/>
    </row>
    <row r="224" spans="1:14" ht="12.75">
      <c r="A224" s="1"/>
      <c r="B224" s="1"/>
      <c r="C224" s="1"/>
      <c r="D224" s="1"/>
      <c r="E224" s="1"/>
      <c r="F224" s="1"/>
      <c r="H224" s="1"/>
      <c r="I224" s="1"/>
      <c r="J224" s="1"/>
      <c r="K224" s="1"/>
      <c r="L224" s="1"/>
      <c r="M224" s="1"/>
      <c r="N224" s="1"/>
    </row>
    <row r="225" spans="1:14" ht="12.75">
      <c r="A225" s="1"/>
      <c r="B225" s="1"/>
      <c r="C225" s="1"/>
      <c r="D225" s="1"/>
      <c r="E225" s="1"/>
      <c r="F225" s="1"/>
      <c r="H225" s="1"/>
      <c r="I225" s="1"/>
      <c r="J225" s="1"/>
      <c r="K225" s="1"/>
      <c r="L225" s="1"/>
      <c r="M225" s="1"/>
      <c r="N225" s="1"/>
    </row>
    <row r="226" spans="1:14" ht="12.75">
      <c r="A226" s="1"/>
      <c r="B226" s="1"/>
      <c r="C226" s="1"/>
      <c r="D226" s="1"/>
      <c r="E226" s="1"/>
      <c r="F226" s="1"/>
      <c r="H226" s="1"/>
      <c r="I226" s="1"/>
      <c r="J226" s="1"/>
      <c r="K226" s="1"/>
      <c r="L226" s="1"/>
      <c r="M226" s="1"/>
      <c r="N226" s="1"/>
    </row>
    <row r="227" spans="1:14" ht="12.75">
      <c r="A227" s="1"/>
      <c r="B227" s="1"/>
      <c r="C227" s="1"/>
      <c r="D227" s="1"/>
      <c r="E227" s="1"/>
      <c r="F227" s="1"/>
      <c r="H227" s="1"/>
      <c r="I227" s="1"/>
      <c r="J227" s="1"/>
      <c r="K227" s="1"/>
      <c r="L227" s="1"/>
      <c r="M227" s="1"/>
      <c r="N227" s="1"/>
    </row>
    <row r="228" spans="1:14" ht="12.75">
      <c r="A228" s="1"/>
      <c r="B228" s="1"/>
      <c r="C228" s="1"/>
      <c r="D228" s="1"/>
      <c r="E228" s="1"/>
      <c r="F228" s="1"/>
      <c r="H228" s="1"/>
      <c r="I228" s="1"/>
      <c r="J228" s="1"/>
      <c r="K228" s="1"/>
      <c r="L228" s="1"/>
      <c r="M228" s="1"/>
      <c r="N228" s="1"/>
    </row>
    <row r="229" spans="1:14" ht="12.75">
      <c r="A229" s="1"/>
      <c r="B229" s="1"/>
      <c r="C229" s="1"/>
      <c r="D229" s="1"/>
      <c r="E229" s="1"/>
      <c r="F229" s="1"/>
      <c r="H229" s="1"/>
      <c r="I229" s="1"/>
      <c r="J229" s="1"/>
      <c r="K229" s="1"/>
      <c r="L229" s="1"/>
      <c r="M229" s="1"/>
      <c r="N229" s="1"/>
    </row>
    <row r="230" spans="1:14" ht="12.75">
      <c r="A230" s="1"/>
      <c r="B230" s="1"/>
      <c r="C230" s="1"/>
      <c r="D230" s="1"/>
      <c r="E230" s="1"/>
      <c r="F230" s="1"/>
      <c r="H230" s="1"/>
      <c r="I230" s="1"/>
      <c r="J230" s="1"/>
      <c r="K230" s="1"/>
      <c r="L230" s="1"/>
      <c r="M230" s="1"/>
      <c r="N230" s="1"/>
    </row>
    <row r="231" spans="1:14" ht="12.75">
      <c r="A231" s="1"/>
      <c r="B231" s="1"/>
      <c r="C231" s="1"/>
      <c r="D231" s="1"/>
      <c r="E231" s="1"/>
      <c r="F231" s="1"/>
      <c r="H231" s="1"/>
      <c r="I231" s="1"/>
      <c r="J231" s="1"/>
      <c r="K231" s="1"/>
      <c r="L231" s="1"/>
      <c r="M231" s="1"/>
      <c r="N231" s="1"/>
    </row>
    <row r="232" spans="1:14" ht="12.75">
      <c r="A232" s="1"/>
      <c r="B232" s="1"/>
      <c r="C232" s="1"/>
      <c r="D232" s="1"/>
      <c r="E232" s="1"/>
      <c r="F232" s="1"/>
      <c r="H232" s="1"/>
      <c r="I232" s="1"/>
      <c r="J232" s="1"/>
      <c r="K232" s="1"/>
      <c r="L232" s="1"/>
      <c r="M232" s="1"/>
      <c r="N232" s="1"/>
    </row>
    <row r="233" spans="1:14" ht="12.75">
      <c r="A233" s="1"/>
      <c r="B233" s="1"/>
      <c r="C233" s="1"/>
      <c r="D233" s="1"/>
      <c r="E233" s="1"/>
      <c r="F233" s="1"/>
      <c r="H233" s="1"/>
      <c r="I233" s="1"/>
      <c r="J233" s="1"/>
      <c r="K233" s="1"/>
      <c r="L233" s="1"/>
      <c r="M233" s="1"/>
      <c r="N233" s="1"/>
    </row>
    <row r="234" spans="1:14" ht="12.75">
      <c r="A234" s="1"/>
      <c r="B234" s="1"/>
      <c r="C234" s="1"/>
      <c r="D234" s="1"/>
      <c r="E234" s="1"/>
      <c r="F234" s="1"/>
      <c r="H234" s="1"/>
      <c r="I234" s="1"/>
      <c r="J234" s="1"/>
      <c r="K234" s="1"/>
      <c r="L234" s="1"/>
      <c r="M234" s="1"/>
      <c r="N234" s="1"/>
    </row>
    <row r="235" spans="1:14" ht="12.75">
      <c r="A235" s="1"/>
      <c r="B235" s="1"/>
      <c r="C235" s="1"/>
      <c r="D235" s="1"/>
      <c r="E235" s="1"/>
      <c r="F235" s="1"/>
      <c r="H235" s="1"/>
      <c r="I235" s="1"/>
      <c r="J235" s="1"/>
      <c r="K235" s="1"/>
      <c r="L235" s="1"/>
      <c r="M235" s="1"/>
      <c r="N235" s="1"/>
    </row>
    <row r="236" spans="1:14" ht="12.75">
      <c r="A236" s="1"/>
      <c r="B236" s="1"/>
      <c r="C236" s="1"/>
      <c r="D236" s="1"/>
      <c r="E236" s="1"/>
      <c r="F236" s="1"/>
      <c r="H236" s="1"/>
      <c r="I236" s="1"/>
      <c r="J236" s="1"/>
      <c r="K236" s="1"/>
      <c r="L236" s="1"/>
      <c r="M236" s="1"/>
      <c r="N236" s="1"/>
    </row>
    <row r="237" spans="1:14" ht="12.75">
      <c r="A237" s="1"/>
      <c r="B237" s="1"/>
      <c r="C237" s="1"/>
      <c r="D237" s="1"/>
      <c r="E237" s="1"/>
      <c r="F237" s="1"/>
      <c r="H237" s="1"/>
      <c r="I237" s="1"/>
      <c r="J237" s="1"/>
      <c r="K237" s="1"/>
      <c r="L237" s="1"/>
      <c r="M237" s="1"/>
      <c r="N237" s="1"/>
    </row>
    <row r="238" spans="1:14" ht="12.75">
      <c r="A238" s="1"/>
      <c r="B238" s="1"/>
      <c r="C238" s="1"/>
      <c r="D238" s="1"/>
      <c r="E238" s="1"/>
      <c r="F238" s="1"/>
      <c r="H238" s="1"/>
      <c r="I238" s="1"/>
      <c r="J238" s="1"/>
      <c r="K238" s="1"/>
      <c r="L238" s="1"/>
      <c r="M238" s="1"/>
      <c r="N238" s="1"/>
    </row>
    <row r="239" spans="1:14" ht="12.75">
      <c r="A239" s="1"/>
      <c r="B239" s="1"/>
      <c r="C239" s="1"/>
      <c r="D239" s="1"/>
      <c r="E239" s="1"/>
      <c r="F239" s="1"/>
      <c r="H239" s="1"/>
      <c r="I239" s="1"/>
      <c r="J239" s="1"/>
      <c r="K239" s="1"/>
      <c r="L239" s="1"/>
      <c r="M239" s="1"/>
      <c r="N239" s="1"/>
    </row>
    <row r="240" spans="1:14" ht="12.75">
      <c r="A240" s="1"/>
      <c r="B240" s="1"/>
      <c r="C240" s="1"/>
      <c r="D240" s="1"/>
      <c r="E240" s="1"/>
      <c r="F240" s="1"/>
      <c r="H240" s="1"/>
      <c r="I240" s="1"/>
      <c r="J240" s="1"/>
      <c r="K240" s="1"/>
      <c r="L240" s="1"/>
      <c r="M240" s="1"/>
      <c r="N240" s="1"/>
    </row>
    <row r="241" spans="1:14" ht="12.75">
      <c r="A241" s="1"/>
      <c r="B241" s="1"/>
      <c r="C241" s="1"/>
      <c r="D241" s="1"/>
      <c r="E241" s="1"/>
      <c r="F241" s="1"/>
      <c r="H241" s="1"/>
      <c r="I241" s="1"/>
      <c r="J241" s="1"/>
      <c r="K241" s="1"/>
      <c r="L241" s="1"/>
      <c r="M241" s="1"/>
      <c r="N241" s="1"/>
    </row>
    <row r="242" spans="1:14" ht="12.75">
      <c r="A242" s="1"/>
      <c r="B242" s="1"/>
      <c r="C242" s="1"/>
      <c r="D242" s="1"/>
      <c r="E242" s="1"/>
      <c r="F242" s="1"/>
      <c r="H242" s="1"/>
      <c r="I242" s="1"/>
      <c r="J242" s="1"/>
      <c r="K242" s="1"/>
      <c r="L242" s="1"/>
      <c r="M242" s="1"/>
      <c r="N242" s="1"/>
    </row>
    <row r="243" spans="1:14" ht="12.75">
      <c r="A243" s="1"/>
      <c r="B243" s="1"/>
      <c r="C243" s="1"/>
      <c r="D243" s="1"/>
      <c r="E243" s="1"/>
      <c r="F243" s="1"/>
      <c r="H243" s="1"/>
      <c r="I243" s="1"/>
      <c r="J243" s="1"/>
      <c r="K243" s="1"/>
      <c r="L243" s="1"/>
      <c r="M243" s="1"/>
      <c r="N243" s="1"/>
    </row>
    <row r="244" spans="1:14" ht="12.75">
      <c r="A244" s="1"/>
      <c r="B244" s="1"/>
      <c r="C244" s="1"/>
      <c r="D244" s="1"/>
      <c r="E244" s="1"/>
      <c r="F244" s="1"/>
      <c r="H244" s="1"/>
      <c r="I244" s="1"/>
      <c r="J244" s="1"/>
      <c r="K244" s="1"/>
      <c r="L244" s="1"/>
      <c r="M244" s="1"/>
      <c r="N244" s="1"/>
    </row>
    <row r="245" spans="1:14" ht="12.75">
      <c r="A245" s="1"/>
      <c r="B245" s="1"/>
      <c r="C245" s="1"/>
      <c r="D245" s="1"/>
      <c r="E245" s="1"/>
      <c r="F245" s="1"/>
      <c r="H245" s="1"/>
      <c r="I245" s="1"/>
      <c r="J245" s="1"/>
      <c r="K245" s="1"/>
      <c r="L245" s="1"/>
      <c r="M245" s="1"/>
      <c r="N245" s="1"/>
    </row>
    <row r="246" spans="1:14" ht="12.75">
      <c r="A246" s="1"/>
      <c r="B246" s="1"/>
      <c r="C246" s="1"/>
      <c r="D246" s="1"/>
      <c r="E246" s="1"/>
      <c r="F246" s="1"/>
      <c r="H246" s="1"/>
      <c r="I246" s="1"/>
      <c r="J246" s="1"/>
      <c r="K246" s="1"/>
      <c r="L246" s="1"/>
      <c r="M246" s="1"/>
      <c r="N246" s="1"/>
    </row>
    <row r="247" spans="1:14" ht="12.75">
      <c r="A247" s="1"/>
      <c r="B247" s="1"/>
      <c r="C247" s="1"/>
      <c r="D247" s="1"/>
      <c r="E247" s="1"/>
      <c r="F247" s="1"/>
      <c r="H247" s="1"/>
      <c r="I247" s="1"/>
      <c r="J247" s="1"/>
      <c r="K247" s="1"/>
      <c r="L247" s="1"/>
      <c r="M247" s="1"/>
      <c r="N247" s="1"/>
    </row>
    <row r="248" spans="1:14" ht="12.75">
      <c r="A248" s="1"/>
      <c r="B248" s="1"/>
      <c r="C248" s="1"/>
      <c r="D248" s="1"/>
      <c r="E248" s="1"/>
      <c r="F248" s="1"/>
      <c r="H248" s="1"/>
      <c r="I248" s="1"/>
      <c r="J248" s="1"/>
      <c r="K248" s="1"/>
      <c r="L248" s="1"/>
      <c r="M248" s="1"/>
      <c r="N248" s="1"/>
    </row>
    <row r="249" spans="1:14" ht="12.75">
      <c r="A249" s="1"/>
      <c r="B249" s="1"/>
      <c r="C249" s="1"/>
      <c r="D249" s="1"/>
      <c r="E249" s="1"/>
      <c r="F249" s="1"/>
      <c r="H249" s="1"/>
      <c r="I249" s="1"/>
      <c r="J249" s="1"/>
      <c r="K249" s="1"/>
      <c r="L249" s="1"/>
      <c r="M249" s="1"/>
      <c r="N249" s="1"/>
    </row>
    <row r="250" spans="1:14" ht="12.75">
      <c r="A250" s="1"/>
      <c r="B250" s="1"/>
      <c r="C250" s="1"/>
      <c r="D250" s="1"/>
      <c r="E250" s="1"/>
      <c r="F250" s="1"/>
      <c r="H250" s="1"/>
      <c r="I250" s="1"/>
      <c r="J250" s="1"/>
      <c r="K250" s="1"/>
      <c r="L250" s="1"/>
      <c r="M250" s="1"/>
      <c r="N250" s="1"/>
    </row>
    <row r="251" spans="1:14" ht="12.75">
      <c r="A251" s="1"/>
      <c r="B251" s="1"/>
      <c r="C251" s="1"/>
      <c r="D251" s="1"/>
      <c r="E251" s="1"/>
      <c r="F251" s="1"/>
      <c r="H251" s="1"/>
      <c r="I251" s="1"/>
      <c r="J251" s="1"/>
      <c r="K251" s="1"/>
      <c r="L251" s="1"/>
      <c r="M251" s="1"/>
      <c r="N251" s="1"/>
    </row>
    <row r="252" spans="1:14" ht="12.75">
      <c r="A252" s="1"/>
      <c r="B252" s="1"/>
      <c r="C252" s="1"/>
      <c r="D252" s="1"/>
      <c r="E252" s="1"/>
      <c r="F252" s="1"/>
      <c r="H252" s="1"/>
      <c r="I252" s="1"/>
      <c r="J252" s="1"/>
      <c r="K252" s="1"/>
      <c r="L252" s="1"/>
      <c r="M252" s="1"/>
      <c r="N252" s="1"/>
    </row>
    <row r="253" spans="1:14" ht="12.75">
      <c r="A253" s="1"/>
      <c r="B253" s="1"/>
      <c r="C253" s="1"/>
      <c r="D253" s="1"/>
      <c r="E253" s="1"/>
      <c r="F253" s="1"/>
      <c r="H253" s="1"/>
      <c r="I253" s="1"/>
      <c r="J253" s="1"/>
      <c r="K253" s="1"/>
      <c r="L253" s="1"/>
      <c r="M253" s="1"/>
      <c r="N253" s="1"/>
    </row>
    <row r="254" spans="1:14" ht="12.75">
      <c r="A254" s="1"/>
      <c r="B254" s="1"/>
      <c r="C254" s="1"/>
      <c r="D254" s="1"/>
      <c r="E254" s="1"/>
      <c r="F254" s="1"/>
      <c r="H254" s="1"/>
      <c r="I254" s="1"/>
      <c r="J254" s="1"/>
      <c r="K254" s="1"/>
      <c r="L254" s="1"/>
      <c r="M254" s="1"/>
      <c r="N254" s="1"/>
    </row>
    <row r="255" spans="1:14" ht="12.75">
      <c r="A255" s="1"/>
      <c r="B255" s="1"/>
      <c r="C255" s="1"/>
      <c r="D255" s="1"/>
      <c r="E255" s="1"/>
      <c r="F255" s="1"/>
      <c r="H255" s="1"/>
      <c r="I255" s="1"/>
      <c r="J255" s="1"/>
      <c r="K255" s="1"/>
      <c r="L255" s="1"/>
      <c r="M255" s="1"/>
      <c r="N255" s="1"/>
    </row>
    <row r="256" spans="1:14" ht="12.75">
      <c r="A256" s="1"/>
      <c r="B256" s="1"/>
      <c r="C256" s="1"/>
      <c r="D256" s="1"/>
      <c r="E256" s="1"/>
      <c r="F256" s="1"/>
      <c r="H256" s="1"/>
      <c r="I256" s="1"/>
      <c r="J256" s="1"/>
      <c r="K256" s="1"/>
      <c r="L256" s="1"/>
      <c r="M256" s="1"/>
      <c r="N256" s="1"/>
    </row>
    <row r="257" spans="1:14" ht="12.75">
      <c r="A257" s="1"/>
      <c r="B257" s="1"/>
      <c r="C257" s="1"/>
      <c r="D257" s="1"/>
      <c r="E257" s="1"/>
      <c r="F257" s="1"/>
      <c r="H257" s="1"/>
      <c r="I257" s="1"/>
      <c r="J257" s="1"/>
      <c r="K257" s="1"/>
      <c r="L257" s="1"/>
      <c r="M257" s="1"/>
      <c r="N257" s="1"/>
    </row>
    <row r="258" spans="1:14" ht="12.75">
      <c r="A258" s="1"/>
      <c r="B258" s="1"/>
      <c r="C258" s="1"/>
      <c r="D258" s="1"/>
      <c r="E258" s="1"/>
      <c r="F258" s="1"/>
      <c r="H258" s="1"/>
      <c r="I258" s="1"/>
      <c r="J258" s="1"/>
      <c r="K258" s="1"/>
      <c r="L258" s="1"/>
      <c r="M258" s="1"/>
      <c r="N258" s="1"/>
    </row>
    <row r="259" spans="1:14" ht="12.75">
      <c r="A259" s="1"/>
      <c r="B259" s="1"/>
      <c r="C259" s="1"/>
      <c r="D259" s="1"/>
      <c r="E259" s="1"/>
      <c r="F259" s="1"/>
      <c r="H259" s="1"/>
      <c r="I259" s="1"/>
      <c r="J259" s="1"/>
      <c r="K259" s="1"/>
      <c r="L259" s="1"/>
      <c r="M259" s="1"/>
      <c r="N259" s="1"/>
    </row>
    <row r="260" spans="1:14" ht="12.75">
      <c r="A260" s="1"/>
      <c r="B260" s="1"/>
      <c r="C260" s="1"/>
      <c r="D260" s="1"/>
      <c r="E260" s="1"/>
      <c r="F260" s="1"/>
      <c r="H260" s="1"/>
      <c r="I260" s="1"/>
      <c r="J260" s="1"/>
      <c r="K260" s="1"/>
      <c r="L260" s="1"/>
      <c r="M260" s="1"/>
      <c r="N260" s="1"/>
    </row>
    <row r="261" spans="1:14" ht="12.75">
      <c r="A261" s="1"/>
      <c r="B261" s="1"/>
      <c r="C261" s="1"/>
      <c r="D261" s="1"/>
      <c r="E261" s="1"/>
      <c r="F261" s="1"/>
      <c r="H261" s="1"/>
      <c r="I261" s="1"/>
      <c r="J261" s="1"/>
      <c r="K261" s="1"/>
      <c r="L261" s="1"/>
      <c r="M261" s="1"/>
      <c r="N261" s="1"/>
    </row>
    <row r="262" spans="1:14" ht="12.75">
      <c r="A262" s="1"/>
      <c r="B262" s="1"/>
      <c r="C262" s="1"/>
      <c r="D262" s="1"/>
      <c r="E262" s="1"/>
      <c r="F262" s="1"/>
      <c r="H262" s="1"/>
      <c r="I262" s="1"/>
      <c r="J262" s="1"/>
      <c r="K262" s="1"/>
      <c r="L262" s="1"/>
      <c r="M262" s="1"/>
      <c r="N262" s="1"/>
    </row>
    <row r="263" spans="1:14" ht="12.75">
      <c r="A263" s="1"/>
      <c r="B263" s="1"/>
      <c r="C263" s="1"/>
      <c r="D263" s="1"/>
      <c r="E263" s="1"/>
      <c r="F263" s="1"/>
      <c r="H263" s="1"/>
      <c r="I263" s="1"/>
      <c r="J263" s="1"/>
      <c r="K263" s="1"/>
      <c r="L263" s="1"/>
      <c r="M263" s="1"/>
      <c r="N263" s="1"/>
    </row>
    <row r="264" spans="1:14" ht="12.75">
      <c r="A264" s="1"/>
      <c r="B264" s="1"/>
      <c r="C264" s="1"/>
      <c r="D264" s="1"/>
      <c r="E264" s="1"/>
      <c r="F264" s="1"/>
      <c r="H264" s="1"/>
      <c r="I264" s="1"/>
      <c r="J264" s="1"/>
      <c r="K264" s="1"/>
      <c r="L264" s="1"/>
      <c r="M264" s="1"/>
      <c r="N264" s="1"/>
    </row>
    <row r="265" spans="1:14" ht="12.75">
      <c r="A265" s="1"/>
      <c r="B265" s="1"/>
      <c r="C265" s="1"/>
      <c r="D265" s="1"/>
      <c r="E265" s="1"/>
      <c r="F265" s="1"/>
      <c r="H265" s="1"/>
      <c r="I265" s="1"/>
      <c r="J265" s="1"/>
      <c r="K265" s="1"/>
      <c r="L265" s="1"/>
      <c r="M265" s="1"/>
      <c r="N265" s="1"/>
    </row>
    <row r="266" spans="1:14" ht="12.75">
      <c r="A266" s="1"/>
      <c r="B266" s="1"/>
      <c r="C266" s="1"/>
      <c r="D266" s="1"/>
      <c r="E266" s="1"/>
      <c r="F266" s="1"/>
      <c r="H266" s="1"/>
      <c r="I266" s="1"/>
      <c r="J266" s="1"/>
      <c r="K266" s="1"/>
      <c r="L266" s="1"/>
      <c r="M266" s="1"/>
      <c r="N266" s="1"/>
    </row>
    <row r="267" spans="1:14" ht="12.75">
      <c r="A267" s="1"/>
      <c r="B267" s="1"/>
      <c r="C267" s="1"/>
      <c r="D267" s="1"/>
      <c r="E267" s="1"/>
      <c r="F267" s="1"/>
      <c r="H267" s="1"/>
      <c r="I267" s="1"/>
      <c r="J267" s="1"/>
      <c r="K267" s="1"/>
      <c r="L267" s="1"/>
      <c r="M267" s="1"/>
      <c r="N267" s="1"/>
    </row>
    <row r="268" spans="1:14" ht="12.75">
      <c r="A268" s="1"/>
      <c r="B268" s="1"/>
      <c r="C268" s="1"/>
      <c r="D268" s="1"/>
      <c r="E268" s="1"/>
      <c r="F268" s="1"/>
      <c r="H268" s="1"/>
      <c r="I268" s="1"/>
      <c r="J268" s="1"/>
      <c r="K268" s="1"/>
      <c r="L268" s="1"/>
      <c r="M268" s="1"/>
      <c r="N268" s="1"/>
    </row>
    <row r="269" spans="1:14" ht="12.75">
      <c r="A269" s="1"/>
      <c r="B269" s="1"/>
      <c r="C269" s="1"/>
      <c r="D269" s="1"/>
      <c r="E269" s="1"/>
      <c r="F269" s="1"/>
      <c r="H269" s="1"/>
      <c r="I269" s="1"/>
      <c r="J269" s="1"/>
      <c r="K269" s="1"/>
      <c r="L269" s="1"/>
      <c r="M269" s="1"/>
      <c r="N269" s="1"/>
    </row>
    <row r="270" spans="1:14" ht="12.75">
      <c r="A270" s="1"/>
      <c r="B270" s="1"/>
      <c r="C270" s="1"/>
      <c r="D270" s="1"/>
      <c r="E270" s="1"/>
      <c r="F270" s="1"/>
      <c r="H270" s="1"/>
      <c r="I270" s="1"/>
      <c r="J270" s="1"/>
      <c r="K270" s="1"/>
      <c r="L270" s="1"/>
      <c r="M270" s="1"/>
      <c r="N270" s="1"/>
    </row>
    <row r="271" spans="1:14" ht="12.75">
      <c r="A271" s="1"/>
      <c r="B271" s="1"/>
      <c r="C271" s="1"/>
      <c r="D271" s="1"/>
      <c r="E271" s="1"/>
      <c r="F271" s="1"/>
      <c r="H271" s="1"/>
      <c r="I271" s="1"/>
      <c r="J271" s="1"/>
      <c r="K271" s="1"/>
      <c r="L271" s="1"/>
      <c r="M271" s="1"/>
      <c r="N271" s="1"/>
    </row>
    <row r="272" spans="1:14" ht="12.75">
      <c r="A272" s="1"/>
      <c r="B272" s="1"/>
      <c r="C272" s="1"/>
      <c r="D272" s="1"/>
      <c r="E272" s="1"/>
      <c r="F272" s="1"/>
      <c r="H272" s="1"/>
      <c r="I272" s="1"/>
      <c r="J272" s="1"/>
      <c r="K272" s="1"/>
      <c r="L272" s="1"/>
      <c r="M272" s="1"/>
      <c r="N272" s="1"/>
    </row>
    <row r="273" spans="1:14" ht="12.75">
      <c r="A273" s="1"/>
      <c r="B273" s="1"/>
      <c r="C273" s="1"/>
      <c r="D273" s="1"/>
      <c r="E273" s="1"/>
      <c r="F273" s="1"/>
      <c r="H273" s="1"/>
      <c r="I273" s="1"/>
      <c r="J273" s="1"/>
      <c r="K273" s="1"/>
      <c r="L273" s="1"/>
      <c r="M273" s="1"/>
      <c r="N273" s="1"/>
    </row>
  </sheetData>
  <mergeCells count="1">
    <mergeCell ref="H141:N141"/>
  </mergeCells>
  <printOptions/>
  <pageMargins left="0.88" right="0.45" top="1" bottom="0.69" header="0.5" footer="0.27"/>
  <pageSetup firstPageNumber="28" useFirstPageNumber="1" horizontalDpi="600" verticalDpi="600" orientation="portrait" paperSize="9" r:id="rId1"/>
  <headerFooter alignWithMargins="0">
    <oddFooter>&amp;R&amp;8&amp;P</oddFooter>
  </headerFooter>
  <rowBreaks count="1" manualBreakCount="1">
    <brk id="51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E131"/>
  <sheetViews>
    <sheetView workbookViewId="0" topLeftCell="A1">
      <selection activeCell="A7" sqref="A7"/>
    </sheetView>
  </sheetViews>
  <sheetFormatPr defaultColWidth="9.140625" defaultRowHeight="17.25" customHeight="1"/>
  <cols>
    <col min="1" max="1" width="46.7109375" style="443" customWidth="1"/>
    <col min="2" max="2" width="8.8515625" style="443" customWidth="1"/>
    <col min="3" max="3" width="10.140625" style="443" customWidth="1"/>
    <col min="4" max="4" width="10.7109375" style="443" customWidth="1"/>
    <col min="5" max="5" width="10.421875" style="443" customWidth="1"/>
  </cols>
  <sheetData>
    <row r="1" spans="2:5" ht="17.25" customHeight="1">
      <c r="B1" s="51"/>
      <c r="C1" s="51"/>
      <c r="D1" s="51"/>
      <c r="E1" s="88" t="s">
        <v>269</v>
      </c>
    </row>
    <row r="2" spans="1:5" ht="17.25" customHeight="1">
      <c r="A2" s="855" t="s">
        <v>840</v>
      </c>
      <c r="B2" s="855"/>
      <c r="C2" s="855"/>
      <c r="D2" s="855"/>
      <c r="E2" s="855"/>
    </row>
    <row r="3" spans="1:5" ht="17.25" customHeight="1">
      <c r="A3" s="49"/>
      <c r="B3" s="49"/>
      <c r="C3" s="49"/>
      <c r="D3" s="49"/>
      <c r="E3" s="49"/>
    </row>
    <row r="4" spans="1:5" ht="31.5" customHeight="1">
      <c r="A4" s="444" t="s">
        <v>270</v>
      </c>
      <c r="B4" s="53"/>
      <c r="C4" s="51"/>
      <c r="D4" s="51"/>
      <c r="E4" s="51"/>
    </row>
    <row r="5" spans="1:5" ht="17.25" customHeight="1">
      <c r="A5" s="835" t="s">
        <v>341</v>
      </c>
      <c r="B5" s="835"/>
      <c r="C5" s="835"/>
      <c r="D5" s="835"/>
      <c r="E5" s="835"/>
    </row>
    <row r="6" spans="1:5" ht="17.25" customHeight="1">
      <c r="A6" s="445"/>
      <c r="B6" s="445"/>
      <c r="C6" s="446"/>
      <c r="D6" s="447"/>
      <c r="E6" s="448" t="s">
        <v>38</v>
      </c>
    </row>
    <row r="7" spans="1:5" ht="33.75">
      <c r="A7" s="9" t="s">
        <v>738</v>
      </c>
      <c r="B7" s="9" t="s">
        <v>271</v>
      </c>
      <c r="C7" s="9" t="s">
        <v>844</v>
      </c>
      <c r="D7" s="9" t="s">
        <v>845</v>
      </c>
      <c r="E7" s="9" t="s">
        <v>312</v>
      </c>
    </row>
    <row r="8" spans="1:5" ht="12.75">
      <c r="A8" s="9">
        <v>1</v>
      </c>
      <c r="B8" s="9">
        <v>2</v>
      </c>
      <c r="C8" s="9">
        <v>3</v>
      </c>
      <c r="D8" s="9">
        <v>4</v>
      </c>
      <c r="E8" s="9">
        <v>5</v>
      </c>
    </row>
    <row r="9" spans="1:5" ht="17.25" customHeight="1">
      <c r="A9" s="76" t="s">
        <v>272</v>
      </c>
      <c r="B9" s="358">
        <f>B17+B21</f>
        <v>441278</v>
      </c>
      <c r="C9" s="358">
        <f>C17+C21</f>
        <v>406418</v>
      </c>
      <c r="D9" s="104">
        <f aca="true" t="shared" si="0" ref="D9:D29">C9/B9*100</f>
        <v>92.10021800316353</v>
      </c>
      <c r="E9" s="358">
        <f>E17+E21</f>
        <v>39650</v>
      </c>
    </row>
    <row r="10" spans="1:5" ht="17.25" customHeight="1">
      <c r="A10" s="32" t="s">
        <v>273</v>
      </c>
      <c r="B10" s="358">
        <f>SUM(B11:B14)</f>
        <v>446903</v>
      </c>
      <c r="C10" s="358">
        <f>SUM(C11:C14)</f>
        <v>413027</v>
      </c>
      <c r="D10" s="104">
        <f t="shared" si="0"/>
        <v>92.4198315965657</v>
      </c>
      <c r="E10" s="358">
        <f>SUM(E11:E14)</f>
        <v>40503</v>
      </c>
    </row>
    <row r="11" spans="1:5" ht="12.75">
      <c r="A11" s="215" t="s">
        <v>274</v>
      </c>
      <c r="B11" s="358">
        <f>'[1]Novembris'!$G$11</f>
        <v>247283</v>
      </c>
      <c r="C11" s="358">
        <f>'[1]Novembris'!$H$11</f>
        <v>228978</v>
      </c>
      <c r="D11" s="104">
        <f t="shared" si="0"/>
        <v>92.59755017530522</v>
      </c>
      <c r="E11" s="358">
        <f>C11-'[23]Oktobris'!C11</f>
        <v>23207</v>
      </c>
    </row>
    <row r="12" spans="1:5" ht="12.75">
      <c r="A12" s="215" t="s">
        <v>275</v>
      </c>
      <c r="B12" s="358">
        <f>'[1]Novembris'!$G$22</f>
        <v>18323</v>
      </c>
      <c r="C12" s="358">
        <f>'[1]Novembris'!$H$22</f>
        <v>15968</v>
      </c>
      <c r="D12" s="104">
        <f t="shared" si="0"/>
        <v>87.14730120613436</v>
      </c>
      <c r="E12" s="358">
        <f>C12-'[23]Oktobris'!C12</f>
        <v>1178</v>
      </c>
    </row>
    <row r="13" spans="1:5" ht="12.75">
      <c r="A13" s="215" t="s">
        <v>276</v>
      </c>
      <c r="B13" s="358">
        <f>'[1]Novembris'!$G$29</f>
        <v>26113</v>
      </c>
      <c r="C13" s="358">
        <f>'[1]Novembris'!$H$29</f>
        <v>23922</v>
      </c>
      <c r="D13" s="104">
        <f t="shared" si="0"/>
        <v>91.60954313943247</v>
      </c>
      <c r="E13" s="358">
        <f>C13-'[23]Oktobris'!C13</f>
        <v>2725</v>
      </c>
    </row>
    <row r="14" spans="1:5" ht="12.75">
      <c r="A14" s="215" t="s">
        <v>277</v>
      </c>
      <c r="B14" s="358">
        <f>'[1]Novembris'!$G$30</f>
        <v>155184</v>
      </c>
      <c r="C14" s="358">
        <f>'[1]Novembris'!$H$30</f>
        <v>144159</v>
      </c>
      <c r="D14" s="104">
        <f t="shared" si="0"/>
        <v>92.89553046705846</v>
      </c>
      <c r="E14" s="358">
        <f>C14-'[23]Oktobris'!C14</f>
        <v>13393</v>
      </c>
    </row>
    <row r="15" spans="1:5" ht="25.5">
      <c r="A15" s="449" t="s">
        <v>278</v>
      </c>
      <c r="B15" s="358">
        <f>'[1]Novembris'!$G$31</f>
        <v>8857</v>
      </c>
      <c r="C15" s="358">
        <f>'[1]Novembris'!$H$31</f>
        <v>8177</v>
      </c>
      <c r="D15" s="104">
        <f t="shared" si="0"/>
        <v>92.32245681381957</v>
      </c>
      <c r="E15" s="358">
        <f>C15-'[23]Oktobris'!C15</f>
        <v>1129</v>
      </c>
    </row>
    <row r="16" spans="1:5" ht="25.5">
      <c r="A16" s="450" t="s">
        <v>279</v>
      </c>
      <c r="B16" s="358">
        <f>'[3]Novembris'!$G$34</f>
        <v>27208</v>
      </c>
      <c r="C16" s="358">
        <f>'[3]Novembris'!$H$34</f>
        <v>24906</v>
      </c>
      <c r="D16" s="104">
        <f t="shared" si="0"/>
        <v>91.53925316083505</v>
      </c>
      <c r="E16" s="358">
        <f>C16-'[23]Oktobris'!C16</f>
        <v>2305</v>
      </c>
    </row>
    <row r="17" spans="1:5" ht="12.75">
      <c r="A17" s="76" t="s">
        <v>280</v>
      </c>
      <c r="B17" s="358">
        <f>B10-B15-B16</f>
        <v>410838</v>
      </c>
      <c r="C17" s="358">
        <f>C10-C15-C16</f>
        <v>379944</v>
      </c>
      <c r="D17" s="104">
        <f t="shared" si="0"/>
        <v>92.48024768887007</v>
      </c>
      <c r="E17" s="358">
        <f>E10-E15-E16</f>
        <v>37069</v>
      </c>
    </row>
    <row r="18" spans="1:5" ht="25.5">
      <c r="A18" s="76" t="s">
        <v>281</v>
      </c>
      <c r="B18" s="358">
        <f>B19</f>
        <v>42299</v>
      </c>
      <c r="C18" s="358">
        <f>C19</f>
        <v>36973</v>
      </c>
      <c r="D18" s="104">
        <f t="shared" si="0"/>
        <v>87.40868578453392</v>
      </c>
      <c r="E18" s="358">
        <f>C18-'[23]Oktobris'!C18</f>
        <v>3127</v>
      </c>
    </row>
    <row r="19" spans="1:5" ht="25.5">
      <c r="A19" s="69" t="s">
        <v>282</v>
      </c>
      <c r="B19" s="358">
        <f>'[8]Novembris'!$B$9</f>
        <v>42299</v>
      </c>
      <c r="C19" s="358">
        <f>'[8]Novembris'!$C$9</f>
        <v>36973</v>
      </c>
      <c r="D19" s="104">
        <f t="shared" si="0"/>
        <v>87.40868578453392</v>
      </c>
      <c r="E19" s="358">
        <f>C19-'[23]Oktobris'!C19</f>
        <v>3127</v>
      </c>
    </row>
    <row r="20" spans="1:5" ht="25.5">
      <c r="A20" s="450" t="s">
        <v>283</v>
      </c>
      <c r="B20" s="358">
        <f>'[8]Novembris'!$B$10</f>
        <v>11859</v>
      </c>
      <c r="C20" s="358">
        <f>'[8]Novembris'!$C$10</f>
        <v>10499</v>
      </c>
      <c r="D20" s="104">
        <f t="shared" si="0"/>
        <v>88.5319166877477</v>
      </c>
      <c r="E20" s="358">
        <f>C20-'[23]Oktobris'!C20</f>
        <v>546</v>
      </c>
    </row>
    <row r="21" spans="1:5" ht="17.25" customHeight="1">
      <c r="A21" s="76" t="s">
        <v>284</v>
      </c>
      <c r="B21" s="358">
        <f>B18-B20</f>
        <v>30440</v>
      </c>
      <c r="C21" s="358">
        <f>C18-C20</f>
        <v>26474</v>
      </c>
      <c r="D21" s="104">
        <f t="shared" si="0"/>
        <v>86.97109067017082</v>
      </c>
      <c r="E21" s="358">
        <f>E18-E20</f>
        <v>2581</v>
      </c>
    </row>
    <row r="22" spans="1:5" ht="25.5">
      <c r="A22" s="451" t="s">
        <v>285</v>
      </c>
      <c r="B22" s="364">
        <f>SUM(B23:B25)</f>
        <v>507067</v>
      </c>
      <c r="C22" s="364">
        <f>SUM(C23:C25)</f>
        <v>432623</v>
      </c>
      <c r="D22" s="104">
        <f t="shared" si="0"/>
        <v>85.31870541762726</v>
      </c>
      <c r="E22" s="364">
        <f>SUM(E23:E25)</f>
        <v>41754</v>
      </c>
    </row>
    <row r="23" spans="1:5" ht="25.5">
      <c r="A23" s="114" t="s">
        <v>286</v>
      </c>
      <c r="B23" s="364">
        <f aca="true" t="shared" si="1" ref="B23:C25">B39+B48</f>
        <v>399403</v>
      </c>
      <c r="C23" s="364">
        <f t="shared" si="1"/>
        <v>345914</v>
      </c>
      <c r="D23" s="104">
        <f t="shared" si="0"/>
        <v>86.60776208491173</v>
      </c>
      <c r="E23" s="364">
        <f>E39+E48</f>
        <v>32238</v>
      </c>
    </row>
    <row r="24" spans="1:5" ht="25.5">
      <c r="A24" s="114" t="s">
        <v>287</v>
      </c>
      <c r="B24" s="364">
        <f t="shared" si="1"/>
        <v>46980</v>
      </c>
      <c r="C24" s="364">
        <f t="shared" si="1"/>
        <v>30048</v>
      </c>
      <c r="D24" s="104">
        <f t="shared" si="0"/>
        <v>63.959131545338444</v>
      </c>
      <c r="E24" s="364">
        <f>E40+E49</f>
        <v>6180</v>
      </c>
    </row>
    <row r="25" spans="1:5" ht="25.5">
      <c r="A25" s="114" t="s">
        <v>288</v>
      </c>
      <c r="B25" s="364">
        <f t="shared" si="1"/>
        <v>60684</v>
      </c>
      <c r="C25" s="364">
        <f t="shared" si="1"/>
        <v>56661</v>
      </c>
      <c r="D25" s="104">
        <f t="shared" si="0"/>
        <v>93.37057543998418</v>
      </c>
      <c r="E25" s="364">
        <f>E41+E50</f>
        <v>3336</v>
      </c>
    </row>
    <row r="26" spans="1:5" ht="25.5">
      <c r="A26" s="451" t="s">
        <v>289</v>
      </c>
      <c r="B26" s="364">
        <f>B9-B22</f>
        <v>-65789</v>
      </c>
      <c r="C26" s="364">
        <f>C9-C22</f>
        <v>-26205</v>
      </c>
      <c r="D26" s="104">
        <f t="shared" si="0"/>
        <v>39.831886789584885</v>
      </c>
      <c r="E26" s="364">
        <f>E9-E22</f>
        <v>-2104</v>
      </c>
    </row>
    <row r="27" spans="1:5" ht="25.5">
      <c r="A27" s="451" t="s">
        <v>290</v>
      </c>
      <c r="B27" s="364">
        <f>B43+B52</f>
        <v>-4106</v>
      </c>
      <c r="C27" s="364">
        <f>C43+C52</f>
        <v>-3166</v>
      </c>
      <c r="D27" s="104">
        <f t="shared" si="0"/>
        <v>77.10667316122746</v>
      </c>
      <c r="E27" s="364">
        <f>E43+E52</f>
        <v>-251</v>
      </c>
    </row>
    <row r="28" spans="1:5" ht="25.5">
      <c r="A28" s="451" t="s">
        <v>291</v>
      </c>
      <c r="B28" s="364">
        <f>B22+B27</f>
        <v>502961</v>
      </c>
      <c r="C28" s="364">
        <f>C22+C27</f>
        <v>429457</v>
      </c>
      <c r="D28" s="104">
        <f t="shared" si="0"/>
        <v>85.38574561447109</v>
      </c>
      <c r="E28" s="364">
        <f>E22+E27</f>
        <v>41503</v>
      </c>
    </row>
    <row r="29" spans="1:5" ht="25.5">
      <c r="A29" s="451" t="s">
        <v>292</v>
      </c>
      <c r="B29" s="364">
        <f>B9-B28</f>
        <v>-61683</v>
      </c>
      <c r="C29" s="364">
        <f>C9-C28</f>
        <v>-23039</v>
      </c>
      <c r="D29" s="104">
        <f t="shared" si="0"/>
        <v>37.35064766629379</v>
      </c>
      <c r="E29" s="364">
        <f>E9-E28</f>
        <v>-1853</v>
      </c>
    </row>
    <row r="30" spans="1:5" ht="12.75">
      <c r="A30" s="452" t="s">
        <v>293</v>
      </c>
      <c r="B30" s="453"/>
      <c r="C30" s="453"/>
      <c r="D30" s="104"/>
      <c r="E30" s="358"/>
    </row>
    <row r="31" spans="1:5" ht="25.5">
      <c r="A31" s="454" t="s">
        <v>294</v>
      </c>
      <c r="B31" s="453">
        <f>B20</f>
        <v>11859</v>
      </c>
      <c r="C31" s="453">
        <f>C20</f>
        <v>10499</v>
      </c>
      <c r="D31" s="104">
        <f aca="true" t="shared" si="2" ref="D31:D55">C31/B31*100</f>
        <v>88.5319166877477</v>
      </c>
      <c r="E31" s="358">
        <f>C31-'[23]Oktobris'!C31</f>
        <v>546</v>
      </c>
    </row>
    <row r="32" spans="1:5" ht="12.75">
      <c r="A32" s="452" t="s">
        <v>295</v>
      </c>
      <c r="B32" s="455">
        <v>10426</v>
      </c>
      <c r="C32" s="453">
        <v>6683</v>
      </c>
      <c r="D32" s="104">
        <f t="shared" si="2"/>
        <v>64.0993669671974</v>
      </c>
      <c r="E32" s="358">
        <f>C32-'[23]Oktobris'!C32</f>
        <v>862</v>
      </c>
    </row>
    <row r="33" spans="1:5" ht="12.75">
      <c r="A33" s="452" t="s">
        <v>296</v>
      </c>
      <c r="B33" s="455">
        <v>39398</v>
      </c>
      <c r="C33" s="453">
        <v>5857</v>
      </c>
      <c r="D33" s="104">
        <f t="shared" si="2"/>
        <v>14.866236864815473</v>
      </c>
      <c r="E33" s="358">
        <f>C33-'[23]Oktobris'!C33</f>
        <v>445</v>
      </c>
    </row>
    <row r="34" spans="1:5" ht="17.25" customHeight="1">
      <c r="A34" s="451" t="s">
        <v>297</v>
      </c>
      <c r="B34" s="364">
        <f>SUM(B37,B40,B41)</f>
        <v>484802</v>
      </c>
      <c r="C34" s="364">
        <f>SUM(C37,C40,C41)</f>
        <v>431090</v>
      </c>
      <c r="D34" s="104">
        <f t="shared" si="2"/>
        <v>88.92083778532268</v>
      </c>
      <c r="E34" s="364">
        <f>SUM(E37,E40,E41)</f>
        <v>41765</v>
      </c>
    </row>
    <row r="35" spans="1:5" ht="25.5">
      <c r="A35" s="456" t="s">
        <v>298</v>
      </c>
      <c r="B35" s="364">
        <f>B38</f>
        <v>36065</v>
      </c>
      <c r="C35" s="364">
        <f>C38</f>
        <v>33083</v>
      </c>
      <c r="D35" s="104">
        <f t="shared" si="2"/>
        <v>91.73159572993207</v>
      </c>
      <c r="E35" s="358">
        <f>C35-'[23]Oktobris'!C35</f>
        <v>3434</v>
      </c>
    </row>
    <row r="36" spans="1:5" ht="17.25" customHeight="1">
      <c r="A36" s="451" t="s">
        <v>299</v>
      </c>
      <c r="B36" s="364">
        <f>B34-B35</f>
        <v>448737</v>
      </c>
      <c r="C36" s="364">
        <f>C34-C35</f>
        <v>398007</v>
      </c>
      <c r="D36" s="104">
        <f t="shared" si="2"/>
        <v>88.6949371235267</v>
      </c>
      <c r="E36" s="364">
        <f>E34-E35</f>
        <v>38331</v>
      </c>
    </row>
    <row r="37" spans="1:5" ht="25.5">
      <c r="A37" s="451" t="s">
        <v>300</v>
      </c>
      <c r="B37" s="364">
        <f>'[2]Novembris'!$G$11</f>
        <v>403290</v>
      </c>
      <c r="C37" s="364">
        <f>'[2]Novembris'!$H$11</f>
        <v>355666</v>
      </c>
      <c r="D37" s="104">
        <f t="shared" si="2"/>
        <v>88.19112797242678</v>
      </c>
      <c r="E37" s="364">
        <f>C37-'[23]Oktobris'!C37</f>
        <v>36052</v>
      </c>
    </row>
    <row r="38" spans="1:5" ht="25.5">
      <c r="A38" s="450" t="s">
        <v>301</v>
      </c>
      <c r="B38" s="364">
        <f>B15+B16</f>
        <v>36065</v>
      </c>
      <c r="C38" s="364">
        <f>C15+C16</f>
        <v>33083</v>
      </c>
      <c r="D38" s="104">
        <f t="shared" si="2"/>
        <v>91.73159572993207</v>
      </c>
      <c r="E38" s="364">
        <f>C38-'[23]Oktobris'!C38</f>
        <v>3434</v>
      </c>
    </row>
    <row r="39" spans="1:5" ht="25.5">
      <c r="A39" s="69" t="s">
        <v>302</v>
      </c>
      <c r="B39" s="364">
        <f>B37-B38</f>
        <v>367225</v>
      </c>
      <c r="C39" s="364">
        <f>C37-C38</f>
        <v>322583</v>
      </c>
      <c r="D39" s="104">
        <f t="shared" si="2"/>
        <v>87.84342024644292</v>
      </c>
      <c r="E39" s="364">
        <f>E37-E38</f>
        <v>32618</v>
      </c>
    </row>
    <row r="40" spans="1:5" ht="17.25" customHeight="1">
      <c r="A40" s="69" t="s">
        <v>303</v>
      </c>
      <c r="B40" s="358">
        <f>'[2]Novembris'!$G$27</f>
        <v>24009</v>
      </c>
      <c r="C40" s="358">
        <f>'[2]Novembris'!$H$27</f>
        <v>20369</v>
      </c>
      <c r="D40" s="104">
        <f t="shared" si="2"/>
        <v>84.83901870132033</v>
      </c>
      <c r="E40" s="358">
        <f>C40-'[23]Oktobris'!C40</f>
        <v>2489</v>
      </c>
    </row>
    <row r="41" spans="1:5" ht="17.25" customHeight="1">
      <c r="A41" s="223" t="s">
        <v>304</v>
      </c>
      <c r="B41" s="358">
        <f>'[2]Novembris'!$G$28</f>
        <v>57503</v>
      </c>
      <c r="C41" s="358">
        <f>'[2]Novembris'!$H$28</f>
        <v>55055</v>
      </c>
      <c r="D41" s="104">
        <f t="shared" si="2"/>
        <v>95.74283080882736</v>
      </c>
      <c r="E41" s="358">
        <f>C41-'[23]Oktobris'!C41</f>
        <v>3224</v>
      </c>
    </row>
    <row r="42" spans="1:5" ht="38.25">
      <c r="A42" s="76" t="s">
        <v>305</v>
      </c>
      <c r="B42" s="364">
        <f>B17-B36</f>
        <v>-37899</v>
      </c>
      <c r="C42" s="364">
        <f>C17-C36</f>
        <v>-18063</v>
      </c>
      <c r="D42" s="104">
        <f t="shared" si="2"/>
        <v>47.66088815008311</v>
      </c>
      <c r="E42" s="364">
        <f>E17-E36</f>
        <v>-1262</v>
      </c>
    </row>
    <row r="43" spans="1:5" ht="12.75">
      <c r="A43" s="76" t="s">
        <v>306</v>
      </c>
      <c r="B43" s="358">
        <f>B44-B45</f>
        <v>-708</v>
      </c>
      <c r="C43" s="358">
        <f>C44-C45</f>
        <v>-450</v>
      </c>
      <c r="D43" s="104">
        <f t="shared" si="2"/>
        <v>63.559322033898304</v>
      </c>
      <c r="E43" s="358">
        <f>E44-E45</f>
        <v>-213</v>
      </c>
    </row>
    <row r="44" spans="1:5" ht="12.75">
      <c r="A44" s="69" t="s">
        <v>354</v>
      </c>
      <c r="B44" s="358">
        <f>'[2]Novembris'!$G$30</f>
        <v>129</v>
      </c>
      <c r="C44" s="358">
        <f>'[2]Novembris'!$H$30</f>
        <v>994</v>
      </c>
      <c r="D44" s="104">
        <f t="shared" si="2"/>
        <v>770.5426356589147</v>
      </c>
      <c r="E44" s="358">
        <f>C44-'[23]Oktobris'!C44</f>
        <v>314</v>
      </c>
    </row>
    <row r="45" spans="1:5" ht="12.75">
      <c r="A45" s="69" t="s">
        <v>355</v>
      </c>
      <c r="B45" s="358">
        <f>'[2]Novembris'!$G$31</f>
        <v>837</v>
      </c>
      <c r="C45" s="358">
        <f>'[2]Novembris'!$H$31</f>
        <v>1444</v>
      </c>
      <c r="D45" s="104">
        <f t="shared" si="2"/>
        <v>172.52090800477896</v>
      </c>
      <c r="E45" s="358">
        <f>C45-'[23]Oktobris'!C45</f>
        <v>527</v>
      </c>
    </row>
    <row r="46" spans="1:5" ht="25.5">
      <c r="A46" s="76" t="s">
        <v>356</v>
      </c>
      <c r="B46" s="364">
        <f>B42-B43</f>
        <v>-37191</v>
      </c>
      <c r="C46" s="364">
        <f>C42-C43</f>
        <v>-17613</v>
      </c>
      <c r="D46" s="104">
        <f t="shared" si="2"/>
        <v>47.358231830281525</v>
      </c>
      <c r="E46" s="364">
        <f>E42-E43</f>
        <v>-1049</v>
      </c>
    </row>
    <row r="47" spans="1:5" ht="25.5">
      <c r="A47" s="76" t="s">
        <v>357</v>
      </c>
      <c r="B47" s="358">
        <f>B48+B49+B50</f>
        <v>58330</v>
      </c>
      <c r="C47" s="358">
        <f>C48+C49+C50</f>
        <v>34616</v>
      </c>
      <c r="D47" s="104">
        <f t="shared" si="2"/>
        <v>59.34510543459627</v>
      </c>
      <c r="E47" s="358">
        <f>E48+E49+E50</f>
        <v>3423</v>
      </c>
    </row>
    <row r="48" spans="1:5" ht="24.75" customHeight="1">
      <c r="A48" s="69" t="s">
        <v>358</v>
      </c>
      <c r="B48" s="358">
        <f>'[9]Novembris'!$B$12</f>
        <v>32178</v>
      </c>
      <c r="C48" s="358">
        <f>'[9]Novembris'!$C$12</f>
        <v>23331</v>
      </c>
      <c r="D48" s="104">
        <f t="shared" si="2"/>
        <v>72.50606004102181</v>
      </c>
      <c r="E48" s="358">
        <f>C48-'[23]Oktobris'!C48</f>
        <v>-380</v>
      </c>
    </row>
    <row r="49" spans="1:5" ht="17.25" customHeight="1">
      <c r="A49" s="69" t="s">
        <v>359</v>
      </c>
      <c r="B49" s="358">
        <f>'[9]Novembris'!$B$28</f>
        <v>22971</v>
      </c>
      <c r="C49" s="358">
        <f>'[9]Novembris'!$C$28</f>
        <v>9679</v>
      </c>
      <c r="D49" s="104">
        <f t="shared" si="2"/>
        <v>42.1357363632406</v>
      </c>
      <c r="E49" s="358">
        <f>C49-'[23]Oktobris'!C49</f>
        <v>3691</v>
      </c>
    </row>
    <row r="50" spans="1:5" ht="12.75">
      <c r="A50" s="223" t="s">
        <v>360</v>
      </c>
      <c r="B50" s="358">
        <f>'[9]Novembris'!$B$29</f>
        <v>3181</v>
      </c>
      <c r="C50" s="358">
        <f>'[9]Novembris'!$C$29</f>
        <v>1606</v>
      </c>
      <c r="D50" s="104">
        <f t="shared" si="2"/>
        <v>50.48726815466834</v>
      </c>
      <c r="E50" s="358">
        <f>C50-'[23]Oktobris'!C50</f>
        <v>112</v>
      </c>
    </row>
    <row r="51" spans="1:5" ht="25.5">
      <c r="A51" s="76" t="s">
        <v>361</v>
      </c>
      <c r="B51" s="358">
        <f>B21-B47</f>
        <v>-27890</v>
      </c>
      <c r="C51" s="358">
        <f>C21-C47</f>
        <v>-8142</v>
      </c>
      <c r="D51" s="104">
        <f t="shared" si="2"/>
        <v>29.19325923269989</v>
      </c>
      <c r="E51" s="358">
        <f>E21-E47</f>
        <v>-842</v>
      </c>
    </row>
    <row r="52" spans="1:5" ht="17.25" customHeight="1">
      <c r="A52" s="76" t="s">
        <v>362</v>
      </c>
      <c r="B52" s="358">
        <f>B53-B54</f>
        <v>-3398</v>
      </c>
      <c r="C52" s="358">
        <f>C53-C54</f>
        <v>-2716</v>
      </c>
      <c r="D52" s="104">
        <f t="shared" si="2"/>
        <v>79.92937021777516</v>
      </c>
      <c r="E52" s="358">
        <f>E53-E54</f>
        <v>-38</v>
      </c>
    </row>
    <row r="53" spans="1:5" ht="12.75">
      <c r="A53" s="69" t="s">
        <v>363</v>
      </c>
      <c r="B53" s="358">
        <f>'[9]Novembris'!$B$31</f>
        <v>992</v>
      </c>
      <c r="C53" s="358">
        <f>'[9]Novembris'!$C$31</f>
        <v>698</v>
      </c>
      <c r="D53" s="104">
        <f t="shared" si="2"/>
        <v>70.36290322580645</v>
      </c>
      <c r="E53" s="358">
        <f>C53-'[23]Oktobris'!C53</f>
        <v>10</v>
      </c>
    </row>
    <row r="54" spans="1:5" ht="12.75">
      <c r="A54" s="69" t="s">
        <v>364</v>
      </c>
      <c r="B54" s="358">
        <f>'[9]Novembris'!$B$32</f>
        <v>4390</v>
      </c>
      <c r="C54" s="358">
        <f>'[9]Novembris'!$C$32</f>
        <v>3414</v>
      </c>
      <c r="D54" s="104">
        <f t="shared" si="2"/>
        <v>77.76765375854214</v>
      </c>
      <c r="E54" s="358">
        <f>C54-'[23]Oktobris'!C54</f>
        <v>48</v>
      </c>
    </row>
    <row r="55" spans="1:5" ht="25.5">
      <c r="A55" s="76" t="s">
        <v>365</v>
      </c>
      <c r="B55" s="358">
        <f>B51-B52</f>
        <v>-24492</v>
      </c>
      <c r="C55" s="358">
        <f>C51-C52</f>
        <v>-5426</v>
      </c>
      <c r="D55" s="104">
        <f t="shared" si="2"/>
        <v>22.154172791115467</v>
      </c>
      <c r="E55" s="358">
        <f>E51-E52</f>
        <v>-804</v>
      </c>
    </row>
    <row r="56" spans="1:5" ht="17.25" customHeight="1">
      <c r="A56" s="457"/>
      <c r="B56" s="458"/>
      <c r="C56" s="458"/>
      <c r="D56" s="459"/>
      <c r="E56" s="458"/>
    </row>
    <row r="57" spans="1:5" ht="17.25" customHeight="1">
      <c r="A57" s="259"/>
      <c r="B57" s="460"/>
      <c r="C57" s="460"/>
      <c r="D57" s="461"/>
      <c r="E57" s="460"/>
    </row>
    <row r="58" spans="1:5" ht="17.25" customHeight="1">
      <c r="A58" s="49"/>
      <c r="B58" s="49"/>
      <c r="C58" s="49"/>
      <c r="D58" s="49"/>
      <c r="E58" s="1"/>
    </row>
    <row r="59" spans="1:5" ht="17.25" customHeight="1">
      <c r="A59" s="259"/>
      <c r="B59" s="49"/>
      <c r="C59" s="49"/>
      <c r="D59" s="49"/>
      <c r="E59" s="49"/>
    </row>
    <row r="60" spans="1:5" ht="17.25" customHeight="1">
      <c r="A60" s="259"/>
      <c r="B60" s="49"/>
      <c r="C60" s="49"/>
      <c r="D60" s="49"/>
      <c r="E60" s="49"/>
    </row>
    <row r="61" spans="1:5" ht="17.25" customHeight="1">
      <c r="A61" s="41" t="s">
        <v>562</v>
      </c>
      <c r="B61" s="39"/>
      <c r="C61" s="39"/>
      <c r="D61" s="39" t="s">
        <v>959</v>
      </c>
      <c r="E61" s="49"/>
    </row>
    <row r="62" spans="1:5" ht="17.25" customHeight="1">
      <c r="A62" s="259"/>
      <c r="B62" s="49"/>
      <c r="C62" s="49"/>
      <c r="D62" s="49"/>
      <c r="E62" s="49"/>
    </row>
    <row r="63" spans="1:5" ht="17.25" customHeight="1">
      <c r="A63" s="462"/>
      <c r="B63" s="49"/>
      <c r="C63" s="49"/>
      <c r="D63" s="49"/>
      <c r="E63" s="49"/>
    </row>
    <row r="64" spans="1:5" ht="17.25" customHeight="1">
      <c r="A64" s="462"/>
      <c r="B64" s="736"/>
      <c r="C64" s="463"/>
      <c r="D64" s="49"/>
      <c r="E64" s="49"/>
    </row>
    <row r="65" spans="1:5" ht="17.25" customHeight="1">
      <c r="A65" s="49"/>
      <c r="B65" s="49"/>
      <c r="C65" s="49"/>
      <c r="D65" s="49"/>
      <c r="E65" s="49"/>
    </row>
    <row r="66" spans="1:5" ht="17.25" customHeight="1">
      <c r="A66" s="7" t="s">
        <v>134</v>
      </c>
      <c r="B66" s="49"/>
      <c r="C66" s="49"/>
      <c r="D66" s="49"/>
      <c r="E66" s="49"/>
    </row>
    <row r="67" spans="1:5" ht="17.25" customHeight="1">
      <c r="A67" s="7" t="s">
        <v>316</v>
      </c>
      <c r="B67" s="49"/>
      <c r="C67" s="49"/>
      <c r="D67" s="49"/>
      <c r="E67" s="49"/>
    </row>
    <row r="68" spans="1:5" ht="17.25" customHeight="1">
      <c r="A68" s="259"/>
      <c r="B68" s="49"/>
      <c r="C68" s="49"/>
      <c r="D68" s="49"/>
      <c r="E68" s="49"/>
    </row>
    <row r="69" spans="1:5" ht="17.25" customHeight="1">
      <c r="A69" s="259"/>
      <c r="B69" s="49"/>
      <c r="C69" s="49"/>
      <c r="D69" s="49"/>
      <c r="E69" s="49"/>
    </row>
    <row r="70" spans="1:5" ht="17.25" customHeight="1">
      <c r="A70" s="259"/>
      <c r="B70" s="49"/>
      <c r="C70" s="49"/>
      <c r="D70" s="49"/>
      <c r="E70" s="49"/>
    </row>
    <row r="71" spans="1:5" ht="17.25" customHeight="1">
      <c r="A71" s="49"/>
      <c r="B71" s="49"/>
      <c r="C71" s="49"/>
      <c r="D71" s="49"/>
      <c r="E71" s="49"/>
    </row>
    <row r="72" spans="1:5" ht="17.25" customHeight="1">
      <c r="A72" s="49"/>
      <c r="B72" s="49"/>
      <c r="C72" s="49"/>
      <c r="D72" s="49"/>
      <c r="E72" s="49"/>
    </row>
    <row r="73" spans="1:5" ht="17.25" customHeight="1">
      <c r="A73" s="49"/>
      <c r="B73" s="49"/>
      <c r="C73" s="49"/>
      <c r="D73" s="49"/>
      <c r="E73" s="49"/>
    </row>
    <row r="74" spans="1:5" ht="17.25" customHeight="1">
      <c r="A74" s="259"/>
      <c r="B74" s="49"/>
      <c r="C74" s="49"/>
      <c r="D74" s="49"/>
      <c r="E74" s="49"/>
    </row>
    <row r="75" spans="1:5" ht="17.25" customHeight="1">
      <c r="A75" s="462"/>
      <c r="B75" s="49"/>
      <c r="C75" s="49"/>
      <c r="D75" s="49"/>
      <c r="E75" s="49"/>
    </row>
    <row r="76" spans="2:5" ht="17.25" customHeight="1">
      <c r="B76" s="49"/>
      <c r="C76" s="49"/>
      <c r="D76" s="49"/>
      <c r="E76" s="49"/>
    </row>
    <row r="79" spans="1:5" ht="17.25" customHeight="1">
      <c r="A79" s="49"/>
      <c r="B79" s="49"/>
      <c r="C79" s="49"/>
      <c r="D79" s="49"/>
      <c r="E79" s="49"/>
    </row>
    <row r="80" spans="1:5" ht="17.25" customHeight="1">
      <c r="A80" s="259"/>
      <c r="B80" s="49"/>
      <c r="C80" s="49"/>
      <c r="D80" s="49"/>
      <c r="E80" s="49"/>
    </row>
    <row r="81" spans="1:5" ht="17.25" customHeight="1">
      <c r="A81" s="49"/>
      <c r="B81" s="49"/>
      <c r="C81" s="49"/>
      <c r="D81" s="49"/>
      <c r="E81" s="49"/>
    </row>
    <row r="82" spans="1:5" ht="17.25" customHeight="1">
      <c r="A82" s="49"/>
      <c r="B82" s="49"/>
      <c r="C82" s="49"/>
      <c r="D82" s="49"/>
      <c r="E82" s="49"/>
    </row>
    <row r="83" spans="1:5" ht="17.25" customHeight="1">
      <c r="A83" s="259"/>
      <c r="B83" s="49"/>
      <c r="C83" s="49"/>
      <c r="D83" s="49"/>
      <c r="E83" s="49"/>
    </row>
    <row r="84" spans="1:5" ht="17.25" customHeight="1">
      <c r="A84" s="259"/>
      <c r="B84" s="49"/>
      <c r="C84" s="49"/>
      <c r="D84" s="49"/>
      <c r="E84" s="49"/>
    </row>
    <row r="85" spans="1:5" ht="17.25" customHeight="1">
      <c r="A85" s="464"/>
      <c r="B85" s="49"/>
      <c r="C85" s="49"/>
      <c r="D85" s="49"/>
      <c r="E85" s="49"/>
    </row>
    <row r="86" ht="17.25" customHeight="1">
      <c r="A86" s="464"/>
    </row>
    <row r="87" ht="17.25" customHeight="1">
      <c r="A87" s="464"/>
    </row>
    <row r="88" ht="17.25" customHeight="1">
      <c r="A88" s="464"/>
    </row>
    <row r="89" ht="17.25" customHeight="1">
      <c r="A89" s="464"/>
    </row>
    <row r="90" ht="17.25" customHeight="1">
      <c r="A90" s="464"/>
    </row>
    <row r="91" ht="17.25" customHeight="1">
      <c r="A91" s="464"/>
    </row>
    <row r="97" ht="17.25" customHeight="1">
      <c r="A97" s="464"/>
    </row>
    <row r="98" ht="17.25" customHeight="1">
      <c r="A98" s="464"/>
    </row>
    <row r="99" ht="17.25" customHeight="1">
      <c r="A99" s="464"/>
    </row>
    <row r="100" ht="17.25" customHeight="1">
      <c r="A100" s="464"/>
    </row>
    <row r="103" ht="17.25" customHeight="1">
      <c r="A103" s="464"/>
    </row>
    <row r="104" ht="17.25" customHeight="1">
      <c r="A104" s="464"/>
    </row>
    <row r="107" ht="17.25" customHeight="1">
      <c r="A107" s="464"/>
    </row>
    <row r="108" ht="17.25" customHeight="1">
      <c r="A108" s="464"/>
    </row>
    <row r="109" ht="17.25" customHeight="1">
      <c r="A109" s="464"/>
    </row>
    <row r="110" ht="17.25" customHeight="1">
      <c r="A110" s="464"/>
    </row>
    <row r="111" ht="17.25" customHeight="1">
      <c r="A111" s="464"/>
    </row>
    <row r="112" ht="17.25" customHeight="1">
      <c r="A112" s="464"/>
    </row>
    <row r="113" ht="17.25" customHeight="1">
      <c r="A113" s="464"/>
    </row>
    <row r="114" ht="17.25" customHeight="1">
      <c r="A114" s="464"/>
    </row>
    <row r="115" ht="17.25" customHeight="1">
      <c r="A115" s="464"/>
    </row>
    <row r="116" ht="17.25" customHeight="1">
      <c r="A116" s="464"/>
    </row>
    <row r="117" ht="17.25" customHeight="1">
      <c r="A117" s="464"/>
    </row>
    <row r="118" ht="17.25" customHeight="1">
      <c r="A118" s="464"/>
    </row>
    <row r="119" ht="17.25" customHeight="1">
      <c r="A119" s="464"/>
    </row>
    <row r="120" ht="17.25" customHeight="1">
      <c r="A120" s="464"/>
    </row>
    <row r="121" ht="17.25" customHeight="1">
      <c r="A121" s="464"/>
    </row>
    <row r="122" ht="17.25" customHeight="1">
      <c r="A122" s="464"/>
    </row>
    <row r="123" ht="17.25" customHeight="1">
      <c r="A123" s="464"/>
    </row>
    <row r="124" ht="17.25" customHeight="1">
      <c r="A124" s="464"/>
    </row>
    <row r="125" ht="17.25" customHeight="1">
      <c r="A125" s="464"/>
    </row>
    <row r="126" ht="17.25" customHeight="1">
      <c r="A126" s="464"/>
    </row>
    <row r="127" ht="17.25" customHeight="1">
      <c r="A127" s="464"/>
    </row>
    <row r="128" ht="17.25" customHeight="1">
      <c r="A128" s="464"/>
    </row>
    <row r="129" ht="17.25" customHeight="1">
      <c r="A129" s="464"/>
    </row>
    <row r="130" ht="17.25" customHeight="1">
      <c r="A130" s="464"/>
    </row>
    <row r="131" ht="17.25" customHeight="1">
      <c r="A131" s="464"/>
    </row>
  </sheetData>
  <mergeCells count="2">
    <mergeCell ref="A2:E2"/>
    <mergeCell ref="A5:E5"/>
  </mergeCells>
  <printOptions horizontalCentered="1"/>
  <pageMargins left="0.9448818897637796" right="0.35433070866141736" top="0.984251968503937" bottom="0.984251968503937" header="0.5118110236220472" footer="0.5118110236220472"/>
  <pageSetup firstPageNumber="31" useFirstPageNumber="1" horizontalDpi="300" verticalDpi="300" orientation="portrait" paperSize="9" r:id="rId1"/>
  <headerFooter alignWithMargins="0">
    <oddFooter>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workbookViewId="0" topLeftCell="F1">
      <selection activeCell="F7" sqref="F7"/>
    </sheetView>
  </sheetViews>
  <sheetFormatPr defaultColWidth="9.140625" defaultRowHeight="17.25" customHeight="1"/>
  <cols>
    <col min="1" max="1" width="39.7109375" style="465" hidden="1" customWidth="1"/>
    <col min="2" max="2" width="8.8515625" style="443" hidden="1" customWidth="1"/>
    <col min="3" max="3" width="11.28125" style="443" hidden="1" customWidth="1"/>
    <col min="4" max="4" width="12.140625" style="443" hidden="1" customWidth="1"/>
    <col min="5" max="5" width="0.13671875" style="443" hidden="1" customWidth="1"/>
    <col min="6" max="6" width="39.7109375" style="465" customWidth="1"/>
    <col min="7" max="7" width="8.8515625" style="443" customWidth="1"/>
    <col min="8" max="8" width="11.28125" style="443" customWidth="1"/>
    <col min="9" max="9" width="12.140625" style="443" customWidth="1"/>
    <col min="10" max="10" width="11.57421875" style="443" customWidth="1"/>
    <col min="11" max="16384" width="7.421875" style="443" customWidth="1"/>
  </cols>
  <sheetData>
    <row r="1" spans="2:10" ht="17.25" customHeight="1">
      <c r="B1" s="466"/>
      <c r="C1" s="51"/>
      <c r="D1" s="51"/>
      <c r="E1" s="51" t="s">
        <v>366</v>
      </c>
      <c r="G1" s="466"/>
      <c r="H1" s="51"/>
      <c r="I1" s="51"/>
      <c r="J1" s="51" t="s">
        <v>366</v>
      </c>
    </row>
    <row r="2" spans="1:10" s="51" customFormat="1" ht="17.25" customHeight="1">
      <c r="A2" s="466" t="s">
        <v>367</v>
      </c>
      <c r="B2" s="466"/>
      <c r="E2" s="41"/>
      <c r="F2" s="466" t="s">
        <v>367</v>
      </c>
      <c r="G2" s="466"/>
      <c r="J2" s="41"/>
    </row>
    <row r="4" spans="1:10" s="469" customFormat="1" ht="17.25" customHeight="1">
      <c r="A4" s="467" t="s">
        <v>368</v>
      </c>
      <c r="B4" s="468"/>
      <c r="C4" s="415"/>
      <c r="D4" s="415"/>
      <c r="E4" s="415"/>
      <c r="F4" s="467" t="s">
        <v>368</v>
      </c>
      <c r="G4" s="468"/>
      <c r="H4" s="415"/>
      <c r="I4" s="415"/>
      <c r="J4" s="415"/>
    </row>
    <row r="5" spans="1:10" s="469" customFormat="1" ht="13.5" customHeight="1">
      <c r="A5" s="467" t="s">
        <v>369</v>
      </c>
      <c r="B5" s="468"/>
      <c r="C5" s="470"/>
      <c r="D5" s="470"/>
      <c r="E5" s="470"/>
      <c r="F5" s="735" t="s">
        <v>341</v>
      </c>
      <c r="G5" s="468"/>
      <c r="H5" s="415"/>
      <c r="I5" s="415"/>
      <c r="J5" s="415"/>
    </row>
    <row r="6" spans="1:10" s="38" customFormat="1" ht="17.25" customHeight="1">
      <c r="A6" s="471"/>
      <c r="B6" s="472"/>
      <c r="C6" s="473"/>
      <c r="D6" s="473"/>
      <c r="E6" s="474" t="s">
        <v>63</v>
      </c>
      <c r="F6" s="471"/>
      <c r="G6" s="472"/>
      <c r="H6" s="473"/>
      <c r="I6" s="473"/>
      <c r="J6" s="474" t="s">
        <v>133</v>
      </c>
    </row>
    <row r="7" spans="1:10" s="38" customFormat="1" ht="26.25" customHeight="1">
      <c r="A7" s="475" t="s">
        <v>738</v>
      </c>
      <c r="B7" s="476" t="s">
        <v>271</v>
      </c>
      <c r="C7" s="476" t="s">
        <v>844</v>
      </c>
      <c r="D7" s="476" t="s">
        <v>370</v>
      </c>
      <c r="E7" s="9" t="s">
        <v>1046</v>
      </c>
      <c r="F7" s="475" t="s">
        <v>738</v>
      </c>
      <c r="G7" s="476" t="s">
        <v>271</v>
      </c>
      <c r="H7" s="476" t="s">
        <v>844</v>
      </c>
      <c r="I7" s="476" t="s">
        <v>370</v>
      </c>
      <c r="J7" s="9" t="s">
        <v>312</v>
      </c>
    </row>
    <row r="8" spans="1:10" s="38" customFormat="1" ht="12.75">
      <c r="A8" s="477" t="s">
        <v>371</v>
      </c>
      <c r="B8" s="478">
        <v>2</v>
      </c>
      <c r="C8" s="478">
        <v>3</v>
      </c>
      <c r="D8" s="478">
        <v>4</v>
      </c>
      <c r="E8" s="478" t="s">
        <v>372</v>
      </c>
      <c r="F8" s="477" t="s">
        <v>371</v>
      </c>
      <c r="G8" s="478">
        <v>2</v>
      </c>
      <c r="H8" s="478">
        <v>3</v>
      </c>
      <c r="I8" s="478">
        <v>4</v>
      </c>
      <c r="J8" s="478" t="s">
        <v>372</v>
      </c>
    </row>
    <row r="9" spans="1:10" s="49" customFormat="1" ht="12.75">
      <c r="A9" s="479" t="s">
        <v>373</v>
      </c>
      <c r="B9" s="179"/>
      <c r="C9" s="174">
        <f>SUM(C10,C30)</f>
        <v>0</v>
      </c>
      <c r="D9" s="174"/>
      <c r="E9" s="174">
        <f>SUM(E10,E30)</f>
        <v>0</v>
      </c>
      <c r="F9" s="479" t="s">
        <v>373</v>
      </c>
      <c r="G9" s="174">
        <f>SUM(G10,G30)</f>
        <v>446903</v>
      </c>
      <c r="H9" s="174">
        <f>SUM(H10,H30)</f>
        <v>413027</v>
      </c>
      <c r="I9" s="192">
        <f aca="true" t="shared" si="0" ref="I9:I37">H9/G9*100</f>
        <v>92.4198315965657</v>
      </c>
      <c r="J9" s="174">
        <f>SUM(J10,J30)</f>
        <v>40503</v>
      </c>
    </row>
    <row r="10" spans="1:10" ht="25.5">
      <c r="A10" s="480" t="s">
        <v>374</v>
      </c>
      <c r="B10" s="179"/>
      <c r="C10" s="174">
        <f>C11+C22+C29</f>
        <v>0</v>
      </c>
      <c r="D10" s="174"/>
      <c r="E10" s="174">
        <f>E11+E22+E29</f>
        <v>0</v>
      </c>
      <c r="F10" s="480" t="s">
        <v>374</v>
      </c>
      <c r="G10" s="174">
        <f>G11+G22+G29</f>
        <v>291719</v>
      </c>
      <c r="H10" s="174">
        <f>H11+H22+H29</f>
        <v>268868</v>
      </c>
      <c r="I10" s="192">
        <f t="shared" si="0"/>
        <v>92.1667769325961</v>
      </c>
      <c r="J10" s="174">
        <f>J11+J22+J29</f>
        <v>27110</v>
      </c>
    </row>
    <row r="11" spans="1:10" s="49" customFormat="1" ht="12.75">
      <c r="A11" s="481" t="s">
        <v>375</v>
      </c>
      <c r="B11" s="179"/>
      <c r="C11" s="174">
        <f>SUM(C12,C20,)</f>
        <v>0</v>
      </c>
      <c r="D11" s="174"/>
      <c r="E11" s="174">
        <f>SUM(E12,E20,)</f>
        <v>0</v>
      </c>
      <c r="F11" s="481" t="s">
        <v>375</v>
      </c>
      <c r="G11" s="174">
        <f>SUM(G12,G20,)</f>
        <v>247283</v>
      </c>
      <c r="H11" s="174">
        <f>SUM(H12,H20,)</f>
        <v>228978</v>
      </c>
      <c r="I11" s="192">
        <f t="shared" si="0"/>
        <v>92.59755017530522</v>
      </c>
      <c r="J11" s="174">
        <f>SUM(J12,J20,)</f>
        <v>23207</v>
      </c>
    </row>
    <row r="12" spans="1:10" s="49" customFormat="1" ht="12.75">
      <c r="A12" s="481" t="s">
        <v>933</v>
      </c>
      <c r="B12" s="179"/>
      <c r="C12" s="174">
        <f>SUM(C13,C15,C18,C19)</f>
        <v>0</v>
      </c>
      <c r="D12" s="174"/>
      <c r="E12" s="174">
        <f>SUM(E13,E15,E18,E19)</f>
        <v>0</v>
      </c>
      <c r="F12" s="481" t="s">
        <v>933</v>
      </c>
      <c r="G12" s="174">
        <f>SUM(G13,G15,G18,G19)</f>
        <v>246243</v>
      </c>
      <c r="H12" s="174">
        <f>SUM(H13,H15,H18,H19)</f>
        <v>227792</v>
      </c>
      <c r="I12" s="192">
        <f t="shared" si="0"/>
        <v>92.506995122704</v>
      </c>
      <c r="J12" s="174">
        <f>SUM(J13,J15,J18,J19)</f>
        <v>23093</v>
      </c>
    </row>
    <row r="13" spans="1:10" s="38" customFormat="1" ht="12.75">
      <c r="A13" s="217" t="s">
        <v>376</v>
      </c>
      <c r="B13" s="179"/>
      <c r="C13" s="179"/>
      <c r="D13" s="181"/>
      <c r="E13" s="179">
        <f>C13-'[1]Marts'!C13</f>
        <v>0</v>
      </c>
      <c r="F13" s="217" t="s">
        <v>377</v>
      </c>
      <c r="G13" s="179">
        <v>203261</v>
      </c>
      <c r="H13" s="179">
        <v>184063</v>
      </c>
      <c r="I13" s="181">
        <f t="shared" si="0"/>
        <v>90.55500071336853</v>
      </c>
      <c r="J13" s="179">
        <f>H13-'[1]Oktobris'!H13</f>
        <v>17748</v>
      </c>
    </row>
    <row r="14" spans="1:10" s="38" customFormat="1" ht="12.75">
      <c r="A14" s="255" t="s">
        <v>378</v>
      </c>
      <c r="B14" s="179"/>
      <c r="C14" s="179"/>
      <c r="D14" s="181"/>
      <c r="E14" s="179"/>
      <c r="F14" s="255" t="s">
        <v>378</v>
      </c>
      <c r="G14" s="179">
        <v>1055</v>
      </c>
      <c r="H14" s="179">
        <v>1055</v>
      </c>
      <c r="I14" s="181">
        <f t="shared" si="0"/>
        <v>100</v>
      </c>
      <c r="J14" s="179">
        <f>H14-'[1]Oktobris'!H14</f>
        <v>0</v>
      </c>
    </row>
    <row r="15" spans="1:10" s="38" customFormat="1" ht="12.75">
      <c r="A15" s="217" t="s">
        <v>379</v>
      </c>
      <c r="B15" s="179"/>
      <c r="C15" s="179">
        <f>SUM(C16:C17)</f>
        <v>0</v>
      </c>
      <c r="D15" s="181"/>
      <c r="E15" s="179">
        <f>C15-'[1]Marts'!C15</f>
        <v>0</v>
      </c>
      <c r="F15" s="217" t="s">
        <v>379</v>
      </c>
      <c r="G15" s="179">
        <f>SUM(G16:G17)</f>
        <v>40262</v>
      </c>
      <c r="H15" s="179">
        <f>SUM(H16:H17)</f>
        <v>41035</v>
      </c>
      <c r="I15" s="181">
        <f t="shared" si="0"/>
        <v>101.91992449456062</v>
      </c>
      <c r="J15" s="179">
        <f>H15-'[1]Oktobris'!H15</f>
        <v>4905</v>
      </c>
    </row>
    <row r="16" spans="1:10" s="38" customFormat="1" ht="25.5">
      <c r="A16" s="482" t="s">
        <v>380</v>
      </c>
      <c r="B16" s="179"/>
      <c r="C16" s="179"/>
      <c r="D16" s="181"/>
      <c r="E16" s="179">
        <f>C16-'[1]Marts'!C16</f>
        <v>0</v>
      </c>
      <c r="F16" s="482" t="s">
        <v>380</v>
      </c>
      <c r="G16" s="179">
        <v>22318</v>
      </c>
      <c r="H16" s="179">
        <v>21794</v>
      </c>
      <c r="I16" s="181">
        <f t="shared" si="0"/>
        <v>97.65211936553455</v>
      </c>
      <c r="J16" s="179">
        <f>H16-'[1]Oktobris'!H16</f>
        <v>3213</v>
      </c>
    </row>
    <row r="17" spans="1:10" s="38" customFormat="1" ht="26.25" customHeight="1">
      <c r="A17" s="482" t="s">
        <v>381</v>
      </c>
      <c r="B17" s="179"/>
      <c r="C17" s="179"/>
      <c r="D17" s="181"/>
      <c r="E17" s="179">
        <f>C17-'[1]Marts'!C17</f>
        <v>0</v>
      </c>
      <c r="F17" s="482" t="s">
        <v>381</v>
      </c>
      <c r="G17" s="179">
        <v>17944</v>
      </c>
      <c r="H17" s="179">
        <v>19241</v>
      </c>
      <c r="I17" s="181">
        <f t="shared" si="0"/>
        <v>107.22804279982168</v>
      </c>
      <c r="J17" s="179">
        <f>H17-'[1]Oktobris'!H17</f>
        <v>1692</v>
      </c>
    </row>
    <row r="18" spans="1:10" s="38" customFormat="1" ht="12.75">
      <c r="A18" s="217" t="s">
        <v>382</v>
      </c>
      <c r="B18" s="179"/>
      <c r="C18" s="179"/>
      <c r="D18" s="181"/>
      <c r="E18" s="179">
        <f>C18-'[1]Marts'!C18</f>
        <v>0</v>
      </c>
      <c r="F18" s="217" t="s">
        <v>382</v>
      </c>
      <c r="G18" s="179">
        <v>1390</v>
      </c>
      <c r="H18" s="179">
        <v>1691</v>
      </c>
      <c r="I18" s="181">
        <f t="shared" si="0"/>
        <v>121.6546762589928</v>
      </c>
      <c r="J18" s="179">
        <f>H18-'[1]Oktobris'!H18</f>
        <v>348</v>
      </c>
    </row>
    <row r="19" spans="1:10" s="38" customFormat="1" ht="12.75">
      <c r="A19" s="217" t="s">
        <v>383</v>
      </c>
      <c r="B19" s="179"/>
      <c r="C19" s="179"/>
      <c r="D19" s="181"/>
      <c r="E19" s="179">
        <f>C19-'[1]Marts'!C19</f>
        <v>0</v>
      </c>
      <c r="F19" s="217" t="s">
        <v>383</v>
      </c>
      <c r="G19" s="179">
        <v>1330</v>
      </c>
      <c r="H19" s="179">
        <v>1003</v>
      </c>
      <c r="I19" s="181">
        <f t="shared" si="0"/>
        <v>75.41353383458646</v>
      </c>
      <c r="J19" s="179">
        <f>H19-'[1]Oktobris'!H19</f>
        <v>92</v>
      </c>
    </row>
    <row r="20" spans="1:10" s="49" customFormat="1" ht="12.75">
      <c r="A20" s="481" t="s">
        <v>935</v>
      </c>
      <c r="B20" s="179"/>
      <c r="C20" s="174">
        <f>C21</f>
        <v>0</v>
      </c>
      <c r="D20" s="192"/>
      <c r="E20" s="174">
        <f>E21</f>
        <v>0</v>
      </c>
      <c r="F20" s="481" t="s">
        <v>935</v>
      </c>
      <c r="G20" s="174">
        <f>G21</f>
        <v>1040</v>
      </c>
      <c r="H20" s="174">
        <f>H21</f>
        <v>1186</v>
      </c>
      <c r="I20" s="192">
        <f t="shared" si="0"/>
        <v>114.03846153846153</v>
      </c>
      <c r="J20" s="174">
        <f>J21</f>
        <v>114</v>
      </c>
    </row>
    <row r="21" spans="1:10" ht="25.5">
      <c r="A21" s="483" t="s">
        <v>384</v>
      </c>
      <c r="B21" s="179"/>
      <c r="C21" s="179"/>
      <c r="D21" s="181"/>
      <c r="E21" s="179">
        <f>C21-'[1]Marts'!C21</f>
        <v>0</v>
      </c>
      <c r="F21" s="483" t="s">
        <v>384</v>
      </c>
      <c r="G21" s="179">
        <v>1040</v>
      </c>
      <c r="H21" s="179">
        <v>1186</v>
      </c>
      <c r="I21" s="181">
        <f t="shared" si="0"/>
        <v>114.03846153846153</v>
      </c>
      <c r="J21" s="179">
        <f>H21-'[1]Oktobris'!H21</f>
        <v>114</v>
      </c>
    </row>
    <row r="22" spans="1:10" s="49" customFormat="1" ht="12.75">
      <c r="A22" s="481" t="s">
        <v>385</v>
      </c>
      <c r="B22" s="179"/>
      <c r="C22" s="174">
        <f>SUM(C23:C28)</f>
        <v>0</v>
      </c>
      <c r="D22" s="192"/>
      <c r="E22" s="174">
        <f>SUM(E23:E28)</f>
        <v>0</v>
      </c>
      <c r="F22" s="481" t="s">
        <v>385</v>
      </c>
      <c r="G22" s="174">
        <f>SUM(G23:G28)</f>
        <v>18323</v>
      </c>
      <c r="H22" s="174">
        <f>SUM(H23:H28)</f>
        <v>15968</v>
      </c>
      <c r="I22" s="192">
        <f t="shared" si="0"/>
        <v>87.14730120613436</v>
      </c>
      <c r="J22" s="174">
        <f>SUM(J23:J28)</f>
        <v>1178</v>
      </c>
    </row>
    <row r="23" spans="1:10" ht="12.75">
      <c r="A23" s="217" t="s">
        <v>386</v>
      </c>
      <c r="B23" s="179"/>
      <c r="C23" s="179"/>
      <c r="D23" s="181"/>
      <c r="E23" s="179">
        <f>C23-'[1]Marts'!C23</f>
        <v>0</v>
      </c>
      <c r="F23" s="217" t="s">
        <v>386</v>
      </c>
      <c r="G23" s="179">
        <v>422</v>
      </c>
      <c r="H23" s="179">
        <v>437</v>
      </c>
      <c r="I23" s="181">
        <f t="shared" si="0"/>
        <v>103.55450236966826</v>
      </c>
      <c r="J23" s="179">
        <f>H23-'[1]Oktobris'!H23</f>
        <v>24</v>
      </c>
    </row>
    <row r="24" spans="1:10" ht="12.75">
      <c r="A24" s="217" t="s">
        <v>387</v>
      </c>
      <c r="B24" s="179"/>
      <c r="C24" s="179"/>
      <c r="D24" s="181"/>
      <c r="E24" s="179">
        <f>C24-'[1]Marts'!C24</f>
        <v>0</v>
      </c>
      <c r="F24" s="217" t="s">
        <v>387</v>
      </c>
      <c r="G24" s="179">
        <v>3205</v>
      </c>
      <c r="H24" s="179">
        <v>2683</v>
      </c>
      <c r="I24" s="181">
        <f t="shared" si="0"/>
        <v>83.71294851794072</v>
      </c>
      <c r="J24" s="179">
        <f>H24-'[1]Oktobris'!H24</f>
        <v>-290</v>
      </c>
    </row>
    <row r="25" spans="1:10" ht="12.75">
      <c r="A25" s="217" t="s">
        <v>388</v>
      </c>
      <c r="B25" s="179"/>
      <c r="C25" s="179"/>
      <c r="D25" s="181"/>
      <c r="E25" s="179">
        <f>C25-'[1]Marts'!C25</f>
        <v>0</v>
      </c>
      <c r="F25" s="217" t="s">
        <v>388</v>
      </c>
      <c r="G25" s="179">
        <v>245</v>
      </c>
      <c r="H25" s="179">
        <v>332</v>
      </c>
      <c r="I25" s="181">
        <f t="shared" si="0"/>
        <v>135.51020408163265</v>
      </c>
      <c r="J25" s="179">
        <f>H25-'[1]Oktobris'!H25</f>
        <v>98</v>
      </c>
    </row>
    <row r="26" spans="1:10" ht="12.75">
      <c r="A26" s="217" t="s">
        <v>389</v>
      </c>
      <c r="B26" s="179"/>
      <c r="C26" s="179"/>
      <c r="D26" s="181"/>
      <c r="E26" s="179">
        <f>C26-'[1]Marts'!C26</f>
        <v>0</v>
      </c>
      <c r="F26" s="217" t="s">
        <v>389</v>
      </c>
      <c r="G26" s="179">
        <v>13618</v>
      </c>
      <c r="H26" s="179">
        <v>11788</v>
      </c>
      <c r="I26" s="181">
        <f t="shared" si="0"/>
        <v>86.56190336319577</v>
      </c>
      <c r="J26" s="179">
        <f>H26-'[1]Oktobris'!H26</f>
        <v>1255</v>
      </c>
    </row>
    <row r="27" spans="1:10" ht="25.5">
      <c r="A27" s="484" t="s">
        <v>390</v>
      </c>
      <c r="B27" s="179"/>
      <c r="C27" s="179"/>
      <c r="D27" s="181"/>
      <c r="E27" s="179">
        <f>C27-'[1]Marts'!C27</f>
        <v>0</v>
      </c>
      <c r="F27" s="484" t="s">
        <v>390</v>
      </c>
      <c r="G27" s="179">
        <v>671</v>
      </c>
      <c r="H27" s="179">
        <v>578</v>
      </c>
      <c r="I27" s="181">
        <f t="shared" si="0"/>
        <v>86.14008941877795</v>
      </c>
      <c r="J27" s="179">
        <f>H27-'[1]Oktobris'!H27</f>
        <v>50</v>
      </c>
    </row>
    <row r="28" spans="1:10" ht="12.75">
      <c r="A28" s="217" t="s">
        <v>391</v>
      </c>
      <c r="B28" s="179"/>
      <c r="C28" s="179"/>
      <c r="D28" s="181"/>
      <c r="E28" s="179">
        <f>C28-'[1]Marts'!C28</f>
        <v>0</v>
      </c>
      <c r="F28" s="217" t="s">
        <v>391</v>
      </c>
      <c r="G28" s="179">
        <v>162</v>
      </c>
      <c r="H28" s="179">
        <v>150</v>
      </c>
      <c r="I28" s="181">
        <f t="shared" si="0"/>
        <v>92.5925925925926</v>
      </c>
      <c r="J28" s="179">
        <f>H28-'[1]Oktobris'!H28</f>
        <v>41</v>
      </c>
    </row>
    <row r="29" spans="1:10" ht="51">
      <c r="A29" s="485" t="s">
        <v>392</v>
      </c>
      <c r="B29" s="179"/>
      <c r="C29" s="174"/>
      <c r="D29" s="192"/>
      <c r="E29" s="174">
        <f>C29-'[1]Marts'!C29</f>
        <v>0</v>
      </c>
      <c r="F29" s="485" t="s">
        <v>392</v>
      </c>
      <c r="G29" s="174">
        <v>26113</v>
      </c>
      <c r="H29" s="174">
        <v>23922</v>
      </c>
      <c r="I29" s="192">
        <f t="shared" si="0"/>
        <v>91.60954313943247</v>
      </c>
      <c r="J29" s="174">
        <f>H29-'[1]Oktobris'!H29</f>
        <v>2725</v>
      </c>
    </row>
    <row r="30" spans="1:10" ht="12.75">
      <c r="A30" s="481" t="s">
        <v>393</v>
      </c>
      <c r="B30" s="179"/>
      <c r="C30" s="174">
        <f>SUM(C31,C35,C39,C43)</f>
        <v>0</v>
      </c>
      <c r="D30" s="192"/>
      <c r="E30" s="174">
        <f>SUM(E31,E35,E39,E43)</f>
        <v>0</v>
      </c>
      <c r="F30" s="481" t="s">
        <v>393</v>
      </c>
      <c r="G30" s="174">
        <f>SUM(G31,G35,G39,G43)</f>
        <v>155184</v>
      </c>
      <c r="H30" s="174">
        <f>SUM(H31,H35,H39,H43)</f>
        <v>144159</v>
      </c>
      <c r="I30" s="192">
        <f t="shared" si="0"/>
        <v>92.89553046705846</v>
      </c>
      <c r="J30" s="174">
        <f>SUM(J31,J35,J39,J43)</f>
        <v>13393</v>
      </c>
    </row>
    <row r="31" spans="1:10" ht="12.75">
      <c r="A31" s="479" t="s">
        <v>394</v>
      </c>
      <c r="B31" s="179"/>
      <c r="C31" s="174">
        <f>SUM(C32:C34)</f>
        <v>0</v>
      </c>
      <c r="D31" s="192"/>
      <c r="E31" s="174">
        <f>SUM(E32:E34)</f>
        <v>0</v>
      </c>
      <c r="F31" s="479" t="s">
        <v>394</v>
      </c>
      <c r="G31" s="174">
        <f>SUM(G32:G34)</f>
        <v>8857</v>
      </c>
      <c r="H31" s="174">
        <f>SUM(H32:H34)</f>
        <v>8177</v>
      </c>
      <c r="I31" s="192">
        <f t="shared" si="0"/>
        <v>92.32245681381957</v>
      </c>
      <c r="J31" s="174">
        <f>SUM(J32:J34)</f>
        <v>1129</v>
      </c>
    </row>
    <row r="32" spans="1:10" ht="25.5">
      <c r="A32" s="484" t="s">
        <v>395</v>
      </c>
      <c r="B32" s="179"/>
      <c r="C32" s="179"/>
      <c r="D32" s="181"/>
      <c r="E32" s="179">
        <f>C32-'[1]Marts'!C32</f>
        <v>0</v>
      </c>
      <c r="F32" s="484" t="s">
        <v>395</v>
      </c>
      <c r="G32" s="179">
        <v>7086</v>
      </c>
      <c r="H32" s="179">
        <v>6382</v>
      </c>
      <c r="I32" s="181">
        <f t="shared" si="0"/>
        <v>90.06491673722834</v>
      </c>
      <c r="J32" s="179">
        <f>H32-'[1]Oktobris'!H32</f>
        <v>862</v>
      </c>
    </row>
    <row r="33" spans="1:10" ht="38.25">
      <c r="A33" s="484" t="s">
        <v>396</v>
      </c>
      <c r="B33" s="179"/>
      <c r="C33" s="179"/>
      <c r="D33" s="181"/>
      <c r="E33" s="179">
        <f>C33-'[1]Marts'!C33</f>
        <v>0</v>
      </c>
      <c r="F33" s="484" t="s">
        <v>396</v>
      </c>
      <c r="G33" s="179">
        <v>516</v>
      </c>
      <c r="H33" s="179">
        <v>513</v>
      </c>
      <c r="I33" s="181">
        <f t="shared" si="0"/>
        <v>99.4186046511628</v>
      </c>
      <c r="J33" s="179">
        <f>H33-'[1]Oktobris'!H33</f>
        <v>66</v>
      </c>
    </row>
    <row r="34" spans="1:10" ht="12.75">
      <c r="A34" s="217" t="s">
        <v>397</v>
      </c>
      <c r="B34" s="179"/>
      <c r="C34" s="179"/>
      <c r="D34" s="181"/>
      <c r="E34" s="179">
        <f>C34-'[1]Marts'!C34</f>
        <v>0</v>
      </c>
      <c r="F34" s="217" t="s">
        <v>397</v>
      </c>
      <c r="G34" s="179">
        <v>1255</v>
      </c>
      <c r="H34" s="179">
        <v>1282</v>
      </c>
      <c r="I34" s="181">
        <f t="shared" si="0"/>
        <v>102.15139442231076</v>
      </c>
      <c r="J34" s="179">
        <f>H34-'[1]Oktobris'!H34</f>
        <v>201</v>
      </c>
    </row>
    <row r="35" spans="1:10" ht="12.75">
      <c r="A35" s="479" t="s">
        <v>398</v>
      </c>
      <c r="B35" s="179"/>
      <c r="C35" s="174">
        <f>SUM(C36:C38)</f>
        <v>0</v>
      </c>
      <c r="D35" s="192"/>
      <c r="E35" s="174">
        <f>SUM(E36:E38)</f>
        <v>0</v>
      </c>
      <c r="F35" s="479" t="s">
        <v>398</v>
      </c>
      <c r="G35" s="174">
        <f>SUM(G36:G38)</f>
        <v>110557</v>
      </c>
      <c r="H35" s="174">
        <f>SUM(H36:H38)</f>
        <v>102948</v>
      </c>
      <c r="I35" s="192">
        <f t="shared" si="0"/>
        <v>93.11757735828577</v>
      </c>
      <c r="J35" s="174">
        <f>SUM(J36:J38)</f>
        <v>9275</v>
      </c>
    </row>
    <row r="36" spans="1:10" ht="12.75">
      <c r="A36" s="217" t="s">
        <v>399</v>
      </c>
      <c r="B36" s="179"/>
      <c r="C36" s="179"/>
      <c r="D36" s="181"/>
      <c r="E36" s="179">
        <f>C36-'[1]Marts'!C36</f>
        <v>0</v>
      </c>
      <c r="F36" s="217" t="s">
        <v>399</v>
      </c>
      <c r="G36" s="179">
        <v>274</v>
      </c>
      <c r="H36" s="179">
        <v>248</v>
      </c>
      <c r="I36" s="181">
        <f t="shared" si="0"/>
        <v>90.51094890510949</v>
      </c>
      <c r="J36" s="179">
        <f>H36-'[1]Oktobris'!H36</f>
        <v>22</v>
      </c>
    </row>
    <row r="37" spans="1:10" ht="12.75">
      <c r="A37" s="217" t="s">
        <v>400</v>
      </c>
      <c r="B37" s="179"/>
      <c r="C37" s="179"/>
      <c r="D37" s="181"/>
      <c r="E37" s="179">
        <f>C37-'[1]Marts'!C37</f>
        <v>0</v>
      </c>
      <c r="F37" s="217" t="s">
        <v>400</v>
      </c>
      <c r="G37" s="179">
        <v>110283</v>
      </c>
      <c r="H37" s="179">
        <v>102700</v>
      </c>
      <c r="I37" s="181">
        <f t="shared" si="0"/>
        <v>93.12405357126666</v>
      </c>
      <c r="J37" s="179">
        <f>H37-'[1]Oktobris'!H37</f>
        <v>9253</v>
      </c>
    </row>
    <row r="38" spans="1:10" ht="21.75" customHeight="1">
      <c r="A38" s="483" t="s">
        <v>401</v>
      </c>
      <c r="B38" s="179"/>
      <c r="C38" s="179"/>
      <c r="D38" s="181"/>
      <c r="E38" s="179">
        <f>C38-'[1]Marts'!C38</f>
        <v>0</v>
      </c>
      <c r="F38" s="486" t="s">
        <v>401</v>
      </c>
      <c r="G38" s="179"/>
      <c r="H38" s="179"/>
      <c r="I38" s="192"/>
      <c r="J38" s="179"/>
    </row>
    <row r="39" spans="1:10" ht="38.25">
      <c r="A39" s="480" t="s">
        <v>402</v>
      </c>
      <c r="B39" s="179"/>
      <c r="C39" s="174">
        <f>SUM(C40:C42)</f>
        <v>0</v>
      </c>
      <c r="D39" s="174"/>
      <c r="E39" s="174">
        <f>SUM(E40:E42)</f>
        <v>0</v>
      </c>
      <c r="F39" s="487" t="s">
        <v>402</v>
      </c>
      <c r="G39" s="174">
        <f>SUM(G40:G42)</f>
        <v>34370</v>
      </c>
      <c r="H39" s="174">
        <f>SUM(H40:H42)</f>
        <v>31499</v>
      </c>
      <c r="I39" s="192">
        <f>H39/G39*100</f>
        <v>91.64678498690718</v>
      </c>
      <c r="J39" s="174">
        <f>SUM(J40:J42)</f>
        <v>2864</v>
      </c>
    </row>
    <row r="40" spans="1:10" ht="12.75" customHeight="1">
      <c r="A40" s="217" t="s">
        <v>399</v>
      </c>
      <c r="B40" s="179"/>
      <c r="C40" s="179"/>
      <c r="D40" s="181"/>
      <c r="E40" s="179">
        <f>C40-'[1]Marts'!C40</f>
        <v>0</v>
      </c>
      <c r="F40" s="217" t="s">
        <v>399</v>
      </c>
      <c r="G40" s="179">
        <v>34360</v>
      </c>
      <c r="H40" s="179">
        <v>31499</v>
      </c>
      <c r="I40" s="181">
        <f>H40/G40*100</f>
        <v>91.67345750873108</v>
      </c>
      <c r="J40" s="179">
        <f>H40-'[1]Oktobris'!H40</f>
        <v>2864</v>
      </c>
    </row>
    <row r="41" spans="1:10" ht="12.75" customHeight="1" hidden="1">
      <c r="A41" s="217" t="s">
        <v>403</v>
      </c>
      <c r="B41" s="179"/>
      <c r="C41" s="179"/>
      <c r="D41" s="181"/>
      <c r="E41" s="179">
        <f>C41-'[1]Marts'!C41</f>
        <v>0</v>
      </c>
      <c r="F41" s="217" t="s">
        <v>403</v>
      </c>
      <c r="G41" s="179"/>
      <c r="H41" s="179"/>
      <c r="I41" s="181" t="e">
        <f>H41/G41*100</f>
        <v>#DIV/0!</v>
      </c>
      <c r="J41" s="179">
        <f>H41-'[1]Oktobris'!H41</f>
        <v>0</v>
      </c>
    </row>
    <row r="42" spans="1:10" ht="12.75" customHeight="1">
      <c r="A42" s="217" t="s">
        <v>404</v>
      </c>
      <c r="B42" s="179"/>
      <c r="C42" s="179"/>
      <c r="D42" s="181"/>
      <c r="E42" s="179">
        <f>C42-'[1]Marts'!C42</f>
        <v>0</v>
      </c>
      <c r="F42" s="217" t="s">
        <v>405</v>
      </c>
      <c r="G42" s="179">
        <v>10</v>
      </c>
      <c r="H42" s="179"/>
      <c r="I42" s="181">
        <f>H42/G42*100</f>
        <v>0</v>
      </c>
      <c r="J42" s="179">
        <f>H42-'[1]Oktobris'!H42</f>
        <v>0</v>
      </c>
    </row>
    <row r="43" spans="1:10" ht="12.75">
      <c r="A43" s="479" t="s">
        <v>406</v>
      </c>
      <c r="B43" s="488"/>
      <c r="C43" s="179"/>
      <c r="D43" s="181"/>
      <c r="E43" s="179">
        <f>C43-'[1]Marts'!C43</f>
        <v>0</v>
      </c>
      <c r="F43" s="479" t="s">
        <v>406</v>
      </c>
      <c r="G43" s="174">
        <v>1400</v>
      </c>
      <c r="H43" s="174">
        <v>1535</v>
      </c>
      <c r="I43" s="192">
        <f>H43/G43*100</f>
        <v>109.64285714285715</v>
      </c>
      <c r="J43" s="174">
        <f>H43-'[1]Oktobris'!H43</f>
        <v>125</v>
      </c>
    </row>
    <row r="44" spans="1:10" ht="12.75">
      <c r="A44" s="489" t="s">
        <v>407</v>
      </c>
      <c r="B44" s="490"/>
      <c r="C44" s="3" t="s">
        <v>408</v>
      </c>
      <c r="D44" s="491"/>
      <c r="E44" s="179"/>
      <c r="F44" s="836" t="s">
        <v>342</v>
      </c>
      <c r="G44" s="873"/>
      <c r="H44" s="873"/>
      <c r="I44" s="491"/>
      <c r="J44" s="492"/>
    </row>
    <row r="45" spans="1:10" ht="12.75">
      <c r="A45" s="489"/>
      <c r="B45" s="465"/>
      <c r="C45" s="465"/>
      <c r="D45" s="465"/>
      <c r="E45" s="492"/>
      <c r="F45" s="874" t="s">
        <v>343</v>
      </c>
      <c r="G45" s="874"/>
      <c r="H45" s="874"/>
      <c r="I45" s="465"/>
      <c r="J45" s="492"/>
    </row>
    <row r="47" s="1" customFormat="1" ht="17.25" customHeight="1">
      <c r="A47" s="49"/>
    </row>
    <row r="48" spans="1:10" ht="17.25" customHeight="1">
      <c r="A48" s="41" t="s">
        <v>1038</v>
      </c>
      <c r="B48" s="39"/>
      <c r="C48" s="39"/>
      <c r="D48" s="39" t="s">
        <v>1039</v>
      </c>
      <c r="E48" s="1"/>
      <c r="F48" s="41" t="s">
        <v>563</v>
      </c>
      <c r="G48" s="39"/>
      <c r="H48" s="39"/>
      <c r="I48" s="39" t="s">
        <v>959</v>
      </c>
      <c r="J48" s="1"/>
    </row>
    <row r="49" spans="1:10" s="1" customFormat="1" ht="17.25" customHeight="1">
      <c r="A49" s="465"/>
      <c r="B49" s="465"/>
      <c r="C49" s="465"/>
      <c r="D49" s="465"/>
      <c r="E49" s="463"/>
      <c r="F49" s="465"/>
      <c r="G49" s="465"/>
      <c r="H49" s="465"/>
      <c r="I49" s="465"/>
      <c r="J49" s="463"/>
    </row>
    <row r="50" spans="2:9" ht="17.25" customHeight="1">
      <c r="B50" s="465"/>
      <c r="C50" s="465"/>
      <c r="D50" s="465"/>
      <c r="G50" s="465"/>
      <c r="H50" s="465"/>
      <c r="I50" s="465"/>
    </row>
    <row r="51" spans="1:9" s="491" customFormat="1" ht="12.75">
      <c r="A51" s="493"/>
      <c r="C51" s="33"/>
      <c r="D51" s="443"/>
      <c r="F51" s="49" t="s">
        <v>134</v>
      </c>
      <c r="H51" s="33"/>
      <c r="I51" s="443"/>
    </row>
    <row r="52" spans="2:9" ht="12.75">
      <c r="B52" s="491"/>
      <c r="C52" s="491"/>
      <c r="D52" s="491"/>
      <c r="F52" s="49" t="s">
        <v>316</v>
      </c>
      <c r="G52" s="491"/>
      <c r="H52" s="491"/>
      <c r="I52" s="491"/>
    </row>
    <row r="53" spans="1:9" s="491" customFormat="1" ht="17.25" customHeight="1">
      <c r="A53" s="493"/>
      <c r="C53" s="33"/>
      <c r="D53" s="443"/>
      <c r="F53" s="493"/>
      <c r="H53" s="33"/>
      <c r="I53" s="443"/>
    </row>
    <row r="54" spans="2:9" ht="17.25" customHeight="1">
      <c r="B54" s="491"/>
      <c r="C54" s="491"/>
      <c r="D54" s="491"/>
      <c r="G54" s="491"/>
      <c r="H54" s="491"/>
      <c r="I54" s="491"/>
    </row>
    <row r="55" spans="2:8" ht="17.25" customHeight="1">
      <c r="B55" s="494"/>
      <c r="C55" s="33"/>
      <c r="G55" s="494"/>
      <c r="H55" s="33"/>
    </row>
    <row r="56" spans="2:8" ht="17.25" customHeight="1">
      <c r="B56" s="494"/>
      <c r="C56" s="38"/>
      <c r="G56" s="494"/>
      <c r="H56" s="38"/>
    </row>
    <row r="58" spans="2:8" ht="17.25" customHeight="1">
      <c r="B58" s="494"/>
      <c r="C58" s="1"/>
      <c r="G58" s="494"/>
      <c r="H58" s="1"/>
    </row>
    <row r="59" spans="2:8" ht="17.25" customHeight="1">
      <c r="B59" s="494"/>
      <c r="C59" s="1"/>
      <c r="G59" s="494"/>
      <c r="H59" s="1"/>
    </row>
  </sheetData>
  <mergeCells count="2">
    <mergeCell ref="F44:H44"/>
    <mergeCell ref="F45:H45"/>
  </mergeCells>
  <printOptions horizontalCentered="1"/>
  <pageMargins left="1.1023622047244095" right="0.4330708661417323" top="0.35433070866141736" bottom="0.5905511811023623" header="0.15748031496062992" footer="0.35433070866141736"/>
  <pageSetup firstPageNumber="33" useFirstPageNumber="1" fitToHeight="1" fitToWidth="1" horizontalDpi="300" verticalDpi="300" orientation="portrait" paperSize="9" scale="94" r:id="rId3"/>
  <headerFooter alignWithMargins="0">
    <oddFooter>&amp;R&amp;8&amp;P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F1">
      <selection activeCell="F7" sqref="F7"/>
    </sheetView>
  </sheetViews>
  <sheetFormatPr defaultColWidth="9.140625" defaultRowHeight="17.25" customHeight="1"/>
  <cols>
    <col min="1" max="1" width="45.57421875" style="465" hidden="1" customWidth="1"/>
    <col min="2" max="2" width="10.8515625" style="510" hidden="1" customWidth="1"/>
    <col min="3" max="3" width="11.28125" style="443" hidden="1" customWidth="1"/>
    <col min="4" max="4" width="12.140625" style="443" hidden="1" customWidth="1"/>
    <col min="5" max="5" width="12.8515625" style="443" hidden="1" customWidth="1"/>
    <col min="6" max="6" width="45.57421875" style="465" customWidth="1"/>
    <col min="7" max="7" width="10.8515625" style="510" customWidth="1"/>
    <col min="8" max="8" width="11.28125" style="443" customWidth="1"/>
    <col min="9" max="9" width="12.140625" style="443" customWidth="1"/>
    <col min="10" max="10" width="12.8515625" style="443" customWidth="1"/>
    <col min="11" max="16384" width="9.140625" style="443" customWidth="1"/>
  </cols>
  <sheetData>
    <row r="1" spans="2:10" ht="17.25" customHeight="1">
      <c r="B1" s="466"/>
      <c r="C1" s="51"/>
      <c r="D1" s="51"/>
      <c r="E1" s="51" t="s">
        <v>409</v>
      </c>
      <c r="G1" s="466"/>
      <c r="H1" s="51"/>
      <c r="I1" s="51"/>
      <c r="J1" s="51" t="s">
        <v>409</v>
      </c>
    </row>
    <row r="2" spans="1:10" ht="17.25" customHeight="1">
      <c r="A2" s="876" t="s">
        <v>410</v>
      </c>
      <c r="B2" s="876"/>
      <c r="C2" s="876"/>
      <c r="D2" s="876"/>
      <c r="E2" s="876"/>
      <c r="F2" s="876" t="s">
        <v>926</v>
      </c>
      <c r="G2" s="876"/>
      <c r="H2" s="876"/>
      <c r="I2" s="876"/>
      <c r="J2" s="876"/>
    </row>
    <row r="3" spans="1:10" s="38" customFormat="1" ht="17.25" customHeight="1">
      <c r="A3" s="466"/>
      <c r="B3" s="496"/>
      <c r="C3" s="87"/>
      <c r="D3" s="87"/>
      <c r="E3" s="87"/>
      <c r="F3" s="466"/>
      <c r="G3" s="496"/>
      <c r="H3" s="87"/>
      <c r="I3" s="87"/>
      <c r="J3" s="87"/>
    </row>
    <row r="4" spans="1:10" ht="17.25" customHeight="1">
      <c r="A4" s="875" t="s">
        <v>411</v>
      </c>
      <c r="B4" s="875"/>
      <c r="C4" s="875"/>
      <c r="D4" s="875"/>
      <c r="E4" s="875"/>
      <c r="F4" s="875" t="s">
        <v>411</v>
      </c>
      <c r="G4" s="875"/>
      <c r="H4" s="875"/>
      <c r="I4" s="875"/>
      <c r="J4" s="875"/>
    </row>
    <row r="5" spans="1:10" s="469" customFormat="1" ht="17.25" customHeight="1">
      <c r="A5" s="875" t="s">
        <v>412</v>
      </c>
      <c r="B5" s="875"/>
      <c r="C5" s="875"/>
      <c r="D5" s="875"/>
      <c r="E5" s="875"/>
      <c r="F5" s="876" t="s">
        <v>318</v>
      </c>
      <c r="G5" s="876"/>
      <c r="H5" s="876"/>
      <c r="I5" s="876"/>
      <c r="J5" s="876"/>
    </row>
    <row r="6" spans="2:10" ht="17.25" customHeight="1">
      <c r="B6" s="498"/>
      <c r="C6" s="38"/>
      <c r="D6" s="87"/>
      <c r="E6" s="51" t="s">
        <v>63</v>
      </c>
      <c r="G6" s="498"/>
      <c r="H6" s="38"/>
      <c r="I6" s="87" t="s">
        <v>413</v>
      </c>
      <c r="J6" s="51"/>
    </row>
    <row r="7" spans="1:10" s="38" customFormat="1" ht="33.75">
      <c r="A7" s="499" t="s">
        <v>738</v>
      </c>
      <c r="B7" s="476" t="s">
        <v>271</v>
      </c>
      <c r="C7" s="476" t="s">
        <v>844</v>
      </c>
      <c r="D7" s="476" t="s">
        <v>370</v>
      </c>
      <c r="E7" s="9" t="s">
        <v>1046</v>
      </c>
      <c r="F7" s="499" t="s">
        <v>738</v>
      </c>
      <c r="G7" s="476" t="s">
        <v>271</v>
      </c>
      <c r="H7" s="476" t="s">
        <v>844</v>
      </c>
      <c r="I7" s="476" t="s">
        <v>370</v>
      </c>
      <c r="J7" s="9" t="s">
        <v>312</v>
      </c>
    </row>
    <row r="8" spans="1:10" ht="17.25" customHeight="1">
      <c r="A8" s="477" t="s">
        <v>371</v>
      </c>
      <c r="B8" s="478" t="s">
        <v>414</v>
      </c>
      <c r="C8" s="478" t="s">
        <v>415</v>
      </c>
      <c r="D8" s="478" t="s">
        <v>416</v>
      </c>
      <c r="E8" s="478" t="s">
        <v>372</v>
      </c>
      <c r="F8" s="477" t="s">
        <v>371</v>
      </c>
      <c r="G8" s="478" t="s">
        <v>414</v>
      </c>
      <c r="H8" s="478" t="s">
        <v>415</v>
      </c>
      <c r="I8" s="478" t="s">
        <v>416</v>
      </c>
      <c r="J8" s="478" t="s">
        <v>372</v>
      </c>
    </row>
    <row r="9" spans="1:10" ht="17.25" customHeight="1">
      <c r="A9" s="480" t="s">
        <v>417</v>
      </c>
      <c r="B9" s="174">
        <f>SUM(B10,B29)</f>
        <v>0</v>
      </c>
      <c r="C9" s="174">
        <f>SUM(C10,C29)</f>
        <v>0</v>
      </c>
      <c r="D9" s="192"/>
      <c r="E9" s="174">
        <f>SUM(E10,E29)</f>
        <v>0</v>
      </c>
      <c r="F9" s="480" t="s">
        <v>417</v>
      </c>
      <c r="G9" s="174">
        <f>SUM(G10,G29)</f>
        <v>484094</v>
      </c>
      <c r="H9" s="174">
        <f>SUM(H10,H29)</f>
        <v>430640</v>
      </c>
      <c r="I9" s="192">
        <f aca="true" t="shared" si="0" ref="I9:I35">H9/G9*100</f>
        <v>88.9579296582895</v>
      </c>
      <c r="J9" s="174">
        <f>SUM(J10,J29)</f>
        <v>41552</v>
      </c>
    </row>
    <row r="10" spans="1:10" s="49" customFormat="1" ht="17.25" customHeight="1">
      <c r="A10" s="500" t="s">
        <v>418</v>
      </c>
      <c r="B10" s="174">
        <f>SUM(B11:B27)</f>
        <v>0</v>
      </c>
      <c r="C10" s="174">
        <f>SUM(C11:C27)</f>
        <v>0</v>
      </c>
      <c r="D10" s="192"/>
      <c r="E10" s="174">
        <f>SUM(E11:E27)</f>
        <v>0</v>
      </c>
      <c r="F10" s="500" t="s">
        <v>418</v>
      </c>
      <c r="G10" s="174">
        <f>SUM(G11:G27)</f>
        <v>446851</v>
      </c>
      <c r="H10" s="174">
        <f>SUM(H11:H27)</f>
        <v>397050</v>
      </c>
      <c r="I10" s="192">
        <f t="shared" si="0"/>
        <v>88.85512172961457</v>
      </c>
      <c r="J10" s="174">
        <f>SUM(J11:J27)</f>
        <v>38035</v>
      </c>
    </row>
    <row r="11" spans="1:10" s="1" customFormat="1" ht="17.25" customHeight="1">
      <c r="A11" s="484" t="s">
        <v>419</v>
      </c>
      <c r="B11" s="179"/>
      <c r="C11" s="179"/>
      <c r="D11" s="181"/>
      <c r="E11" s="179">
        <f>C11-'[3]Marts'!C11</f>
        <v>0</v>
      </c>
      <c r="F11" s="484" t="s">
        <v>419</v>
      </c>
      <c r="G11" s="179">
        <v>48793</v>
      </c>
      <c r="H11" s="179">
        <v>42504</v>
      </c>
      <c r="I11" s="192">
        <f t="shared" si="0"/>
        <v>87.11085606541921</v>
      </c>
      <c r="J11" s="179">
        <f>H11-'[3]Oktobris'!H11</f>
        <v>4140</v>
      </c>
    </row>
    <row r="12" spans="1:10" s="1" customFormat="1" ht="17.25" customHeight="1">
      <c r="A12" s="484" t="s">
        <v>44</v>
      </c>
      <c r="B12" s="179"/>
      <c r="C12" s="179"/>
      <c r="D12" s="181"/>
      <c r="E12" s="179">
        <f>C12-'[3]Marts'!C12</f>
        <v>0</v>
      </c>
      <c r="F12" s="484" t="s">
        <v>44</v>
      </c>
      <c r="G12" s="179">
        <v>152</v>
      </c>
      <c r="H12" s="179">
        <v>130</v>
      </c>
      <c r="I12" s="192">
        <f t="shared" si="0"/>
        <v>85.52631578947368</v>
      </c>
      <c r="J12" s="179">
        <f>H12-'[3]Oktobris'!H12</f>
        <v>27</v>
      </c>
    </row>
    <row r="13" spans="1:10" s="1" customFormat="1" ht="17.25" customHeight="1">
      <c r="A13" s="484" t="s">
        <v>45</v>
      </c>
      <c r="B13" s="179"/>
      <c r="C13" s="179"/>
      <c r="D13" s="181"/>
      <c r="E13" s="179">
        <f>C13-'[3]Marts'!C13</f>
        <v>0</v>
      </c>
      <c r="F13" s="484" t="s">
        <v>45</v>
      </c>
      <c r="G13" s="179">
        <v>6375</v>
      </c>
      <c r="H13" s="179">
        <v>5556</v>
      </c>
      <c r="I13" s="192">
        <f t="shared" si="0"/>
        <v>87.15294117647059</v>
      </c>
      <c r="J13" s="179">
        <f>H13-'[3]Oktobris'!H13</f>
        <v>578</v>
      </c>
    </row>
    <row r="14" spans="1:10" s="1" customFormat="1" ht="17.25" customHeight="1">
      <c r="A14" s="484" t="s">
        <v>46</v>
      </c>
      <c r="B14" s="179"/>
      <c r="C14" s="179"/>
      <c r="D14" s="181"/>
      <c r="E14" s="179">
        <f>C14-'[3]Marts'!C14</f>
        <v>0</v>
      </c>
      <c r="F14" s="484" t="s">
        <v>46</v>
      </c>
      <c r="G14" s="179">
        <v>218022</v>
      </c>
      <c r="H14" s="179">
        <v>194346</v>
      </c>
      <c r="I14" s="192">
        <f t="shared" si="0"/>
        <v>89.14054544954179</v>
      </c>
      <c r="J14" s="179">
        <f>H14-'[3]Oktobris'!H14</f>
        <v>19598</v>
      </c>
    </row>
    <row r="15" spans="1:10" s="1" customFormat="1" ht="17.25" customHeight="1">
      <c r="A15" s="484" t="s">
        <v>47</v>
      </c>
      <c r="B15" s="179"/>
      <c r="C15" s="179"/>
      <c r="D15" s="181"/>
      <c r="E15" s="179">
        <f>C15-'[3]Marts'!C15</f>
        <v>0</v>
      </c>
      <c r="F15" s="484" t="s">
        <v>47</v>
      </c>
      <c r="G15" s="179">
        <v>6343</v>
      </c>
      <c r="H15" s="179">
        <v>5728</v>
      </c>
      <c r="I15" s="192">
        <f t="shared" si="0"/>
        <v>90.3042724262967</v>
      </c>
      <c r="J15" s="179">
        <f>H15-'[3]Oktobris'!H15</f>
        <v>498</v>
      </c>
    </row>
    <row r="16" spans="1:10" s="1" customFormat="1" ht="17.25" customHeight="1">
      <c r="A16" s="484" t="s">
        <v>48</v>
      </c>
      <c r="B16" s="179"/>
      <c r="C16" s="179"/>
      <c r="D16" s="181"/>
      <c r="E16" s="179">
        <f>C16-'[3]Marts'!C16</f>
        <v>0</v>
      </c>
      <c r="F16" s="484" t="s">
        <v>48</v>
      </c>
      <c r="G16" s="179">
        <v>37864</v>
      </c>
      <c r="H16" s="179">
        <v>33450</v>
      </c>
      <c r="I16" s="192">
        <f t="shared" si="0"/>
        <v>88.34248890766956</v>
      </c>
      <c r="J16" s="179">
        <f>H16-'[3]Oktobris'!H16</f>
        <v>3581</v>
      </c>
    </row>
    <row r="17" spans="1:10" s="1" customFormat="1" ht="17.25" customHeight="1">
      <c r="A17" s="484" t="s">
        <v>49</v>
      </c>
      <c r="B17" s="179"/>
      <c r="C17" s="179"/>
      <c r="D17" s="181"/>
      <c r="E17" s="179">
        <f>C17-'[3]Marts'!C17</f>
        <v>0</v>
      </c>
      <c r="F17" s="484" t="s">
        <v>49</v>
      </c>
      <c r="G17" s="179">
        <v>72180</v>
      </c>
      <c r="H17" s="179">
        <v>64813</v>
      </c>
      <c r="I17" s="192">
        <f t="shared" si="0"/>
        <v>89.79357162648934</v>
      </c>
      <c r="J17" s="179">
        <f>H17-'[3]Oktobris'!H17</f>
        <v>5515</v>
      </c>
    </row>
    <row r="18" spans="1:10" s="1" customFormat="1" ht="17.25" customHeight="1">
      <c r="A18" s="484" t="s">
        <v>247</v>
      </c>
      <c r="B18" s="179"/>
      <c r="C18" s="179"/>
      <c r="D18" s="181"/>
      <c r="E18" s="179">
        <f>C18-'[3]Marts'!C18</f>
        <v>0</v>
      </c>
      <c r="F18" s="484" t="s">
        <v>247</v>
      </c>
      <c r="G18" s="179">
        <v>35039</v>
      </c>
      <c r="H18" s="179">
        <v>31253</v>
      </c>
      <c r="I18" s="192">
        <f t="shared" si="0"/>
        <v>89.19489711464368</v>
      </c>
      <c r="J18" s="179">
        <f>H18-'[3]Oktobris'!H18</f>
        <v>2723</v>
      </c>
    </row>
    <row r="19" spans="1:10" s="1" customFormat="1" ht="17.25" customHeight="1">
      <c r="A19" s="484" t="s">
        <v>51</v>
      </c>
      <c r="B19" s="179"/>
      <c r="C19" s="179"/>
      <c r="D19" s="181"/>
      <c r="E19" s="179">
        <f>C19-'[3]Marts'!C19</f>
        <v>0</v>
      </c>
      <c r="F19" s="484" t="s">
        <v>51</v>
      </c>
      <c r="G19" s="179">
        <v>669</v>
      </c>
      <c r="H19" s="179">
        <v>807</v>
      </c>
      <c r="I19" s="192">
        <f t="shared" si="0"/>
        <v>120.62780269058295</v>
      </c>
      <c r="J19" s="179">
        <f>H19-'[3]Oktobris'!H19</f>
        <v>148</v>
      </c>
    </row>
    <row r="20" spans="1:10" s="1" customFormat="1" ht="25.5">
      <c r="A20" s="484" t="s">
        <v>248</v>
      </c>
      <c r="B20" s="179"/>
      <c r="C20" s="179"/>
      <c r="D20" s="181"/>
      <c r="E20" s="179">
        <f>C20-'[3]Marts'!C20</f>
        <v>0</v>
      </c>
      <c r="F20" s="484" t="s">
        <v>248</v>
      </c>
      <c r="G20" s="179">
        <v>1739</v>
      </c>
      <c r="H20" s="179">
        <v>1412</v>
      </c>
      <c r="I20" s="192">
        <f t="shared" si="0"/>
        <v>81.196089706728</v>
      </c>
      <c r="J20" s="179">
        <f>H20-'[3]Oktobris'!H20</f>
        <v>189</v>
      </c>
    </row>
    <row r="21" spans="1:10" s="1" customFormat="1" ht="25.5">
      <c r="A21" s="484" t="s">
        <v>53</v>
      </c>
      <c r="B21" s="179"/>
      <c r="C21" s="179"/>
      <c r="D21" s="181"/>
      <c r="E21" s="179">
        <f>C21-'[3]Marts'!C21</f>
        <v>0</v>
      </c>
      <c r="F21" s="484" t="s">
        <v>53</v>
      </c>
      <c r="G21" s="179">
        <v>158</v>
      </c>
      <c r="H21" s="179">
        <v>87</v>
      </c>
      <c r="I21" s="192">
        <f t="shared" si="0"/>
        <v>55.06329113924051</v>
      </c>
      <c r="J21" s="179">
        <f>H21-'[3]Oktobris'!H21</f>
        <v>22</v>
      </c>
    </row>
    <row r="22" spans="1:10" s="1" customFormat="1" ht="17.25" customHeight="1">
      <c r="A22" s="484" t="s">
        <v>420</v>
      </c>
      <c r="B22" s="66"/>
      <c r="C22" s="179"/>
      <c r="D22" s="181"/>
      <c r="E22" s="179">
        <f>C22-'[3]Marts'!C22</f>
        <v>0</v>
      </c>
      <c r="F22" s="484" t="s">
        <v>420</v>
      </c>
      <c r="G22" s="66">
        <v>11348</v>
      </c>
      <c r="H22" s="179">
        <v>9934</v>
      </c>
      <c r="I22" s="192">
        <f t="shared" si="0"/>
        <v>87.539654564681</v>
      </c>
      <c r="J22" s="179">
        <f>H22-'[3]Oktobris'!H22</f>
        <v>576</v>
      </c>
    </row>
    <row r="23" spans="1:10" s="1" customFormat="1" ht="17.25" customHeight="1">
      <c r="A23" s="484" t="s">
        <v>55</v>
      </c>
      <c r="B23" s="179"/>
      <c r="C23" s="179"/>
      <c r="D23" s="181"/>
      <c r="E23" s="179">
        <f>C23-'[3]Marts'!C23</f>
        <v>0</v>
      </c>
      <c r="F23" s="484" t="s">
        <v>55</v>
      </c>
      <c r="G23" s="179">
        <v>1399</v>
      </c>
      <c r="H23" s="179">
        <v>1310</v>
      </c>
      <c r="I23" s="192">
        <f t="shared" si="0"/>
        <v>93.63831308077198</v>
      </c>
      <c r="J23" s="179">
        <f>H23-'[3]Oktobris'!H23</f>
        <v>149</v>
      </c>
    </row>
    <row r="24" spans="1:10" s="1" customFormat="1" ht="17.25" customHeight="1">
      <c r="A24" s="484" t="s">
        <v>421</v>
      </c>
      <c r="B24" s="179"/>
      <c r="C24" s="179"/>
      <c r="D24" s="181"/>
      <c r="E24" s="179">
        <f>C24-'[3]Marts'!C24</f>
        <v>0</v>
      </c>
      <c r="F24" s="484" t="s">
        <v>421</v>
      </c>
      <c r="G24" s="179">
        <v>3473</v>
      </c>
      <c r="H24" s="179">
        <v>3227</v>
      </c>
      <c r="I24" s="192">
        <f t="shared" si="0"/>
        <v>92.91678663979268</v>
      </c>
      <c r="J24" s="179">
        <f>H24-'[3]Oktobris'!H24</f>
        <v>32</v>
      </c>
    </row>
    <row r="25" spans="1:10" s="1" customFormat="1" ht="17.25" customHeight="1">
      <c r="A25" s="484" t="s">
        <v>422</v>
      </c>
      <c r="B25" s="179"/>
      <c r="C25" s="179"/>
      <c r="D25" s="181"/>
      <c r="E25" s="179">
        <f>C25-'[3]Marts'!C25</f>
        <v>0</v>
      </c>
      <c r="F25" s="484" t="s">
        <v>422</v>
      </c>
      <c r="G25" s="179">
        <v>911</v>
      </c>
      <c r="H25" s="179">
        <v>725</v>
      </c>
      <c r="I25" s="192">
        <f t="shared" si="0"/>
        <v>79.582875960483</v>
      </c>
      <c r="J25" s="179">
        <f>H25-'[3]Oktobris'!H25</f>
        <v>51</v>
      </c>
    </row>
    <row r="26" spans="1:10" s="1" customFormat="1" ht="17.25" customHeight="1">
      <c r="A26" s="484" t="s">
        <v>423</v>
      </c>
      <c r="B26" s="179"/>
      <c r="C26" s="179"/>
      <c r="D26" s="181"/>
      <c r="E26" s="179">
        <f>C26-'[3]Marts'!C26</f>
        <v>0</v>
      </c>
      <c r="F26" s="484" t="s">
        <v>423</v>
      </c>
      <c r="G26" s="179">
        <v>779</v>
      </c>
      <c r="H26" s="179">
        <v>21</v>
      </c>
      <c r="I26" s="192">
        <f t="shared" si="0"/>
        <v>2.6957637997432604</v>
      </c>
      <c r="J26" s="179">
        <f>H26-'[3]Oktobris'!H26</f>
        <v>2</v>
      </c>
    </row>
    <row r="27" spans="1:10" s="1" customFormat="1" ht="18.75" customHeight="1">
      <c r="A27" s="69" t="s">
        <v>56</v>
      </c>
      <c r="B27" s="216"/>
      <c r="C27" s="217"/>
      <c r="D27" s="217"/>
      <c r="E27" s="179">
        <f>C27-'[3]Marts'!C27</f>
        <v>0</v>
      </c>
      <c r="F27" s="69" t="s">
        <v>56</v>
      </c>
      <c r="G27" s="179">
        <v>1607</v>
      </c>
      <c r="H27" s="179">
        <v>1747</v>
      </c>
      <c r="I27" s="192">
        <f t="shared" si="0"/>
        <v>108.71188550093342</v>
      </c>
      <c r="J27" s="179">
        <f>H27-'[3]Oktobris'!H27</f>
        <v>206</v>
      </c>
    </row>
    <row r="28" spans="1:10" s="1" customFormat="1" ht="17.25" customHeight="1" hidden="1">
      <c r="A28" s="60" t="s">
        <v>977</v>
      </c>
      <c r="B28" s="222"/>
      <c r="C28" s="223"/>
      <c r="D28" s="223"/>
      <c r="E28" s="179">
        <f>C28-'[3]Marts'!C28</f>
        <v>0</v>
      </c>
      <c r="F28" s="60" t="s">
        <v>977</v>
      </c>
      <c r="G28" s="222"/>
      <c r="H28" s="223"/>
      <c r="I28" s="192" t="e">
        <f t="shared" si="0"/>
        <v>#DIV/0!</v>
      </c>
      <c r="J28" s="179">
        <f>H28-'[3]Oktobris'!H28</f>
        <v>0</v>
      </c>
    </row>
    <row r="29" spans="1:10" s="1" customFormat="1" ht="12.75">
      <c r="A29" s="500" t="s">
        <v>424</v>
      </c>
      <c r="B29" s="174">
        <f>SUM(B30,B34)</f>
        <v>0</v>
      </c>
      <c r="C29" s="174">
        <f>SUM(C30,C34)</f>
        <v>0</v>
      </c>
      <c r="D29" s="192"/>
      <c r="E29" s="179">
        <f>SUM(E30,E34)</f>
        <v>0</v>
      </c>
      <c r="F29" s="500" t="s">
        <v>424</v>
      </c>
      <c r="G29" s="174">
        <f>SUM(G30,G34)</f>
        <v>37243</v>
      </c>
      <c r="H29" s="174">
        <f>SUM(H30,H34)</f>
        <v>33590</v>
      </c>
      <c r="I29" s="192">
        <f t="shared" si="0"/>
        <v>90.19144537228473</v>
      </c>
      <c r="J29" s="174">
        <f>SUM(J30,J34)</f>
        <v>3517</v>
      </c>
    </row>
    <row r="30" spans="1:10" s="1" customFormat="1" ht="12.75">
      <c r="A30" s="480" t="s">
        <v>394</v>
      </c>
      <c r="B30" s="179">
        <f>SUM(B31:B33)</f>
        <v>0</v>
      </c>
      <c r="C30" s="179">
        <f>SUM(C31:C33)</f>
        <v>0</v>
      </c>
      <c r="D30" s="181"/>
      <c r="E30" s="179">
        <f>SUM(E31:E33)</f>
        <v>0</v>
      </c>
      <c r="F30" s="480" t="s">
        <v>394</v>
      </c>
      <c r="G30" s="174">
        <f>SUM(G31:G33)</f>
        <v>10035</v>
      </c>
      <c r="H30" s="174">
        <f>SUM(H31:H33)</f>
        <v>8684</v>
      </c>
      <c r="I30" s="192">
        <f t="shared" si="0"/>
        <v>86.53712007972098</v>
      </c>
      <c r="J30" s="174">
        <f>SUM(J31:J33)</f>
        <v>1212</v>
      </c>
    </row>
    <row r="31" spans="1:10" s="1" customFormat="1" ht="25.5">
      <c r="A31" s="501" t="s">
        <v>425</v>
      </c>
      <c r="B31" s="179"/>
      <c r="C31" s="179"/>
      <c r="D31" s="181"/>
      <c r="E31" s="179">
        <f>C31-'[3]Marts'!C31</f>
        <v>0</v>
      </c>
      <c r="F31" s="501" t="s">
        <v>425</v>
      </c>
      <c r="G31" s="179">
        <v>8459</v>
      </c>
      <c r="H31" s="179">
        <v>7250</v>
      </c>
      <c r="I31" s="192">
        <f t="shared" si="0"/>
        <v>85.70753044095046</v>
      </c>
      <c r="J31" s="179">
        <f>H31-'[3]Oktobris'!H31</f>
        <v>1031</v>
      </c>
    </row>
    <row r="32" spans="1:10" s="1" customFormat="1" ht="25.5">
      <c r="A32" s="501" t="s">
        <v>426</v>
      </c>
      <c r="B32" s="179"/>
      <c r="C32" s="179"/>
      <c r="D32" s="181"/>
      <c r="E32" s="179">
        <f>C32-'[3]Marts'!C32</f>
        <v>0</v>
      </c>
      <c r="F32" s="501" t="s">
        <v>426</v>
      </c>
      <c r="G32" s="179">
        <v>765</v>
      </c>
      <c r="H32" s="179">
        <v>694</v>
      </c>
      <c r="I32" s="192">
        <f t="shared" si="0"/>
        <v>90.71895424836602</v>
      </c>
      <c r="J32" s="179">
        <f>H32-'[3]Oktobris'!H32</f>
        <v>101</v>
      </c>
    </row>
    <row r="33" spans="1:10" s="1" customFormat="1" ht="12.75">
      <c r="A33" s="501" t="s">
        <v>397</v>
      </c>
      <c r="B33" s="179"/>
      <c r="C33" s="179"/>
      <c r="D33" s="181"/>
      <c r="E33" s="179">
        <f>C33-'[3]Marts'!C33</f>
        <v>0</v>
      </c>
      <c r="F33" s="501" t="s">
        <v>397</v>
      </c>
      <c r="G33" s="179">
        <v>811</v>
      </c>
      <c r="H33" s="179">
        <v>740</v>
      </c>
      <c r="I33" s="192">
        <f t="shared" si="0"/>
        <v>91.24537607891492</v>
      </c>
      <c r="J33" s="179">
        <f>H33-'[3]Oktobris'!H33</f>
        <v>80</v>
      </c>
    </row>
    <row r="34" spans="1:10" s="1" customFormat="1" ht="25.5">
      <c r="A34" s="480" t="s">
        <v>427</v>
      </c>
      <c r="B34" s="174">
        <f>SUM(B35:B36)</f>
        <v>0</v>
      </c>
      <c r="C34" s="174">
        <f>SUM(C35:C36)</f>
        <v>0</v>
      </c>
      <c r="D34" s="192"/>
      <c r="E34" s="174">
        <f>SUM(E35:E36)</f>
        <v>0</v>
      </c>
      <c r="F34" s="480" t="s">
        <v>427</v>
      </c>
      <c r="G34" s="174">
        <f>SUM(G35:G36)</f>
        <v>27208</v>
      </c>
      <c r="H34" s="174">
        <f>SUM(H35:H36)</f>
        <v>24906</v>
      </c>
      <c r="I34" s="192">
        <f t="shared" si="0"/>
        <v>91.53925316083505</v>
      </c>
      <c r="J34" s="174">
        <f>SUM(J35:J36)</f>
        <v>2305</v>
      </c>
    </row>
    <row r="35" spans="1:10" s="1" customFormat="1" ht="12.75">
      <c r="A35" s="484" t="s">
        <v>428</v>
      </c>
      <c r="B35" s="179"/>
      <c r="C35" s="179"/>
      <c r="D35" s="181"/>
      <c r="E35" s="179">
        <f>C35-'[3]Marts'!C35</f>
        <v>0</v>
      </c>
      <c r="F35" s="484" t="s">
        <v>428</v>
      </c>
      <c r="G35" s="179">
        <v>27208</v>
      </c>
      <c r="H35" s="179">
        <v>24906</v>
      </c>
      <c r="I35" s="192">
        <f t="shared" si="0"/>
        <v>91.53925316083505</v>
      </c>
      <c r="J35" s="179">
        <f>H35-'[3]Oktobris'!H35</f>
        <v>2305</v>
      </c>
    </row>
    <row r="36" spans="1:10" s="86" customFormat="1" ht="12.75">
      <c r="A36" s="501" t="s">
        <v>429</v>
      </c>
      <c r="B36" s="107"/>
      <c r="C36" s="502"/>
      <c r="D36" s="503"/>
      <c r="E36" s="179">
        <f>C36-'[3]Marts'!C36</f>
        <v>0</v>
      </c>
      <c r="F36" s="501" t="s">
        <v>429</v>
      </c>
      <c r="G36" s="107"/>
      <c r="H36" s="179"/>
      <c r="I36" s="192"/>
      <c r="J36" s="179"/>
    </row>
    <row r="37" spans="1:10" s="86" customFormat="1" ht="17.25" customHeight="1">
      <c r="A37" s="504"/>
      <c r="B37" s="132"/>
      <c r="C37" s="132"/>
      <c r="D37" s="132"/>
      <c r="E37" s="132"/>
      <c r="F37" s="504"/>
      <c r="G37" s="132"/>
      <c r="H37" s="132"/>
      <c r="I37" s="132"/>
      <c r="J37" s="132"/>
    </row>
    <row r="38" spans="1:10" s="1" customFormat="1" ht="17.25" customHeight="1">
      <c r="A38" s="49"/>
      <c r="C38" s="505"/>
      <c r="E38" s="443"/>
      <c r="F38" s="49"/>
      <c r="H38" s="505"/>
      <c r="J38" s="443"/>
    </row>
    <row r="39" spans="1:9" s="1" customFormat="1" ht="17.25" customHeight="1">
      <c r="A39" s="41" t="s">
        <v>1038</v>
      </c>
      <c r="B39" s="39"/>
      <c r="C39" s="39"/>
      <c r="D39" s="39" t="s">
        <v>1039</v>
      </c>
      <c r="F39" s="41" t="s">
        <v>58</v>
      </c>
      <c r="G39" s="39"/>
      <c r="H39" s="39"/>
      <c r="I39" s="39" t="s">
        <v>959</v>
      </c>
    </row>
    <row r="40" spans="1:10" s="1" customFormat="1" ht="17.25" customHeight="1">
      <c r="A40" s="506"/>
      <c r="B40" s="507"/>
      <c r="C40" s="505"/>
      <c r="D40" s="132"/>
      <c r="E40" s="443"/>
      <c r="F40" s="506"/>
      <c r="G40" s="507"/>
      <c r="H40" s="505"/>
      <c r="I40" s="132"/>
      <c r="J40" s="443"/>
    </row>
    <row r="41" spans="1:10" s="1" customFormat="1" ht="17.25" customHeight="1">
      <c r="A41" s="465"/>
      <c r="B41" s="505"/>
      <c r="C41" s="132"/>
      <c r="E41" s="443"/>
      <c r="F41" s="465"/>
      <c r="G41" s="505"/>
      <c r="H41" s="132"/>
      <c r="J41" s="443"/>
    </row>
    <row r="43" spans="1:10" s="1" customFormat="1" ht="17.25" customHeight="1">
      <c r="A43" s="465"/>
      <c r="B43" s="508"/>
      <c r="C43" s="264"/>
      <c r="D43" s="264"/>
      <c r="E43" s="443"/>
      <c r="F43" s="49" t="s">
        <v>838</v>
      </c>
      <c r="G43" s="508"/>
      <c r="H43" s="264"/>
      <c r="I43" s="264"/>
      <c r="J43" s="443"/>
    </row>
    <row r="44" spans="1:10" s="1" customFormat="1" ht="17.25" customHeight="1">
      <c r="A44" s="465"/>
      <c r="B44" s="505"/>
      <c r="E44" s="443"/>
      <c r="F44" s="49" t="s">
        <v>316</v>
      </c>
      <c r="G44" s="505"/>
      <c r="J44" s="443"/>
    </row>
    <row r="45" spans="1:10" s="1" customFormat="1" ht="17.25" customHeight="1">
      <c r="A45" s="465"/>
      <c r="B45" s="508"/>
      <c r="C45" s="264"/>
      <c r="D45" s="264"/>
      <c r="E45" s="443"/>
      <c r="F45" s="465"/>
      <c r="G45" s="508"/>
      <c r="H45" s="264"/>
      <c r="I45" s="264"/>
      <c r="J45" s="443"/>
    </row>
    <row r="46" spans="1:10" s="1" customFormat="1" ht="17.25" customHeight="1">
      <c r="A46" s="465"/>
      <c r="B46" s="508"/>
      <c r="C46" s="264"/>
      <c r="E46" s="443"/>
      <c r="F46" s="465"/>
      <c r="G46" s="508"/>
      <c r="H46" s="264"/>
      <c r="J46" s="443"/>
    </row>
    <row r="47" spans="2:9" ht="17.25" customHeight="1">
      <c r="B47" s="509"/>
      <c r="C47" s="494"/>
      <c r="D47" s="264"/>
      <c r="G47" s="509"/>
      <c r="H47" s="494"/>
      <c r="I47" s="264"/>
    </row>
  </sheetData>
  <mergeCells count="6">
    <mergeCell ref="A5:E5"/>
    <mergeCell ref="F5:J5"/>
    <mergeCell ref="A2:E2"/>
    <mergeCell ref="F2:J2"/>
    <mergeCell ref="A4:E4"/>
    <mergeCell ref="F4:J4"/>
  </mergeCells>
  <printOptions horizontalCentered="1"/>
  <pageMargins left="0.9448818897637796" right="0.1968503937007874" top="0.4330708661417323" bottom="0.4724409448818898" header="0.15748031496062992" footer="0.1968503937007874"/>
  <pageSetup firstPageNumber="34" useFirstPageNumber="1" horizontalDpi="300" verticalDpi="300" orientation="portrait" paperSize="9" scale="99" r:id="rId1"/>
  <headerFooter alignWithMargins="0">
    <oddFooter>&amp;R&amp;8&amp;P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F1">
      <selection activeCell="F5" sqref="F5:J5"/>
    </sheetView>
  </sheetViews>
  <sheetFormatPr defaultColWidth="9.140625" defaultRowHeight="17.25" customHeight="1"/>
  <cols>
    <col min="1" max="1" width="40.28125" style="465" hidden="1" customWidth="1"/>
    <col min="2" max="2" width="8.8515625" style="443" hidden="1" customWidth="1"/>
    <col min="3" max="3" width="12.28125" style="443" hidden="1" customWidth="1"/>
    <col min="4" max="4" width="10.7109375" style="443" hidden="1" customWidth="1"/>
    <col min="5" max="5" width="0.42578125" style="443" hidden="1" customWidth="1"/>
    <col min="6" max="6" width="40.28125" style="465" customWidth="1"/>
    <col min="7" max="7" width="8.8515625" style="443" customWidth="1"/>
    <col min="8" max="8" width="12.28125" style="443" customWidth="1"/>
    <col min="9" max="9" width="10.7109375" style="443" customWidth="1"/>
    <col min="10" max="10" width="11.57421875" style="443" customWidth="1"/>
    <col min="11" max="16384" width="9.140625" style="443" customWidth="1"/>
  </cols>
  <sheetData>
    <row r="1" spans="1:10" s="38" customFormat="1" ht="17.25" customHeight="1">
      <c r="A1" s="49"/>
      <c r="B1" s="51"/>
      <c r="C1" s="51"/>
      <c r="D1" s="51"/>
      <c r="E1" s="271" t="s">
        <v>430</v>
      </c>
      <c r="F1" s="49"/>
      <c r="G1" s="51"/>
      <c r="H1" s="51"/>
      <c r="I1" s="51"/>
      <c r="J1" s="271" t="s">
        <v>430</v>
      </c>
    </row>
    <row r="2" spans="1:10" s="49" customFormat="1" ht="17.25" customHeight="1">
      <c r="A2" s="466" t="s">
        <v>431</v>
      </c>
      <c r="B2" s="51"/>
      <c r="C2" s="51"/>
      <c r="D2" s="51"/>
      <c r="E2" s="511"/>
      <c r="F2" s="466" t="s">
        <v>431</v>
      </c>
      <c r="G2" s="51"/>
      <c r="H2" s="51"/>
      <c r="I2" s="51"/>
      <c r="J2" s="511"/>
    </row>
    <row r="3" spans="1:10" s="38" customFormat="1" ht="17.25" customHeight="1">
      <c r="A3" s="465"/>
      <c r="D3" s="87"/>
      <c r="E3" s="87"/>
      <c r="F3" s="465"/>
      <c r="I3" s="87"/>
      <c r="J3" s="87"/>
    </row>
    <row r="4" spans="1:10" s="469" customFormat="1" ht="17.25" customHeight="1">
      <c r="A4" s="875" t="s">
        <v>432</v>
      </c>
      <c r="B4" s="875"/>
      <c r="C4" s="875"/>
      <c r="D4" s="875"/>
      <c r="E4" s="875"/>
      <c r="F4" s="875" t="s">
        <v>432</v>
      </c>
      <c r="G4" s="875"/>
      <c r="H4" s="875"/>
      <c r="I4" s="875"/>
      <c r="J4" s="875"/>
    </row>
    <row r="5" spans="1:10" s="469" customFormat="1" ht="17.25" customHeight="1">
      <c r="A5" s="875" t="s">
        <v>433</v>
      </c>
      <c r="B5" s="875"/>
      <c r="C5" s="875"/>
      <c r="D5" s="875"/>
      <c r="E5" s="875"/>
      <c r="F5" s="876" t="s">
        <v>344</v>
      </c>
      <c r="G5" s="876"/>
      <c r="H5" s="876"/>
      <c r="I5" s="876"/>
      <c r="J5" s="876"/>
    </row>
    <row r="6" spans="1:10" s="38" customFormat="1" ht="17.25" customHeight="1">
      <c r="A6" s="465"/>
      <c r="C6" s="87" t="s">
        <v>434</v>
      </c>
      <c r="D6" s="87"/>
      <c r="E6" s="51" t="s">
        <v>63</v>
      </c>
      <c r="F6" s="465"/>
      <c r="I6" s="87"/>
      <c r="J6" s="2" t="s">
        <v>842</v>
      </c>
    </row>
    <row r="7" spans="1:10" s="38" customFormat="1" ht="57.75" customHeight="1">
      <c r="A7" s="499" t="s">
        <v>738</v>
      </c>
      <c r="B7" s="476" t="s">
        <v>271</v>
      </c>
      <c r="C7" s="476" t="s">
        <v>844</v>
      </c>
      <c r="D7" s="476" t="s">
        <v>370</v>
      </c>
      <c r="E7" s="9" t="s">
        <v>435</v>
      </c>
      <c r="F7" s="499" t="s">
        <v>738</v>
      </c>
      <c r="G7" s="476" t="s">
        <v>271</v>
      </c>
      <c r="H7" s="476" t="s">
        <v>844</v>
      </c>
      <c r="I7" s="476" t="s">
        <v>370</v>
      </c>
      <c r="J7" s="9" t="s">
        <v>312</v>
      </c>
    </row>
    <row r="8" spans="1:10" s="49" customFormat="1" ht="17.25" customHeight="1">
      <c r="A8" s="477" t="s">
        <v>371</v>
      </c>
      <c r="B8" s="478" t="s">
        <v>414</v>
      </c>
      <c r="C8" s="478" t="s">
        <v>415</v>
      </c>
      <c r="D8" s="478" t="s">
        <v>416</v>
      </c>
      <c r="E8" s="478" t="s">
        <v>372</v>
      </c>
      <c r="F8" s="477" t="s">
        <v>371</v>
      </c>
      <c r="G8" s="478" t="s">
        <v>414</v>
      </c>
      <c r="H8" s="478" t="s">
        <v>415</v>
      </c>
      <c r="I8" s="478" t="s">
        <v>416</v>
      </c>
      <c r="J8" s="478" t="s">
        <v>372</v>
      </c>
    </row>
    <row r="9" spans="1:10" s="49" customFormat="1" ht="17.25" customHeight="1">
      <c r="A9" s="480" t="s">
        <v>1047</v>
      </c>
      <c r="B9" s="179"/>
      <c r="C9" s="174">
        <f>'[1]Marts'!$C$9</f>
        <v>0</v>
      </c>
      <c r="D9" s="181"/>
      <c r="E9" s="174">
        <f>C9-'[2]Marts'!C9</f>
        <v>0</v>
      </c>
      <c r="F9" s="480" t="s">
        <v>1047</v>
      </c>
      <c r="G9" s="174">
        <f>'[1]Novembris'!$G$9</f>
        <v>446903</v>
      </c>
      <c r="H9" s="174">
        <f>'[1]Novembris'!$H$9</f>
        <v>413027</v>
      </c>
      <c r="I9" s="192">
        <f aca="true" t="shared" si="0" ref="I9:I32">H9/G9*100</f>
        <v>92.4198315965657</v>
      </c>
      <c r="J9" s="174">
        <f>H9-'[2]Oktobris'!H9</f>
        <v>40503</v>
      </c>
    </row>
    <row r="10" spans="1:10" s="49" customFormat="1" ht="17.25" customHeight="1">
      <c r="A10" s="480" t="s">
        <v>436</v>
      </c>
      <c r="B10" s="179"/>
      <c r="C10" s="174">
        <f>SUM(C11,C26)</f>
        <v>0</v>
      </c>
      <c r="D10" s="192"/>
      <c r="E10" s="174">
        <f>SUM(E11,E26)</f>
        <v>0</v>
      </c>
      <c r="F10" s="480" t="s">
        <v>436</v>
      </c>
      <c r="G10" s="174">
        <f>SUM(G11,G26)</f>
        <v>484802</v>
      </c>
      <c r="H10" s="174">
        <f>SUM(H11,H26)</f>
        <v>431090</v>
      </c>
      <c r="I10" s="192">
        <f t="shared" si="0"/>
        <v>88.92083778532268</v>
      </c>
      <c r="J10" s="174">
        <f>SUM(J11,J26)</f>
        <v>41765</v>
      </c>
    </row>
    <row r="11" spans="1:10" s="491" customFormat="1" ht="17.25" customHeight="1">
      <c r="A11" s="500" t="s">
        <v>1054</v>
      </c>
      <c r="B11" s="179"/>
      <c r="C11" s="174">
        <f>SUM(C12,C18,C19)</f>
        <v>0</v>
      </c>
      <c r="D11" s="192"/>
      <c r="E11" s="174">
        <f>SUM(E12,E18,E19)</f>
        <v>0</v>
      </c>
      <c r="F11" s="500" t="s">
        <v>1054</v>
      </c>
      <c r="G11" s="174">
        <f>SUM(G12,G18,G19)</f>
        <v>403290</v>
      </c>
      <c r="H11" s="174">
        <f>SUM(H12,H18,H19)</f>
        <v>355666</v>
      </c>
      <c r="I11" s="192">
        <f t="shared" si="0"/>
        <v>88.19112797242678</v>
      </c>
      <c r="J11" s="174">
        <f>SUM(J12,J18,J19)</f>
        <v>36052</v>
      </c>
    </row>
    <row r="12" spans="1:10" s="491" customFormat="1" ht="17.25" customHeight="1">
      <c r="A12" s="500" t="s">
        <v>1055</v>
      </c>
      <c r="B12" s="179"/>
      <c r="C12" s="174">
        <f>SUM(C13,C14,C15)</f>
        <v>0</v>
      </c>
      <c r="D12" s="192"/>
      <c r="E12" s="174">
        <f>SUM(E13,E14,E15)</f>
        <v>0</v>
      </c>
      <c r="F12" s="500" t="s">
        <v>1055</v>
      </c>
      <c r="G12" s="174">
        <f>SUM(G13,G14,G15)</f>
        <v>317873</v>
      </c>
      <c r="H12" s="174">
        <f>SUM(H13,H14,H15)</f>
        <v>279123</v>
      </c>
      <c r="I12" s="192">
        <f t="shared" si="0"/>
        <v>87.80959691449101</v>
      </c>
      <c r="J12" s="174">
        <f>SUM(J13,J14,J15)</f>
        <v>28496</v>
      </c>
    </row>
    <row r="13" spans="1:10" ht="12.75">
      <c r="A13" s="501" t="s">
        <v>437</v>
      </c>
      <c r="B13" s="179"/>
      <c r="C13" s="179"/>
      <c r="D13" s="181"/>
      <c r="E13" s="179">
        <f>C13-'[2]Marts'!C13</f>
        <v>0</v>
      </c>
      <c r="F13" s="501" t="s">
        <v>437</v>
      </c>
      <c r="G13" s="179">
        <v>164129</v>
      </c>
      <c r="H13" s="179">
        <v>145554</v>
      </c>
      <c r="I13" s="181">
        <f t="shared" si="0"/>
        <v>88.68268252411214</v>
      </c>
      <c r="J13" s="179">
        <f>H13-'[2]Oktobris'!H13</f>
        <v>14911</v>
      </c>
    </row>
    <row r="14" spans="1:10" ht="25.5">
      <c r="A14" s="501" t="s">
        <v>438</v>
      </c>
      <c r="B14" s="179"/>
      <c r="C14" s="179"/>
      <c r="D14" s="181"/>
      <c r="E14" s="179">
        <f>C14-'[2]Marts'!C14</f>
        <v>0</v>
      </c>
      <c r="F14" s="501" t="s">
        <v>438</v>
      </c>
      <c r="G14" s="179">
        <v>43120</v>
      </c>
      <c r="H14" s="179">
        <v>37250</v>
      </c>
      <c r="I14" s="181">
        <f t="shared" si="0"/>
        <v>86.38682745825604</v>
      </c>
      <c r="J14" s="179">
        <f>H14-'[2]Oktobris'!H14</f>
        <v>3823</v>
      </c>
    </row>
    <row r="15" spans="1:10" ht="17.25" customHeight="1">
      <c r="A15" s="501" t="s">
        <v>439</v>
      </c>
      <c r="B15" s="179"/>
      <c r="C15" s="179">
        <f>SUM(C16:C17)</f>
        <v>0</v>
      </c>
      <c r="D15" s="181"/>
      <c r="E15" s="179">
        <f>SUM(E16:E17)</f>
        <v>0</v>
      </c>
      <c r="F15" s="501" t="s">
        <v>439</v>
      </c>
      <c r="G15" s="179">
        <f>SUM(G16:G17)</f>
        <v>110624</v>
      </c>
      <c r="H15" s="179">
        <f>SUM(H16:H17)</f>
        <v>96319</v>
      </c>
      <c r="I15" s="181">
        <f t="shared" si="0"/>
        <v>87.06880966155627</v>
      </c>
      <c r="J15" s="179">
        <f>H15-'[2]Oktobris'!H15</f>
        <v>9762</v>
      </c>
    </row>
    <row r="16" spans="1:10" ht="25.5">
      <c r="A16" s="512" t="s">
        <v>440</v>
      </c>
      <c r="B16" s="179"/>
      <c r="C16" s="179"/>
      <c r="D16" s="181"/>
      <c r="E16" s="179">
        <f>C16-'[2]Marts'!C16</f>
        <v>0</v>
      </c>
      <c r="F16" s="512" t="s">
        <v>440</v>
      </c>
      <c r="G16" s="179">
        <v>106804</v>
      </c>
      <c r="H16" s="179">
        <v>93334</v>
      </c>
      <c r="I16" s="181">
        <f t="shared" si="0"/>
        <v>87.38811280476386</v>
      </c>
      <c r="J16" s="179">
        <f>H16-'[2]Oktobris'!H16</f>
        <v>9321</v>
      </c>
    </row>
    <row r="17" spans="1:10" ht="12.75">
      <c r="A17" s="512" t="s">
        <v>441</v>
      </c>
      <c r="B17" s="179"/>
      <c r="C17" s="179"/>
      <c r="D17" s="181"/>
      <c r="E17" s="179">
        <f>C17-'[2]Marts'!C17</f>
        <v>0</v>
      </c>
      <c r="F17" s="512" t="s">
        <v>441</v>
      </c>
      <c r="G17" s="179">
        <v>3820</v>
      </c>
      <c r="H17" s="179">
        <v>2985</v>
      </c>
      <c r="I17" s="181">
        <f t="shared" si="0"/>
        <v>78.1413612565445</v>
      </c>
      <c r="J17" s="179">
        <f>H17-'[2]Oktobris'!H17</f>
        <v>441</v>
      </c>
    </row>
    <row r="18" spans="1:10" ht="25.5">
      <c r="A18" s="500" t="s">
        <v>442</v>
      </c>
      <c r="B18" s="179"/>
      <c r="C18" s="174"/>
      <c r="D18" s="181"/>
      <c r="E18" s="179">
        <f>C18-'[2]Marts'!C18</f>
        <v>0</v>
      </c>
      <c r="F18" s="500" t="s">
        <v>442</v>
      </c>
      <c r="G18" s="174">
        <v>4527</v>
      </c>
      <c r="H18" s="174">
        <v>4050</v>
      </c>
      <c r="I18" s="192">
        <f t="shared" si="0"/>
        <v>89.46322067594433</v>
      </c>
      <c r="J18" s="174">
        <f>H18-'[2]Oktobris'!H18</f>
        <v>83</v>
      </c>
    </row>
    <row r="19" spans="1:10" ht="12.75">
      <c r="A19" s="500" t="s">
        <v>3</v>
      </c>
      <c r="B19" s="179"/>
      <c r="C19" s="174">
        <f>SUM(C20:C25)</f>
        <v>0</v>
      </c>
      <c r="D19" s="181"/>
      <c r="E19" s="179">
        <f>SUM(E20:E24)</f>
        <v>0</v>
      </c>
      <c r="F19" s="500" t="s">
        <v>3</v>
      </c>
      <c r="G19" s="174">
        <f>SUM(G20:G25)</f>
        <v>80890</v>
      </c>
      <c r="H19" s="174">
        <f>SUM(H20:H25)</f>
        <v>72493</v>
      </c>
      <c r="I19" s="192">
        <f t="shared" si="0"/>
        <v>89.61923599950549</v>
      </c>
      <c r="J19" s="174">
        <f>SUM(J20:J25)</f>
        <v>7473</v>
      </c>
    </row>
    <row r="20" spans="1:10" ht="12.75">
      <c r="A20" s="501" t="s">
        <v>443</v>
      </c>
      <c r="B20" s="179"/>
      <c r="C20" s="179"/>
      <c r="D20" s="181"/>
      <c r="E20" s="179">
        <f>C20-'[2]Marts'!C20</f>
        <v>0</v>
      </c>
      <c r="F20" s="501" t="s">
        <v>443</v>
      </c>
      <c r="G20" s="179">
        <v>284</v>
      </c>
      <c r="H20" s="179">
        <v>224</v>
      </c>
      <c r="I20" s="181">
        <f t="shared" si="0"/>
        <v>78.87323943661971</v>
      </c>
      <c r="J20" s="179">
        <f>H20-'[2]Oktobris'!H20</f>
        <v>-9</v>
      </c>
    </row>
    <row r="21" spans="1:10" ht="12.75">
      <c r="A21" s="501" t="s">
        <v>444</v>
      </c>
      <c r="B21" s="179"/>
      <c r="C21" s="179"/>
      <c r="D21" s="181"/>
      <c r="E21" s="179">
        <f>C21-'[2]Marts'!C21</f>
        <v>0</v>
      </c>
      <c r="F21" s="501" t="s">
        <v>444</v>
      </c>
      <c r="G21" s="179">
        <v>5069</v>
      </c>
      <c r="H21" s="179">
        <v>4506</v>
      </c>
      <c r="I21" s="181">
        <f t="shared" si="0"/>
        <v>88.89327283487867</v>
      </c>
      <c r="J21" s="179">
        <f>H21-'[2]Oktobris'!H21</f>
        <v>489</v>
      </c>
    </row>
    <row r="22" spans="1:10" ht="12.75">
      <c r="A22" s="501" t="s">
        <v>445</v>
      </c>
      <c r="B22" s="179"/>
      <c r="C22" s="179"/>
      <c r="D22" s="181"/>
      <c r="E22" s="179">
        <f>C22-'[2]Marts'!C22</f>
        <v>0</v>
      </c>
      <c r="F22" s="501" t="s">
        <v>445</v>
      </c>
      <c r="G22" s="179">
        <v>27208</v>
      </c>
      <c r="H22" s="179">
        <v>24906</v>
      </c>
      <c r="I22" s="181">
        <f t="shared" si="0"/>
        <v>91.53925316083505</v>
      </c>
      <c r="J22" s="179">
        <f>H22-'[2]Oktobris'!H22</f>
        <v>2305</v>
      </c>
    </row>
    <row r="23" spans="1:10" ht="25.5">
      <c r="A23" s="501" t="s">
        <v>446</v>
      </c>
      <c r="B23" s="179"/>
      <c r="C23" s="179"/>
      <c r="D23" s="181"/>
      <c r="E23" s="179">
        <f>C23-'[2]Marts'!C23</f>
        <v>0</v>
      </c>
      <c r="F23" s="501" t="s">
        <v>446</v>
      </c>
      <c r="G23" s="179">
        <v>20485</v>
      </c>
      <c r="H23" s="179">
        <v>18616</v>
      </c>
      <c r="I23" s="181">
        <f t="shared" si="0"/>
        <v>90.87625091530388</v>
      </c>
      <c r="J23" s="179">
        <f>H23-'[2]Oktobris'!H23</f>
        <v>1717</v>
      </c>
    </row>
    <row r="24" spans="1:10" ht="12.75">
      <c r="A24" s="501" t="s">
        <v>447</v>
      </c>
      <c r="B24" s="179"/>
      <c r="C24" s="179"/>
      <c r="D24" s="181"/>
      <c r="E24" s="179">
        <f>C24-'[2]Marts'!C24</f>
        <v>0</v>
      </c>
      <c r="F24" s="501" t="s">
        <v>447</v>
      </c>
      <c r="G24" s="179">
        <v>17839</v>
      </c>
      <c r="H24" s="179">
        <v>15557</v>
      </c>
      <c r="I24" s="181">
        <f t="shared" si="0"/>
        <v>87.20780312797802</v>
      </c>
      <c r="J24" s="179">
        <f>H24-'[2]Oktobris'!H24</f>
        <v>1759</v>
      </c>
    </row>
    <row r="25" spans="1:10" ht="15.75" customHeight="1">
      <c r="A25" s="501" t="s">
        <v>448</v>
      </c>
      <c r="B25" s="179"/>
      <c r="C25" s="179"/>
      <c r="D25" s="181"/>
      <c r="E25" s="179">
        <f>C25-'[2]Marts'!C25</f>
        <v>0</v>
      </c>
      <c r="F25" s="501" t="s">
        <v>448</v>
      </c>
      <c r="G25" s="179">
        <v>10005</v>
      </c>
      <c r="H25" s="179">
        <v>8684</v>
      </c>
      <c r="I25" s="181">
        <f t="shared" si="0"/>
        <v>86.79660169915041</v>
      </c>
      <c r="J25" s="179">
        <f>H25-'[2]Oktobris'!H25</f>
        <v>1212</v>
      </c>
    </row>
    <row r="26" spans="1:10" s="491" customFormat="1" ht="12.75">
      <c r="A26" s="500" t="s">
        <v>18</v>
      </c>
      <c r="B26" s="179"/>
      <c r="C26" s="174">
        <f>SUM(C27:C28)</f>
        <v>0</v>
      </c>
      <c r="D26" s="181"/>
      <c r="E26" s="179">
        <f>SUM(E27:E28)</f>
        <v>0</v>
      </c>
      <c r="F26" s="500" t="s">
        <v>18</v>
      </c>
      <c r="G26" s="174">
        <f>SUM(G27:G28)</f>
        <v>81512</v>
      </c>
      <c r="H26" s="174">
        <f>SUM(H27:H28)</f>
        <v>75424</v>
      </c>
      <c r="I26" s="192">
        <f t="shared" si="0"/>
        <v>92.53116105604083</v>
      </c>
      <c r="J26" s="174">
        <f>SUM(J27:J28)</f>
        <v>5713</v>
      </c>
    </row>
    <row r="27" spans="1:10" s="491" customFormat="1" ht="12.75">
      <c r="A27" s="501" t="s">
        <v>449</v>
      </c>
      <c r="B27" s="179"/>
      <c r="C27" s="179"/>
      <c r="D27" s="181"/>
      <c r="E27" s="179">
        <f>C27-'[2]Marts'!C27</f>
        <v>0</v>
      </c>
      <c r="F27" s="501" t="s">
        <v>449</v>
      </c>
      <c r="G27" s="179">
        <f>22514+1495</f>
        <v>24009</v>
      </c>
      <c r="H27" s="179">
        <f>19585+784</f>
        <v>20369</v>
      </c>
      <c r="I27" s="181">
        <f t="shared" si="0"/>
        <v>84.83901870132033</v>
      </c>
      <c r="J27" s="179">
        <f>H27-'[2]Oktobris'!H27</f>
        <v>2489</v>
      </c>
    </row>
    <row r="28" spans="1:10" ht="17.25" customHeight="1">
      <c r="A28" s="501" t="s">
        <v>237</v>
      </c>
      <c r="B28" s="179"/>
      <c r="C28" s="179"/>
      <c r="D28" s="181"/>
      <c r="E28" s="179">
        <f>C28-'[2]Marts'!C28</f>
        <v>0</v>
      </c>
      <c r="F28" s="501" t="s">
        <v>237</v>
      </c>
      <c r="G28" s="179">
        <v>57503</v>
      </c>
      <c r="H28" s="179">
        <v>55055</v>
      </c>
      <c r="I28" s="181">
        <f t="shared" si="0"/>
        <v>95.74283080882736</v>
      </c>
      <c r="J28" s="179">
        <f>H28-'[2]Oktobris'!H28</f>
        <v>3224</v>
      </c>
    </row>
    <row r="29" spans="1:10" s="491" customFormat="1" ht="12.75">
      <c r="A29" s="500" t="s">
        <v>450</v>
      </c>
      <c r="B29" s="179"/>
      <c r="C29" s="174">
        <f>C30-C31</f>
        <v>0</v>
      </c>
      <c r="D29" s="181"/>
      <c r="E29" s="179">
        <f>E30-E31</f>
        <v>0</v>
      </c>
      <c r="F29" s="500" t="s">
        <v>450</v>
      </c>
      <c r="G29" s="174">
        <f>G30-G31</f>
        <v>-708</v>
      </c>
      <c r="H29" s="174">
        <f>H30-H31</f>
        <v>-450</v>
      </c>
      <c r="I29" s="192">
        <f t="shared" si="0"/>
        <v>63.559322033898304</v>
      </c>
      <c r="J29" s="174">
        <f>J30-J31</f>
        <v>-213</v>
      </c>
    </row>
    <row r="30" spans="1:10" ht="12.75">
      <c r="A30" s="501" t="s">
        <v>451</v>
      </c>
      <c r="B30" s="179"/>
      <c r="C30" s="179"/>
      <c r="D30" s="181"/>
      <c r="E30" s="179">
        <f>C30-'[2]Marts'!C30</f>
        <v>0</v>
      </c>
      <c r="F30" s="501" t="s">
        <v>451</v>
      </c>
      <c r="G30" s="179">
        <v>129</v>
      </c>
      <c r="H30" s="179">
        <v>994</v>
      </c>
      <c r="I30" s="181">
        <f t="shared" si="0"/>
        <v>770.5426356589147</v>
      </c>
      <c r="J30" s="179">
        <f>H30-'[2]Oktobris'!H30</f>
        <v>314</v>
      </c>
    </row>
    <row r="31" spans="1:10" ht="12.75">
      <c r="A31" s="501" t="s">
        <v>452</v>
      </c>
      <c r="B31" s="179"/>
      <c r="C31" s="179"/>
      <c r="D31" s="181"/>
      <c r="E31" s="179">
        <f>C31-'[2]Marts'!C31</f>
        <v>0</v>
      </c>
      <c r="F31" s="501" t="s">
        <v>452</v>
      </c>
      <c r="G31" s="179">
        <v>837</v>
      </c>
      <c r="H31" s="179">
        <v>1444</v>
      </c>
      <c r="I31" s="181">
        <f t="shared" si="0"/>
        <v>172.52090800477896</v>
      </c>
      <c r="J31" s="179">
        <f>H31-'[2]Oktobris'!H31</f>
        <v>527</v>
      </c>
    </row>
    <row r="32" spans="1:10" ht="12.75">
      <c r="A32" s="500" t="s">
        <v>199</v>
      </c>
      <c r="B32" s="179"/>
      <c r="C32" s="179">
        <f>C9-C10-C25-C29</f>
        <v>0</v>
      </c>
      <c r="D32" s="181"/>
      <c r="E32" s="179">
        <f>C32-'[2]Marts'!C32</f>
        <v>0</v>
      </c>
      <c r="F32" s="500" t="s">
        <v>199</v>
      </c>
      <c r="G32" s="174">
        <f>G9-G10-G29</f>
        <v>-37191</v>
      </c>
      <c r="H32" s="174">
        <f>H9-H10-H29</f>
        <v>-17613</v>
      </c>
      <c r="I32" s="192">
        <f t="shared" si="0"/>
        <v>47.358231830281525</v>
      </c>
      <c r="J32" s="174">
        <f>H32-'[2]Oktobris'!H32</f>
        <v>-1049</v>
      </c>
    </row>
    <row r="33" spans="1:10" s="1" customFormat="1" ht="17.25" customHeight="1">
      <c r="A33" s="493"/>
      <c r="B33" s="505"/>
      <c r="C33"/>
      <c r="D33" s="505"/>
      <c r="E33" s="505"/>
      <c r="F33" s="493"/>
      <c r="G33" s="505"/>
      <c r="H33"/>
      <c r="I33" s="505"/>
      <c r="J33" s="505"/>
    </row>
    <row r="34" spans="1:10" s="1" customFormat="1" ht="17.25" customHeight="1">
      <c r="A34" s="493"/>
      <c r="B34" s="505"/>
      <c r="C34"/>
      <c r="D34" s="505"/>
      <c r="E34" s="505"/>
      <c r="F34" s="493"/>
      <c r="G34" s="505"/>
      <c r="H34"/>
      <c r="I34" s="505"/>
      <c r="J34" s="505"/>
    </row>
    <row r="35" spans="1:10" ht="17.25" customHeight="1">
      <c r="A35" s="495"/>
      <c r="B35" s="505"/>
      <c r="C35"/>
      <c r="D35" s="505"/>
      <c r="E35" s="505"/>
      <c r="F35" s="495"/>
      <c r="G35" s="505"/>
      <c r="H35"/>
      <c r="I35" s="505"/>
      <c r="J35" s="505"/>
    </row>
    <row r="36" spans="1:10" s="1" customFormat="1" ht="17.25" customHeight="1">
      <c r="A36" s="41" t="s">
        <v>1038</v>
      </c>
      <c r="B36" s="39"/>
      <c r="C36"/>
      <c r="D36" s="39" t="s">
        <v>1039</v>
      </c>
      <c r="E36" s="495"/>
      <c r="F36" s="41" t="s">
        <v>58</v>
      </c>
      <c r="G36" s="39"/>
      <c r="H36"/>
      <c r="I36" s="39" t="s">
        <v>959</v>
      </c>
      <c r="J36" s="495"/>
    </row>
    <row r="37" spans="1:10" s="1" customFormat="1" ht="17.25" customHeight="1">
      <c r="A37" s="49"/>
      <c r="C37"/>
      <c r="D37" s="505"/>
      <c r="E37" s="505"/>
      <c r="F37" s="49"/>
      <c r="H37"/>
      <c r="I37" s="505"/>
      <c r="J37" s="505"/>
    </row>
    <row r="38" spans="1:10" s="1" customFormat="1" ht="17.25" customHeight="1">
      <c r="A38" s="495"/>
      <c r="B38" s="264"/>
      <c r="C38"/>
      <c r="D38" s="505"/>
      <c r="E38" s="505"/>
      <c r="F38" s="495"/>
      <c r="G38" s="264"/>
      <c r="H38"/>
      <c r="I38" s="505"/>
      <c r="J38" s="505"/>
    </row>
    <row r="39" spans="1:10" s="1" customFormat="1" ht="17.25" customHeight="1">
      <c r="A39" s="495"/>
      <c r="B39" s="264"/>
      <c r="C39"/>
      <c r="D39" s="505"/>
      <c r="E39" s="505"/>
      <c r="F39" s="495"/>
      <c r="G39" s="264"/>
      <c r="H39"/>
      <c r="I39" s="505"/>
      <c r="J39" s="505"/>
    </row>
    <row r="40" spans="1:10" ht="17.25" customHeight="1">
      <c r="A40" s="495"/>
      <c r="B40" s="494"/>
      <c r="C40"/>
      <c r="D40" s="505"/>
      <c r="E40" s="505"/>
      <c r="F40" s="495"/>
      <c r="G40" s="494"/>
      <c r="H40"/>
      <c r="I40" s="505"/>
      <c r="J40" s="505"/>
    </row>
    <row r="41" spans="3:10" ht="17.25" customHeight="1">
      <c r="C41"/>
      <c r="D41" s="505"/>
      <c r="E41" s="505"/>
      <c r="F41" s="465" t="s">
        <v>134</v>
      </c>
      <c r="H41"/>
      <c r="I41" s="505"/>
      <c r="J41" s="505"/>
    </row>
    <row r="42" spans="3:10" ht="17.25" customHeight="1">
      <c r="C42"/>
      <c r="D42" s="505"/>
      <c r="E42" s="505"/>
      <c r="F42" s="465" t="s">
        <v>316</v>
      </c>
      <c r="H42"/>
      <c r="I42" s="505"/>
      <c r="J42" s="505"/>
    </row>
    <row r="43" spans="3:8" ht="17.25" customHeight="1">
      <c r="C43"/>
      <c r="H43"/>
    </row>
    <row r="44" spans="3:8" ht="17.25" customHeight="1">
      <c r="C44"/>
      <c r="H44"/>
    </row>
    <row r="45" spans="3:8" ht="17.25" customHeight="1">
      <c r="C45"/>
      <c r="H45"/>
    </row>
  </sheetData>
  <mergeCells count="4">
    <mergeCell ref="A4:E4"/>
    <mergeCell ref="F4:J4"/>
    <mergeCell ref="A5:E5"/>
    <mergeCell ref="F5:J5"/>
  </mergeCells>
  <printOptions/>
  <pageMargins left="0.984251968503937" right="0.1968503937007874" top="0.984251968503937" bottom="0.7480314960629921" header="0.5118110236220472" footer="0.5118110236220472"/>
  <pageSetup firstPageNumber="35" useFirstPageNumber="1" horizontalDpi="300" verticalDpi="300" orientation="portrait" paperSize="9" r:id="rId1"/>
  <headerFooter alignWithMargins="0">
    <oddFooter>&amp;R&amp;8&amp;P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A7" sqref="A7"/>
    </sheetView>
  </sheetViews>
  <sheetFormatPr defaultColWidth="9.140625" defaultRowHeight="12.75"/>
  <cols>
    <col min="1" max="1" width="37.57421875" style="0" customWidth="1"/>
    <col min="7" max="7" width="11.421875" style="0" customWidth="1"/>
  </cols>
  <sheetData>
    <row r="1" spans="1:5" ht="12.75">
      <c r="A1" s="49"/>
      <c r="B1" s="51"/>
      <c r="C1" s="51"/>
      <c r="D1" s="51"/>
      <c r="E1" s="271" t="s">
        <v>453</v>
      </c>
    </row>
    <row r="2" spans="1:5" ht="12.75">
      <c r="A2" s="855" t="s">
        <v>962</v>
      </c>
      <c r="B2" s="855"/>
      <c r="C2" s="855"/>
      <c r="D2" s="855"/>
      <c r="E2" s="855"/>
    </row>
    <row r="3" spans="1:5" ht="12.75">
      <c r="A3" s="49"/>
      <c r="B3" s="443"/>
      <c r="C3" s="443"/>
      <c r="D3" s="513"/>
      <c r="E3" s="513"/>
    </row>
    <row r="4" spans="1:5" ht="12.75">
      <c r="A4" s="875" t="s">
        <v>454</v>
      </c>
      <c r="B4" s="875"/>
      <c r="C4" s="875"/>
      <c r="D4" s="875"/>
      <c r="E4" s="875"/>
    </row>
    <row r="5" spans="1:5" ht="12.75">
      <c r="A5" s="876" t="s">
        <v>318</v>
      </c>
      <c r="B5" s="876"/>
      <c r="C5" s="876"/>
      <c r="D5" s="876"/>
      <c r="E5" s="876"/>
    </row>
    <row r="6" spans="1:5" ht="12.75">
      <c r="A6" s="49"/>
      <c r="B6" s="87"/>
      <c r="C6" s="87"/>
      <c r="D6" s="38"/>
      <c r="E6" s="447" t="s">
        <v>64</v>
      </c>
    </row>
    <row r="7" spans="1:5" ht="33.75">
      <c r="A7" s="514" t="s">
        <v>738</v>
      </c>
      <c r="B7" s="476" t="s">
        <v>271</v>
      </c>
      <c r="C7" s="476" t="s">
        <v>844</v>
      </c>
      <c r="D7" s="476" t="s">
        <v>370</v>
      </c>
      <c r="E7" s="9" t="s">
        <v>312</v>
      </c>
    </row>
    <row r="8" spans="1:5" ht="12.75">
      <c r="A8" s="222">
        <v>1</v>
      </c>
      <c r="B8" s="515">
        <v>2</v>
      </c>
      <c r="C8" s="515">
        <v>3</v>
      </c>
      <c r="D8" s="516">
        <v>4</v>
      </c>
      <c r="E8" s="516">
        <v>5</v>
      </c>
    </row>
    <row r="9" spans="1:5" ht="24.75" customHeight="1">
      <c r="A9" s="517" t="s">
        <v>455</v>
      </c>
      <c r="B9" s="174">
        <f>SUM(B10:B14)</f>
        <v>42299</v>
      </c>
      <c r="C9" s="174">
        <f>SUM(C10:C14)</f>
        <v>36973</v>
      </c>
      <c r="D9" s="518">
        <f aca="true" t="shared" si="0" ref="D9:D20">C9/B9*100</f>
        <v>87.40868578453392</v>
      </c>
      <c r="E9" s="174">
        <f>C9-'[8]Oktobris'!C9</f>
        <v>3127</v>
      </c>
    </row>
    <row r="10" spans="1:5" ht="24.75" customHeight="1">
      <c r="A10" s="519" t="s">
        <v>456</v>
      </c>
      <c r="B10" s="179">
        <v>11859</v>
      </c>
      <c r="C10" s="179">
        <v>10499</v>
      </c>
      <c r="D10" s="520">
        <f t="shared" si="0"/>
        <v>88.5319166877477</v>
      </c>
      <c r="E10" s="179">
        <f>C10-'[8]Oktobris'!C10</f>
        <v>546</v>
      </c>
    </row>
    <row r="11" spans="1:5" ht="21.75" customHeight="1">
      <c r="A11" s="519" t="s">
        <v>457</v>
      </c>
      <c r="B11" s="179">
        <v>2029</v>
      </c>
      <c r="C11" s="179">
        <v>1891</v>
      </c>
      <c r="D11" s="520">
        <f t="shared" si="0"/>
        <v>93.19862000985707</v>
      </c>
      <c r="E11" s="179">
        <f>C11-'[8]Oktobris'!C11</f>
        <v>301</v>
      </c>
    </row>
    <row r="12" spans="1:5" ht="30" customHeight="1">
      <c r="A12" s="521" t="s">
        <v>458</v>
      </c>
      <c r="B12" s="179">
        <v>14309</v>
      </c>
      <c r="C12" s="179">
        <v>11159</v>
      </c>
      <c r="D12" s="520">
        <f t="shared" si="0"/>
        <v>77.98588301069258</v>
      </c>
      <c r="E12" s="179">
        <f>C12-'[8]Oktobris'!C12</f>
        <v>974</v>
      </c>
    </row>
    <row r="13" spans="1:5" ht="39" customHeight="1">
      <c r="A13" s="521" t="s">
        <v>459</v>
      </c>
      <c r="B13" s="179">
        <v>3231</v>
      </c>
      <c r="C13" s="179">
        <v>2407</v>
      </c>
      <c r="D13" s="520">
        <f t="shared" si="0"/>
        <v>74.49705973382854</v>
      </c>
      <c r="E13" s="179">
        <f>C13-'[8]Oktobris'!C13</f>
        <v>405</v>
      </c>
    </row>
    <row r="14" spans="1:5" ht="19.5" customHeight="1">
      <c r="A14" s="519" t="s">
        <v>460</v>
      </c>
      <c r="B14" s="179">
        <v>10871</v>
      </c>
      <c r="C14" s="179">
        <v>11017</v>
      </c>
      <c r="D14" s="520">
        <f t="shared" si="0"/>
        <v>101.34302272100082</v>
      </c>
      <c r="E14" s="179">
        <f>C14-'[8]Oktobris'!C14</f>
        <v>901</v>
      </c>
    </row>
    <row r="15" spans="1:5" ht="19.5" customHeight="1">
      <c r="A15" s="522" t="s">
        <v>461</v>
      </c>
      <c r="B15" s="174">
        <f>SUM(B16:B20)</f>
        <v>54932</v>
      </c>
      <c r="C15" s="174">
        <f>SUM(C16:C20)</f>
        <v>31900</v>
      </c>
      <c r="D15" s="520">
        <f t="shared" si="0"/>
        <v>58.07179785917134</v>
      </c>
      <c r="E15" s="174">
        <f>SUM(E16:E20)</f>
        <v>3385</v>
      </c>
    </row>
    <row r="16" spans="1:5" ht="19.5" customHeight="1">
      <c r="A16" s="519" t="s">
        <v>462</v>
      </c>
      <c r="B16" s="179">
        <v>20360</v>
      </c>
      <c r="C16" s="179">
        <v>6263</v>
      </c>
      <c r="D16" s="520">
        <f t="shared" si="0"/>
        <v>30.761296660117875</v>
      </c>
      <c r="E16" s="179">
        <f>C16-'[8]Oktobris'!C16</f>
        <v>616</v>
      </c>
    </row>
    <row r="17" spans="1:5" ht="19.5" customHeight="1">
      <c r="A17" s="519" t="s">
        <v>457</v>
      </c>
      <c r="B17" s="179">
        <v>3087</v>
      </c>
      <c r="C17" s="179">
        <v>1710</v>
      </c>
      <c r="D17" s="520">
        <f t="shared" si="0"/>
        <v>55.39358600583091</v>
      </c>
      <c r="E17" s="179">
        <f>C17-'[8]Oktobris'!C17</f>
        <v>182</v>
      </c>
    </row>
    <row r="18" spans="1:5" ht="19.5" customHeight="1">
      <c r="A18" s="519" t="s">
        <v>463</v>
      </c>
      <c r="B18" s="179">
        <v>15171</v>
      </c>
      <c r="C18" s="179">
        <v>10077</v>
      </c>
      <c r="D18" s="520">
        <f t="shared" si="0"/>
        <v>66.42278030452837</v>
      </c>
      <c r="E18" s="179">
        <f>C18-'[8]Oktobris'!C18</f>
        <v>1029</v>
      </c>
    </row>
    <row r="19" spans="1:5" ht="19.5" customHeight="1">
      <c r="A19" s="523" t="s">
        <v>464</v>
      </c>
      <c r="B19" s="179">
        <v>3346</v>
      </c>
      <c r="C19" s="179">
        <v>2333</v>
      </c>
      <c r="D19" s="520">
        <f t="shared" si="0"/>
        <v>69.72504482964735</v>
      </c>
      <c r="E19" s="179">
        <f>C19-'[8]Oktobris'!C19</f>
        <v>259</v>
      </c>
    </row>
    <row r="20" spans="1:5" ht="19.5" customHeight="1">
      <c r="A20" s="523" t="s">
        <v>465</v>
      </c>
      <c r="B20" s="179">
        <v>12968</v>
      </c>
      <c r="C20" s="179">
        <v>11517</v>
      </c>
      <c r="D20" s="520">
        <f t="shared" si="0"/>
        <v>88.81091918568784</v>
      </c>
      <c r="E20" s="179">
        <f>C20-'[8]Oktobris'!C20</f>
        <v>1299</v>
      </c>
    </row>
    <row r="21" spans="1:5" ht="12.75">
      <c r="A21" s="524"/>
      <c r="B21" s="525"/>
      <c r="C21" s="525"/>
      <c r="D21" s="459"/>
      <c r="E21" s="525"/>
    </row>
    <row r="22" spans="1:5" ht="12.75">
      <c r="A22" s="133"/>
      <c r="B22" s="133"/>
      <c r="C22" s="133"/>
      <c r="D22" s="133"/>
      <c r="E22" s="133"/>
    </row>
    <row r="23" spans="1:6" ht="12.75">
      <c r="A23" s="504"/>
      <c r="B23" s="132"/>
      <c r="C23" s="132"/>
      <c r="D23" s="461"/>
      <c r="E23" s="132"/>
      <c r="F23" s="133"/>
    </row>
    <row r="24" spans="1:6" ht="12.75">
      <c r="A24" s="734" t="s">
        <v>733</v>
      </c>
      <c r="B24" s="133"/>
      <c r="C24" s="133"/>
      <c r="D24" s="877" t="s">
        <v>959</v>
      </c>
      <c r="E24" s="877"/>
      <c r="F24" s="133"/>
    </row>
    <row r="25" ht="12.75">
      <c r="F25" s="133"/>
    </row>
    <row r="26" ht="12.75">
      <c r="F26" s="133"/>
    </row>
    <row r="27" ht="12.75">
      <c r="F27" s="133"/>
    </row>
    <row r="28" ht="12.75">
      <c r="F28" s="133"/>
    </row>
    <row r="29" ht="12.75">
      <c r="F29" s="133"/>
    </row>
    <row r="30" ht="12.75">
      <c r="F30" s="133"/>
    </row>
    <row r="31" ht="12.75">
      <c r="F31" s="133"/>
    </row>
    <row r="32" spans="1:6" ht="12.75">
      <c r="A32" s="1" t="s">
        <v>960</v>
      </c>
      <c r="F32" s="133"/>
    </row>
    <row r="33" spans="1:6" ht="12.75">
      <c r="A33" s="1" t="s">
        <v>316</v>
      </c>
      <c r="F33" s="133"/>
    </row>
  </sheetData>
  <mergeCells count="4">
    <mergeCell ref="A2:E2"/>
    <mergeCell ref="A4:E4"/>
    <mergeCell ref="A5:E5"/>
    <mergeCell ref="D24:E24"/>
  </mergeCells>
  <printOptions/>
  <pageMargins left="1.05" right="0.43" top="1.16" bottom="1" header="0.5" footer="0.5"/>
  <pageSetup firstPageNumber="36" useFirstPageNumber="1" horizontalDpi="300" verticalDpi="300" orientation="portrait" paperSize="9" r:id="rId1"/>
  <headerFooter alignWithMargins="0">
    <oddFooter>&amp;R&amp;8&amp;P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1">
      <selection activeCell="A12" sqref="A12"/>
    </sheetView>
  </sheetViews>
  <sheetFormatPr defaultColWidth="9.140625" defaultRowHeight="17.25" customHeight="1"/>
  <cols>
    <col min="1" max="1" width="40.00390625" style="49" customWidth="1"/>
    <col min="2" max="2" width="8.8515625" style="443" customWidth="1"/>
    <col min="3" max="3" width="11.28125" style="443" customWidth="1"/>
    <col min="4" max="4" width="12.57421875" style="443" customWidth="1"/>
    <col min="5" max="5" width="11.57421875" style="443" customWidth="1"/>
  </cols>
  <sheetData>
    <row r="1" spans="2:5" ht="17.25" customHeight="1">
      <c r="B1" s="51"/>
      <c r="C1" s="51"/>
      <c r="D1" s="51"/>
      <c r="E1" s="271" t="s">
        <v>466</v>
      </c>
    </row>
    <row r="2" spans="1:5" ht="17.25" customHeight="1">
      <c r="A2" s="855" t="s">
        <v>467</v>
      </c>
      <c r="B2" s="855"/>
      <c r="C2" s="855"/>
      <c r="D2" s="855"/>
      <c r="E2" s="855"/>
    </row>
    <row r="3" spans="4:5" ht="17.25" customHeight="1">
      <c r="D3" s="513"/>
      <c r="E3" s="513"/>
    </row>
    <row r="4" spans="1:5" ht="17.25" customHeight="1">
      <c r="A4" s="875" t="s">
        <v>468</v>
      </c>
      <c r="B4" s="875"/>
      <c r="C4" s="875"/>
      <c r="D4" s="875"/>
      <c r="E4" s="875"/>
    </row>
    <row r="5" spans="1:5" ht="12.75" customHeight="1">
      <c r="A5" s="876" t="s">
        <v>341</v>
      </c>
      <c r="B5" s="876"/>
      <c r="C5" s="876"/>
      <c r="D5" s="876"/>
      <c r="E5" s="876"/>
    </row>
    <row r="6" spans="1:5" ht="12.75" customHeight="1">
      <c r="A6" s="497"/>
      <c r="B6" s="497"/>
      <c r="C6" s="497"/>
      <c r="D6" s="497"/>
      <c r="E6" s="497"/>
    </row>
    <row r="7" spans="2:5" ht="10.5" customHeight="1">
      <c r="B7" s="87"/>
      <c r="C7" s="87"/>
      <c r="D7" s="38"/>
      <c r="E7" s="447" t="s">
        <v>64</v>
      </c>
    </row>
    <row r="8" spans="1:5" ht="22.5">
      <c r="A8" s="514" t="s">
        <v>738</v>
      </c>
      <c r="B8" s="476" t="s">
        <v>271</v>
      </c>
      <c r="C8" s="476" t="s">
        <v>844</v>
      </c>
      <c r="D8" s="476" t="s">
        <v>370</v>
      </c>
      <c r="E8" s="9" t="s">
        <v>312</v>
      </c>
    </row>
    <row r="9" spans="1:5" ht="12.75">
      <c r="A9" s="222">
        <v>1</v>
      </c>
      <c r="B9" s="515">
        <v>2</v>
      </c>
      <c r="C9" s="515">
        <v>3</v>
      </c>
      <c r="D9" s="516">
        <v>4</v>
      </c>
      <c r="E9" s="516">
        <v>5</v>
      </c>
    </row>
    <row r="10" spans="1:5" ht="12.75">
      <c r="A10" s="480" t="s">
        <v>1047</v>
      </c>
      <c r="B10" s="174">
        <f>'[8]Novembris'!$B$9</f>
        <v>42299</v>
      </c>
      <c r="C10" s="174">
        <f>'[8]Novembris'!$C$9</f>
        <v>36973</v>
      </c>
      <c r="D10" s="518">
        <f aca="true" t="shared" si="0" ref="D10:D33">C10/B10*100</f>
        <v>87.40868578453392</v>
      </c>
      <c r="E10" s="174">
        <f>C10-'[9]Oktobris'!C10</f>
        <v>3127</v>
      </c>
    </row>
    <row r="11" spans="1:5" ht="12.75">
      <c r="A11" s="480" t="s">
        <v>436</v>
      </c>
      <c r="B11" s="174">
        <f>SUM(B12,B27)</f>
        <v>58330</v>
      </c>
      <c r="C11" s="174">
        <f>SUM(C12,C27)</f>
        <v>34616</v>
      </c>
      <c r="D11" s="518">
        <f t="shared" si="0"/>
        <v>59.34510543459627</v>
      </c>
      <c r="E11" s="174">
        <f>C11-'[9]Oktobris'!C11</f>
        <v>3423</v>
      </c>
    </row>
    <row r="12" spans="1:5" ht="12.75">
      <c r="A12" s="500" t="s">
        <v>1054</v>
      </c>
      <c r="B12" s="174">
        <f>SUM(B13,B19,B20)</f>
        <v>32178</v>
      </c>
      <c r="C12" s="174">
        <f>SUM(C13,C19,C20)</f>
        <v>23331</v>
      </c>
      <c r="D12" s="518">
        <f t="shared" si="0"/>
        <v>72.50606004102181</v>
      </c>
      <c r="E12" s="174">
        <f>C12-'[9]Oktobris'!C12</f>
        <v>-380</v>
      </c>
    </row>
    <row r="13" spans="1:5" ht="12.75">
      <c r="A13" s="500" t="s">
        <v>1055</v>
      </c>
      <c r="B13" s="174">
        <f>SUM(B14,B15,B16)</f>
        <v>23591</v>
      </c>
      <c r="C13" s="174">
        <f>SUM(C14,C15,C16)</f>
        <v>16415</v>
      </c>
      <c r="D13" s="518">
        <f t="shared" si="0"/>
        <v>69.58162010936374</v>
      </c>
      <c r="E13" s="174">
        <f>C13-'[9]Oktobris'!C13</f>
        <v>1436</v>
      </c>
    </row>
    <row r="14" spans="1:5" ht="17.25" customHeight="1">
      <c r="A14" s="501" t="s">
        <v>437</v>
      </c>
      <c r="B14" s="179">
        <v>2688</v>
      </c>
      <c r="C14" s="179">
        <v>2250</v>
      </c>
      <c r="D14" s="520">
        <f t="shared" si="0"/>
        <v>83.70535714285714</v>
      </c>
      <c r="E14" s="179">
        <f>C14-'[9]Oktobris'!C14</f>
        <v>226</v>
      </c>
    </row>
    <row r="15" spans="1:5" ht="25.5">
      <c r="A15" s="501" t="s">
        <v>438</v>
      </c>
      <c r="B15" s="179">
        <v>676</v>
      </c>
      <c r="C15" s="179">
        <v>548</v>
      </c>
      <c r="D15" s="520">
        <f t="shared" si="0"/>
        <v>81.06508875739645</v>
      </c>
      <c r="E15" s="179">
        <f>C15-'[9]Oktobris'!C15</f>
        <v>51</v>
      </c>
    </row>
    <row r="16" spans="1:5" ht="12.75">
      <c r="A16" s="501" t="s">
        <v>439</v>
      </c>
      <c r="B16" s="179">
        <f>SUM(B17:B18)</f>
        <v>20227</v>
      </c>
      <c r="C16" s="179">
        <f>SUM(C17:C18)</f>
        <v>13617</v>
      </c>
      <c r="D16" s="520">
        <f t="shared" si="0"/>
        <v>67.32090769763188</v>
      </c>
      <c r="E16" s="179">
        <f>C16-'[9]Oktobris'!C16</f>
        <v>1159</v>
      </c>
    </row>
    <row r="17" spans="1:5" ht="25.5">
      <c r="A17" s="512" t="s">
        <v>440</v>
      </c>
      <c r="B17" s="179">
        <v>20046</v>
      </c>
      <c r="C17" s="179">
        <v>13474</v>
      </c>
      <c r="D17" s="520">
        <f t="shared" si="0"/>
        <v>67.21540456949018</v>
      </c>
      <c r="E17" s="179">
        <f>C17-'[9]Oktobris'!C17</f>
        <v>1147</v>
      </c>
    </row>
    <row r="18" spans="1:5" ht="12.75">
      <c r="A18" s="512" t="s">
        <v>480</v>
      </c>
      <c r="B18" s="179">
        <v>181</v>
      </c>
      <c r="C18" s="179">
        <v>143</v>
      </c>
      <c r="D18" s="520">
        <f t="shared" si="0"/>
        <v>79.00552486187846</v>
      </c>
      <c r="E18" s="179">
        <f>C18-'[9]Oktobris'!C18</f>
        <v>12</v>
      </c>
    </row>
    <row r="19" spans="1:5" ht="25.5">
      <c r="A19" s="500" t="s">
        <v>442</v>
      </c>
      <c r="B19" s="174">
        <v>71</v>
      </c>
      <c r="C19" s="174">
        <v>71</v>
      </c>
      <c r="D19" s="518">
        <f t="shared" si="0"/>
        <v>100</v>
      </c>
      <c r="E19" s="174">
        <f>C19-'[9]Oktobris'!C19</f>
        <v>1</v>
      </c>
    </row>
    <row r="20" spans="1:5" ht="12.75">
      <c r="A20" s="500" t="s">
        <v>3</v>
      </c>
      <c r="B20" s="174">
        <f>SUM(B21:B26)</f>
        <v>8516</v>
      </c>
      <c r="C20" s="174">
        <f>SUM(C21:C26)</f>
        <v>6845</v>
      </c>
      <c r="D20" s="518">
        <f t="shared" si="0"/>
        <v>80.37811178957257</v>
      </c>
      <c r="E20" s="174">
        <f>C20-'[9]Oktobris'!C20</f>
        <v>-1817</v>
      </c>
    </row>
    <row r="21" spans="1:5" ht="12.75">
      <c r="A21" s="501" t="s">
        <v>443</v>
      </c>
      <c r="B21" s="179">
        <v>660</v>
      </c>
      <c r="C21" s="179">
        <v>606</v>
      </c>
      <c r="D21" s="520">
        <f t="shared" si="0"/>
        <v>91.81818181818183</v>
      </c>
      <c r="E21" s="179">
        <f>C21-'[9]Oktobris'!C21</f>
        <v>100</v>
      </c>
    </row>
    <row r="22" spans="1:5" ht="12.75">
      <c r="A22" s="501" t="s">
        <v>444</v>
      </c>
      <c r="B22" s="179">
        <v>1383</v>
      </c>
      <c r="C22" s="179">
        <v>603</v>
      </c>
      <c r="D22" s="520">
        <f t="shared" si="0"/>
        <v>43.600867678958785</v>
      </c>
      <c r="E22" s="179">
        <f>C22-'[9]Oktobris'!C22</f>
        <v>-113</v>
      </c>
    </row>
    <row r="23" spans="1:5" ht="12.75">
      <c r="A23" s="501" t="s">
        <v>445</v>
      </c>
      <c r="B23" s="179">
        <v>93</v>
      </c>
      <c r="C23" s="179">
        <v>84</v>
      </c>
      <c r="D23" s="520">
        <f t="shared" si="0"/>
        <v>90.32258064516128</v>
      </c>
      <c r="E23" s="179">
        <f>C23-'[9]Oktobris'!C23</f>
        <v>9</v>
      </c>
    </row>
    <row r="24" spans="1:5" ht="25.5">
      <c r="A24" s="501" t="s">
        <v>446</v>
      </c>
      <c r="B24" s="179">
        <v>3451</v>
      </c>
      <c r="C24" s="179">
        <v>2644</v>
      </c>
      <c r="D24" s="520">
        <f t="shared" si="0"/>
        <v>76.61547377571718</v>
      </c>
      <c r="E24" s="179">
        <f>C24-'[9]Oktobris'!C24</f>
        <v>-2087</v>
      </c>
    </row>
    <row r="25" spans="1:5" ht="12.75">
      <c r="A25" s="501" t="s">
        <v>447</v>
      </c>
      <c r="B25" s="179">
        <v>2625</v>
      </c>
      <c r="C25" s="179">
        <v>2223</v>
      </c>
      <c r="D25" s="520">
        <f t="shared" si="0"/>
        <v>84.68571428571428</v>
      </c>
      <c r="E25" s="179">
        <f>C25-'[9]Oktobris'!C25</f>
        <v>239</v>
      </c>
    </row>
    <row r="26" spans="1:5" ht="12.75">
      <c r="A26" s="501" t="s">
        <v>481</v>
      </c>
      <c r="B26" s="179">
        <v>304</v>
      </c>
      <c r="C26" s="179">
        <v>685</v>
      </c>
      <c r="D26" s="520">
        <f t="shared" si="0"/>
        <v>225.32894736842107</v>
      </c>
      <c r="E26" s="179">
        <f>C26-'[9]Oktobris'!C26</f>
        <v>35</v>
      </c>
    </row>
    <row r="27" spans="1:5" ht="12.75">
      <c r="A27" s="500" t="s">
        <v>18</v>
      </c>
      <c r="B27" s="174">
        <f>SUM(B28:B29)</f>
        <v>26152</v>
      </c>
      <c r="C27" s="174">
        <f>SUM(C28:C29)</f>
        <v>11285</v>
      </c>
      <c r="D27" s="518">
        <f t="shared" si="0"/>
        <v>43.15157540532273</v>
      </c>
      <c r="E27" s="174">
        <f>C27-'[9]Oktobris'!C27</f>
        <v>3803</v>
      </c>
    </row>
    <row r="28" spans="1:5" ht="17.25" customHeight="1">
      <c r="A28" s="501" t="s">
        <v>449</v>
      </c>
      <c r="B28" s="179">
        <f>22898+73</f>
        <v>22971</v>
      </c>
      <c r="C28" s="179">
        <f>9666+13</f>
        <v>9679</v>
      </c>
      <c r="D28" s="520">
        <f t="shared" si="0"/>
        <v>42.1357363632406</v>
      </c>
      <c r="E28" s="179">
        <f>C28-'[9]Oktobris'!C28</f>
        <v>3691</v>
      </c>
    </row>
    <row r="29" spans="1:5" ht="12.75">
      <c r="A29" s="217" t="s">
        <v>237</v>
      </c>
      <c r="B29" s="179">
        <v>3181</v>
      </c>
      <c r="C29" s="179">
        <v>1606</v>
      </c>
      <c r="D29" s="520">
        <f t="shared" si="0"/>
        <v>50.48726815466834</v>
      </c>
      <c r="E29" s="179">
        <f>C29-'[9]Oktobris'!C29</f>
        <v>112</v>
      </c>
    </row>
    <row r="30" spans="1:5" ht="12.75">
      <c r="A30" s="500" t="s">
        <v>450</v>
      </c>
      <c r="B30" s="174">
        <f>B31-B32</f>
        <v>-3398</v>
      </c>
      <c r="C30" s="174">
        <f>C31-C32</f>
        <v>-2716</v>
      </c>
      <c r="D30" s="518">
        <f t="shared" si="0"/>
        <v>79.92937021777516</v>
      </c>
      <c r="E30" s="174">
        <f>C30-'[9]Oktobris'!C30</f>
        <v>-38</v>
      </c>
    </row>
    <row r="31" spans="1:5" ht="12.75">
      <c r="A31" s="501" t="s">
        <v>451</v>
      </c>
      <c r="B31" s="179">
        <v>992</v>
      </c>
      <c r="C31" s="179">
        <v>698</v>
      </c>
      <c r="D31" s="520">
        <f t="shared" si="0"/>
        <v>70.36290322580645</v>
      </c>
      <c r="E31" s="179">
        <f>C31-'[9]Oktobris'!C31</f>
        <v>10</v>
      </c>
    </row>
    <row r="32" spans="1:5" ht="12.75">
      <c r="A32" s="501" t="s">
        <v>452</v>
      </c>
      <c r="B32" s="179">
        <v>4390</v>
      </c>
      <c r="C32" s="179">
        <v>3414</v>
      </c>
      <c r="D32" s="520">
        <f t="shared" si="0"/>
        <v>77.76765375854214</v>
      </c>
      <c r="E32" s="179">
        <f>C32-'[9]Oktobris'!C32</f>
        <v>48</v>
      </c>
    </row>
    <row r="33" spans="1:5" ht="12.75">
      <c r="A33" s="500" t="s">
        <v>199</v>
      </c>
      <c r="B33" s="174">
        <f>B10-B11-B30</f>
        <v>-12633</v>
      </c>
      <c r="C33" s="174">
        <f>C10-C11-C30</f>
        <v>5073</v>
      </c>
      <c r="D33" s="518">
        <f t="shared" si="0"/>
        <v>-40.15673236760865</v>
      </c>
      <c r="E33" s="174">
        <f>C33-'[9]Oktobris'!C33</f>
        <v>-258</v>
      </c>
    </row>
    <row r="34" spans="1:4" ht="17.25" customHeight="1">
      <c r="A34" s="493"/>
      <c r="B34" s="132"/>
      <c r="C34" s="132"/>
      <c r="D34" s="526"/>
    </row>
    <row r="35" ht="17.25" customHeight="1">
      <c r="A35" s="495"/>
    </row>
    <row r="36" ht="17.25" customHeight="1">
      <c r="A36" s="495"/>
    </row>
    <row r="37" ht="17.25" customHeight="1">
      <c r="A37" s="493"/>
    </row>
    <row r="38" spans="1:5" ht="12.75" customHeight="1">
      <c r="A38" s="41" t="s">
        <v>733</v>
      </c>
      <c r="B38" s="39"/>
      <c r="C38" s="39"/>
      <c r="D38" s="39" t="s">
        <v>959</v>
      </c>
      <c r="E38" s="527"/>
    </row>
    <row r="39" spans="1:3" ht="17.25" customHeight="1">
      <c r="A39" s="465"/>
      <c r="B39" s="89"/>
      <c r="C39" s="89"/>
    </row>
    <row r="40" spans="1:3" ht="17.25" customHeight="1">
      <c r="A40" s="495"/>
      <c r="B40" s="229"/>
      <c r="C40" s="229"/>
    </row>
    <row r="41" spans="1:3" ht="17.25" customHeight="1">
      <c r="A41" s="495"/>
      <c r="B41" s="49"/>
      <c r="C41" s="49"/>
    </row>
    <row r="42" spans="1:3" ht="17.25" customHeight="1">
      <c r="A42" s="465"/>
      <c r="B42" s="465"/>
      <c r="C42" s="465"/>
    </row>
    <row r="44" ht="12.75" customHeight="1">
      <c r="A44" s="1" t="s">
        <v>134</v>
      </c>
    </row>
    <row r="45" ht="12.75" customHeight="1">
      <c r="A45" s="1" t="s">
        <v>316</v>
      </c>
    </row>
  </sheetData>
  <mergeCells count="3">
    <mergeCell ref="A2:E2"/>
    <mergeCell ref="A4:E4"/>
    <mergeCell ref="A5:E5"/>
  </mergeCells>
  <printOptions/>
  <pageMargins left="0.95" right="0.67" top="1" bottom="1" header="0.5" footer="0.5"/>
  <pageSetup firstPageNumber="37" useFirstPageNumber="1" horizontalDpi="300" verticalDpi="300" orientation="portrait" paperSize="9" r:id="rId1"/>
  <headerFooter alignWithMargins="0">
    <oddFooter>&amp;R&amp;8&amp;P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92"/>
  <sheetViews>
    <sheetView workbookViewId="0" topLeftCell="E1">
      <selection activeCell="F74" sqref="F74"/>
    </sheetView>
  </sheetViews>
  <sheetFormatPr defaultColWidth="9.140625" defaultRowHeight="12.75"/>
  <cols>
    <col min="1" max="1" width="53.8515625" style="49" hidden="1" customWidth="1"/>
    <col min="2" max="2" width="12.7109375" style="50" hidden="1" customWidth="1"/>
    <col min="3" max="3" width="6.28125" style="49" hidden="1" customWidth="1"/>
    <col min="4" max="4" width="7.57421875" style="49" hidden="1" customWidth="1"/>
    <col min="5" max="5" width="0.13671875" style="49" customWidth="1"/>
    <col min="6" max="6" width="53.140625" style="0" customWidth="1"/>
    <col min="7" max="7" width="10.7109375" style="0" customWidth="1"/>
    <col min="8" max="8" width="8.8515625" style="0" customWidth="1"/>
    <col min="9" max="9" width="9.00390625" style="0" customWidth="1"/>
    <col min="10" max="10" width="9.421875" style="0" customWidth="1"/>
    <col min="11" max="16" width="9.140625" style="0" hidden="1" customWidth="1"/>
  </cols>
  <sheetData>
    <row r="1" spans="1:10" ht="18.75" customHeight="1">
      <c r="A1" s="48"/>
      <c r="B1" s="48"/>
      <c r="C1" s="48"/>
      <c r="D1" s="48"/>
      <c r="E1" s="48"/>
      <c r="F1" s="49"/>
      <c r="G1" s="50"/>
      <c r="H1" s="49"/>
      <c r="I1" s="49"/>
      <c r="J1" s="49" t="s">
        <v>839</v>
      </c>
    </row>
    <row r="2" spans="1:10" ht="18.75" customHeight="1">
      <c r="A2" s="48"/>
      <c r="B2" s="48"/>
      <c r="C2" s="48"/>
      <c r="D2" s="48"/>
      <c r="E2" s="48"/>
      <c r="F2" s="51" t="s">
        <v>840</v>
      </c>
      <c r="G2" s="52"/>
      <c r="H2" s="51"/>
      <c r="I2" s="51"/>
      <c r="J2" s="51"/>
    </row>
    <row r="3" spans="1:10" ht="14.25" customHeight="1">
      <c r="A3" s="48"/>
      <c r="B3" s="48"/>
      <c r="C3" s="48"/>
      <c r="D3" s="48"/>
      <c r="E3" s="48"/>
      <c r="F3" s="49"/>
      <c r="G3" s="50"/>
      <c r="H3" s="49"/>
      <c r="I3" s="49"/>
      <c r="J3" s="49"/>
    </row>
    <row r="4" spans="1:10" ht="18.75" customHeight="1">
      <c r="A4" s="48"/>
      <c r="B4" s="48"/>
      <c r="C4" s="48"/>
      <c r="D4" s="48"/>
      <c r="E4" s="48"/>
      <c r="F4" s="856" t="s">
        <v>841</v>
      </c>
      <c r="G4" s="856"/>
      <c r="H4" s="856"/>
      <c r="I4" s="856"/>
      <c r="J4" s="856"/>
    </row>
    <row r="5" spans="1:10" ht="18.75" customHeight="1">
      <c r="A5" s="48"/>
      <c r="B5" s="48"/>
      <c r="C5" s="48"/>
      <c r="D5" s="48"/>
      <c r="E5" s="48"/>
      <c r="F5" s="854" t="s">
        <v>307</v>
      </c>
      <c r="G5" s="854"/>
      <c r="H5" s="854"/>
      <c r="I5" s="854"/>
      <c r="J5" s="854"/>
    </row>
    <row r="6" spans="1:10" ht="14.25" customHeight="1">
      <c r="A6" s="48"/>
      <c r="B6" s="48"/>
      <c r="C6" s="48"/>
      <c r="D6" s="48"/>
      <c r="E6" s="48"/>
      <c r="F6" s="48"/>
      <c r="G6" s="48"/>
      <c r="H6" s="48"/>
      <c r="I6" s="48"/>
      <c r="J6" s="48"/>
    </row>
    <row r="7" spans="1:10" ht="15.75" customHeight="1">
      <c r="A7" s="53"/>
      <c r="B7" s="52"/>
      <c r="C7" s="51"/>
      <c r="D7" s="38"/>
      <c r="E7" s="38"/>
      <c r="F7" s="53"/>
      <c r="G7" s="52"/>
      <c r="H7" s="51"/>
      <c r="I7" s="38"/>
      <c r="J7" s="2" t="s">
        <v>842</v>
      </c>
    </row>
    <row r="8" spans="1:10" ht="49.5" customHeight="1">
      <c r="A8" s="9" t="s">
        <v>738</v>
      </c>
      <c r="B8" s="54" t="s">
        <v>843</v>
      </c>
      <c r="C8" s="9" t="s">
        <v>844</v>
      </c>
      <c r="D8" s="9" t="s">
        <v>845</v>
      </c>
      <c r="E8" s="9" t="s">
        <v>846</v>
      </c>
      <c r="F8" s="9" t="s">
        <v>738</v>
      </c>
      <c r="G8" s="54" t="s">
        <v>843</v>
      </c>
      <c r="H8" s="9" t="s">
        <v>844</v>
      </c>
      <c r="I8" s="9" t="s">
        <v>845</v>
      </c>
      <c r="J8" s="9" t="s">
        <v>310</v>
      </c>
    </row>
    <row r="9" spans="1:10" ht="12.75">
      <c r="A9" s="9">
        <v>1</v>
      </c>
      <c r="B9" s="54">
        <v>2</v>
      </c>
      <c r="C9" s="9">
        <v>3</v>
      </c>
      <c r="D9" s="9">
        <v>4</v>
      </c>
      <c r="E9" s="9">
        <v>5</v>
      </c>
      <c r="F9" s="9">
        <v>1</v>
      </c>
      <c r="G9" s="54">
        <v>2</v>
      </c>
      <c r="H9" s="9">
        <v>3</v>
      </c>
      <c r="I9" s="9">
        <v>4</v>
      </c>
      <c r="J9" s="9">
        <v>5</v>
      </c>
    </row>
    <row r="10" spans="1:10" ht="12.75">
      <c r="A10" s="32" t="s">
        <v>847</v>
      </c>
      <c r="B10" s="55">
        <f>SUM(B26,B37)</f>
        <v>1457113808</v>
      </c>
      <c r="C10" s="55">
        <f>SUM(C26,C37)</f>
        <v>0</v>
      </c>
      <c r="D10" s="56">
        <f>IF(ISERROR(C10/B10)," ",(C10/B10))</f>
        <v>0</v>
      </c>
      <c r="E10" s="55">
        <f>C10</f>
        <v>0</v>
      </c>
      <c r="F10" s="32" t="s">
        <v>847</v>
      </c>
      <c r="G10" s="57">
        <f>SUM(G26,G37)</f>
        <v>1458409</v>
      </c>
      <c r="H10" s="57">
        <f>SUM(H26,H37)</f>
        <v>1267218</v>
      </c>
      <c r="I10" s="58">
        <f>IF(ISERROR(H10/G10)," ",(H10/G10))*100</f>
        <v>86.89044019887426</v>
      </c>
      <c r="J10" s="57">
        <f>H10-'[12]Oktobris'!H10</f>
        <v>112090</v>
      </c>
    </row>
    <row r="11" spans="1:10" ht="12.75" customHeight="1">
      <c r="A11" s="59" t="s">
        <v>848</v>
      </c>
      <c r="B11" s="55">
        <f>SUM(B12,B22,B23,B24)</f>
        <v>795345958</v>
      </c>
      <c r="C11" s="55">
        <f>SUM(C12,C22,C23)</f>
        <v>0</v>
      </c>
      <c r="D11" s="56">
        <f aca="true" t="shared" si="0" ref="D11:D74">IF(ISERROR(C11/B11)," ",(C11/B11))</f>
        <v>0</v>
      </c>
      <c r="E11" s="55">
        <f aca="true" t="shared" si="1" ref="E11:E84">C11</f>
        <v>0</v>
      </c>
      <c r="F11" s="59" t="s">
        <v>848</v>
      </c>
      <c r="G11" s="57">
        <f>SUM(G12,G22,G23,G24)</f>
        <v>796473</v>
      </c>
      <c r="H11" s="57">
        <f>SUM(H12,H22,H23,H24)</f>
        <v>688768</v>
      </c>
      <c r="I11" s="58">
        <f>IF(ISERROR(H11/G11)," ",(H11/G11))*100</f>
        <v>86.47725660505755</v>
      </c>
      <c r="J11" s="57">
        <f>H11-'[12]Oktobris'!H11</f>
        <v>59028</v>
      </c>
    </row>
    <row r="12" spans="1:10" ht="12.75">
      <c r="A12" s="60" t="s">
        <v>849</v>
      </c>
      <c r="B12" s="61">
        <f>SUM(B13,B15,B21,B19)</f>
        <v>615019797</v>
      </c>
      <c r="C12" s="61">
        <f>SUM(C13,C15,C21)</f>
        <v>0</v>
      </c>
      <c r="D12" s="62">
        <f t="shared" si="0"/>
        <v>0</v>
      </c>
      <c r="E12" s="55">
        <f t="shared" si="1"/>
        <v>0</v>
      </c>
      <c r="F12" s="60" t="s">
        <v>849</v>
      </c>
      <c r="G12" s="63">
        <f>SUM(G13,G15,G19,G21)</f>
        <v>615020</v>
      </c>
      <c r="H12" s="63">
        <f>SUM(H13,H15,H19,H21)</f>
        <v>544498</v>
      </c>
      <c r="I12" s="64">
        <f>IF(ISERROR(H12/G12)," ",(H12/G12))*100</f>
        <v>88.53338102825924</v>
      </c>
      <c r="J12" s="63">
        <f>H12-'[12]Oktobris'!H12</f>
        <v>48123</v>
      </c>
    </row>
    <row r="13" spans="1:10" ht="12.75">
      <c r="A13" s="65" t="s">
        <v>850</v>
      </c>
      <c r="B13" s="61">
        <f>SUM(B14)</f>
        <v>98046000</v>
      </c>
      <c r="C13" s="61">
        <f>SUM(C14)</f>
        <v>0</v>
      </c>
      <c r="D13" s="62">
        <f t="shared" si="0"/>
        <v>0</v>
      </c>
      <c r="E13" s="55">
        <f t="shared" si="1"/>
        <v>0</v>
      </c>
      <c r="F13" s="65" t="s">
        <v>850</v>
      </c>
      <c r="G13" s="61">
        <f>SUM(G14)</f>
        <v>98046</v>
      </c>
      <c r="H13" s="61">
        <f>SUM(H14)</f>
        <v>88999</v>
      </c>
      <c r="I13" s="81">
        <f>IF(ISERROR(H13/G13)," ",(H13/G13))*100</f>
        <v>90.77269852926177</v>
      </c>
      <c r="J13" s="61">
        <f>H13-'[12]Oktobris'!H13</f>
        <v>7494</v>
      </c>
    </row>
    <row r="14" spans="1:10" ht="12.75">
      <c r="A14" s="66" t="s">
        <v>851</v>
      </c>
      <c r="B14" s="61">
        <v>98046000</v>
      </c>
      <c r="C14" s="61"/>
      <c r="D14" s="62">
        <f t="shared" si="0"/>
        <v>0</v>
      </c>
      <c r="E14" s="55">
        <f t="shared" si="1"/>
        <v>0</v>
      </c>
      <c r="F14" s="66" t="s">
        <v>851</v>
      </c>
      <c r="G14" s="63">
        <f>ROUND(B14/1000,0)</f>
        <v>98046</v>
      </c>
      <c r="H14" s="63">
        <v>88999</v>
      </c>
      <c r="I14" s="64">
        <f>IF(ISERROR(H14/G14)," ",(H14/G14))*100</f>
        <v>90.77269852926177</v>
      </c>
      <c r="J14" s="63">
        <f>H14-'[12]Oktobris'!H14</f>
        <v>7494</v>
      </c>
    </row>
    <row r="15" spans="1:10" ht="12.75">
      <c r="A15" s="65" t="s">
        <v>852</v>
      </c>
      <c r="B15" s="61">
        <f>SUM(B16:B18)</f>
        <v>513733797</v>
      </c>
      <c r="C15" s="61">
        <f>SUM(C16:C18)</f>
        <v>0</v>
      </c>
      <c r="D15" s="62">
        <f t="shared" si="0"/>
        <v>0</v>
      </c>
      <c r="E15" s="55">
        <f t="shared" si="1"/>
        <v>0</v>
      </c>
      <c r="F15" s="65" t="s">
        <v>852</v>
      </c>
      <c r="G15" s="61">
        <f>SUM(G16:G18)</f>
        <v>513734</v>
      </c>
      <c r="H15" s="61">
        <f>SUM(H16:H18)</f>
        <v>447282</v>
      </c>
      <c r="I15" s="64">
        <f aca="true" t="shared" si="2" ref="I15:I78">IF(ISERROR(H15/G15)," ",(H15/G15))*100</f>
        <v>87.06490129132976</v>
      </c>
      <c r="J15" s="61">
        <f>H15-'[12]Oktobris'!H15</f>
        <v>39919</v>
      </c>
    </row>
    <row r="16" spans="1:10" ht="12.75" customHeight="1">
      <c r="A16" s="67" t="s">
        <v>853</v>
      </c>
      <c r="B16" s="61">
        <v>368947657</v>
      </c>
      <c r="C16" s="61"/>
      <c r="D16" s="62">
        <f t="shared" si="0"/>
        <v>0</v>
      </c>
      <c r="E16" s="55">
        <f t="shared" si="1"/>
        <v>0</v>
      </c>
      <c r="F16" s="67" t="s">
        <v>853</v>
      </c>
      <c r="G16" s="63">
        <f aca="true" t="shared" si="3" ref="G16:G25">ROUND(B16/1000,0)</f>
        <v>368948</v>
      </c>
      <c r="H16" s="63">
        <v>326847</v>
      </c>
      <c r="I16" s="64">
        <f t="shared" si="2"/>
        <v>88.58890683781996</v>
      </c>
      <c r="J16" s="63">
        <f>H16-'[12]Oktobris'!H16</f>
        <v>29152</v>
      </c>
    </row>
    <row r="17" spans="1:10" ht="12.75">
      <c r="A17" s="66" t="s">
        <v>854</v>
      </c>
      <c r="B17" s="61">
        <v>132843140</v>
      </c>
      <c r="C17" s="61"/>
      <c r="D17" s="62">
        <f t="shared" si="0"/>
        <v>0</v>
      </c>
      <c r="E17" s="55">
        <f t="shared" si="1"/>
        <v>0</v>
      </c>
      <c r="F17" s="66" t="s">
        <v>854</v>
      </c>
      <c r="G17" s="63">
        <f t="shared" si="3"/>
        <v>132843</v>
      </c>
      <c r="H17" s="63">
        <v>106458</v>
      </c>
      <c r="I17" s="64">
        <f t="shared" si="2"/>
        <v>80.13820826087938</v>
      </c>
      <c r="J17" s="63">
        <f>H17-'[12]Oktobris'!H17</f>
        <v>9478</v>
      </c>
    </row>
    <row r="18" spans="1:10" ht="12.75">
      <c r="A18" s="66" t="s">
        <v>855</v>
      </c>
      <c r="B18" s="61">
        <v>11943000</v>
      </c>
      <c r="C18" s="61"/>
      <c r="D18" s="62">
        <f t="shared" si="0"/>
        <v>0</v>
      </c>
      <c r="E18" s="55">
        <f t="shared" si="1"/>
        <v>0</v>
      </c>
      <c r="F18" s="66" t="s">
        <v>855</v>
      </c>
      <c r="G18" s="63">
        <f t="shared" si="3"/>
        <v>11943</v>
      </c>
      <c r="H18" s="63">
        <v>13977</v>
      </c>
      <c r="I18" s="64">
        <f t="shared" si="2"/>
        <v>117.03089675960814</v>
      </c>
      <c r="J18" s="63">
        <f>H18-'[12]Oktobris'!H18</f>
        <v>1289</v>
      </c>
    </row>
    <row r="19" spans="1:10" ht="12.75">
      <c r="A19" s="65" t="s">
        <v>780</v>
      </c>
      <c r="B19" s="61">
        <f>B20</f>
        <v>3240000</v>
      </c>
      <c r="C19" s="61"/>
      <c r="D19" s="62"/>
      <c r="E19" s="55"/>
      <c r="F19" s="65" t="s">
        <v>780</v>
      </c>
      <c r="G19" s="61">
        <f t="shared" si="3"/>
        <v>3240</v>
      </c>
      <c r="H19" s="61">
        <f>H20</f>
        <v>3695</v>
      </c>
      <c r="I19" s="81">
        <f t="shared" si="2"/>
        <v>114.04320987654322</v>
      </c>
      <c r="J19" s="61">
        <f>H19-'[12]Oktobris'!H19</f>
        <v>336</v>
      </c>
    </row>
    <row r="20" spans="1:10" ht="12.75">
      <c r="A20" s="66" t="s">
        <v>781</v>
      </c>
      <c r="B20" s="61">
        <v>3240000</v>
      </c>
      <c r="C20" s="61"/>
      <c r="D20" s="62"/>
      <c r="E20" s="55"/>
      <c r="F20" s="66" t="s">
        <v>781</v>
      </c>
      <c r="G20" s="63">
        <f t="shared" si="3"/>
        <v>3240</v>
      </c>
      <c r="H20" s="63">
        <v>3695</v>
      </c>
      <c r="I20" s="64">
        <f t="shared" si="2"/>
        <v>114.04320987654322</v>
      </c>
      <c r="J20" s="63">
        <f>H20-'[12]Oktobris'!H20</f>
        <v>336</v>
      </c>
    </row>
    <row r="21" spans="1:10" ht="12.75">
      <c r="A21" s="65" t="s">
        <v>856</v>
      </c>
      <c r="B21" s="61"/>
      <c r="C21" s="61"/>
      <c r="D21" s="62" t="str">
        <f t="shared" si="0"/>
        <v> </v>
      </c>
      <c r="E21" s="55">
        <f t="shared" si="1"/>
        <v>0</v>
      </c>
      <c r="F21" s="65" t="s">
        <v>856</v>
      </c>
      <c r="G21" s="68" t="s">
        <v>744</v>
      </c>
      <c r="H21" s="61">
        <v>4522</v>
      </c>
      <c r="I21" s="64"/>
      <c r="J21" s="61">
        <f>H21-'[12]Oktobris'!H21</f>
        <v>374</v>
      </c>
    </row>
    <row r="22" spans="1:10" ht="12.75">
      <c r="A22" s="60" t="s">
        <v>857</v>
      </c>
      <c r="B22" s="61">
        <v>63990583</v>
      </c>
      <c r="C22" s="61"/>
      <c r="D22" s="62">
        <f t="shared" si="0"/>
        <v>0</v>
      </c>
      <c r="E22" s="55">
        <f t="shared" si="1"/>
        <v>0</v>
      </c>
      <c r="F22" s="60" t="s">
        <v>857</v>
      </c>
      <c r="G22" s="63">
        <f>ROUND(B22/1000,0)-1</f>
        <v>63990</v>
      </c>
      <c r="H22" s="63">
        <v>62622</v>
      </c>
      <c r="I22" s="64">
        <f t="shared" si="2"/>
        <v>97.86216596343179</v>
      </c>
      <c r="J22" s="63">
        <f>H22-'[12]Oktobris'!H22</f>
        <v>4425</v>
      </c>
    </row>
    <row r="23" spans="1:10" ht="12.75" customHeight="1">
      <c r="A23" s="69" t="s">
        <v>858</v>
      </c>
      <c r="B23" s="61">
        <v>65026004</v>
      </c>
      <c r="C23" s="61"/>
      <c r="D23" s="62">
        <f t="shared" si="0"/>
        <v>0</v>
      </c>
      <c r="E23" s="55">
        <f t="shared" si="1"/>
        <v>0</v>
      </c>
      <c r="F23" s="69" t="s">
        <v>858</v>
      </c>
      <c r="G23" s="63">
        <v>65086</v>
      </c>
      <c r="H23" s="63">
        <v>56545</v>
      </c>
      <c r="I23" s="64">
        <f t="shared" si="2"/>
        <v>86.8773622591648</v>
      </c>
      <c r="J23" s="63">
        <f>H23-'[12]Oktobris'!H23</f>
        <v>4619</v>
      </c>
    </row>
    <row r="24" spans="1:10" ht="12" customHeight="1">
      <c r="A24" s="69" t="s">
        <v>859</v>
      </c>
      <c r="B24" s="61">
        <v>51309574</v>
      </c>
      <c r="C24" s="61"/>
      <c r="D24" s="62"/>
      <c r="E24" s="55"/>
      <c r="F24" s="69" t="s">
        <v>860</v>
      </c>
      <c r="G24" s="63">
        <v>52377</v>
      </c>
      <c r="H24" s="63">
        <v>25103</v>
      </c>
      <c r="I24" s="64">
        <f t="shared" si="2"/>
        <v>47.92752544055597</v>
      </c>
      <c r="J24" s="63">
        <f>H24-'[12]Oktobris'!H24</f>
        <v>1861</v>
      </c>
    </row>
    <row r="25" spans="1:10" ht="12.75" customHeight="1">
      <c r="A25" s="70" t="s">
        <v>861</v>
      </c>
      <c r="B25" s="61">
        <v>1201200</v>
      </c>
      <c r="C25" s="61"/>
      <c r="D25" s="62">
        <f t="shared" si="0"/>
        <v>0</v>
      </c>
      <c r="E25" s="55">
        <f t="shared" si="1"/>
        <v>0</v>
      </c>
      <c r="F25" s="70" t="s">
        <v>861</v>
      </c>
      <c r="G25" s="71">
        <f t="shared" si="3"/>
        <v>1201</v>
      </c>
      <c r="H25" s="72">
        <v>1001</v>
      </c>
      <c r="I25" s="73">
        <f t="shared" si="2"/>
        <v>83.34721065778517</v>
      </c>
      <c r="J25" s="72">
        <f>H25-'[12]Oktobris'!H25</f>
        <v>0</v>
      </c>
    </row>
    <row r="26" spans="1:10" ht="12.75" customHeight="1">
      <c r="A26" s="59" t="s">
        <v>862</v>
      </c>
      <c r="B26" s="55">
        <f>SUM(B11-B25)</f>
        <v>794144758</v>
      </c>
      <c r="C26" s="55">
        <f>SUM(C11-C25)</f>
        <v>0</v>
      </c>
      <c r="D26" s="56">
        <f t="shared" si="0"/>
        <v>0</v>
      </c>
      <c r="E26" s="55">
        <f t="shared" si="1"/>
        <v>0</v>
      </c>
      <c r="F26" s="59" t="s">
        <v>862</v>
      </c>
      <c r="G26" s="57">
        <f>SUM(G11-G25)</f>
        <v>795272</v>
      </c>
      <c r="H26" s="57">
        <f>SUM(H11-H25)</f>
        <v>687767</v>
      </c>
      <c r="I26" s="58">
        <f t="shared" si="2"/>
        <v>86.48198352261868</v>
      </c>
      <c r="J26" s="57">
        <f>H26-'[12]Oktobris'!H26</f>
        <v>59028</v>
      </c>
    </row>
    <row r="27" spans="1:10" ht="12.75">
      <c r="A27" s="74" t="s">
        <v>863</v>
      </c>
      <c r="B27" s="55">
        <f>SUM(B28+B33+B34+B35)</f>
        <v>727134239</v>
      </c>
      <c r="C27" s="55">
        <f>SUM(C28)</f>
        <v>0</v>
      </c>
      <c r="D27" s="56">
        <f t="shared" si="0"/>
        <v>0</v>
      </c>
      <c r="E27" s="55">
        <f t="shared" si="1"/>
        <v>0</v>
      </c>
      <c r="F27" s="74" t="s">
        <v>863</v>
      </c>
      <c r="G27" s="57">
        <f>SUM(G28+G33+G34+G35)</f>
        <v>727302</v>
      </c>
      <c r="H27" s="57">
        <f>SUM(H28+H33+H34+H35)</f>
        <v>639717</v>
      </c>
      <c r="I27" s="58">
        <f t="shared" si="2"/>
        <v>87.95754720872485</v>
      </c>
      <c r="J27" s="57">
        <f>H27-'[12]Oktobris'!H27</f>
        <v>57343</v>
      </c>
    </row>
    <row r="28" spans="1:10" ht="12.75">
      <c r="A28" s="60" t="s">
        <v>849</v>
      </c>
      <c r="B28" s="61">
        <f>SUM(B29:B32)</f>
        <v>637745447</v>
      </c>
      <c r="C28" s="61">
        <f>SUM(C29:C35)</f>
        <v>0</v>
      </c>
      <c r="D28" s="62">
        <f t="shared" si="0"/>
        <v>0</v>
      </c>
      <c r="E28" s="55">
        <f t="shared" si="1"/>
        <v>0</v>
      </c>
      <c r="F28" s="60" t="s">
        <v>849</v>
      </c>
      <c r="G28" s="63">
        <f>SUM(G29:G32)</f>
        <v>637745</v>
      </c>
      <c r="H28" s="63">
        <f>SUM(H29:H32)</f>
        <v>555076</v>
      </c>
      <c r="I28" s="64">
        <f t="shared" si="2"/>
        <v>87.03729547076026</v>
      </c>
      <c r="J28" s="63">
        <f>H28-'[12]Oktobris'!H28</f>
        <v>51394</v>
      </c>
    </row>
    <row r="29" spans="1:10" ht="12.75">
      <c r="A29" s="66" t="s">
        <v>864</v>
      </c>
      <c r="B29" s="61">
        <v>495585390</v>
      </c>
      <c r="C29" s="61"/>
      <c r="D29" s="62">
        <f t="shared" si="0"/>
        <v>0</v>
      </c>
      <c r="E29" s="55">
        <f t="shared" si="1"/>
        <v>0</v>
      </c>
      <c r="F29" s="66" t="s">
        <v>864</v>
      </c>
      <c r="G29" s="63">
        <f aca="true" t="shared" si="4" ref="G29:G34">ROUND(B29/1000,0)</f>
        <v>495585</v>
      </c>
      <c r="H29" s="63">
        <v>434927</v>
      </c>
      <c r="I29" s="64">
        <f t="shared" si="2"/>
        <v>87.76032365789925</v>
      </c>
      <c r="J29" s="63">
        <f>H29-'[12]Oktobris'!H29</f>
        <v>38885</v>
      </c>
    </row>
    <row r="30" spans="1:10" ht="12.75">
      <c r="A30" s="66" t="s">
        <v>865</v>
      </c>
      <c r="B30" s="61">
        <v>51689860</v>
      </c>
      <c r="C30" s="61"/>
      <c r="D30" s="62">
        <f t="shared" si="0"/>
        <v>0</v>
      </c>
      <c r="E30" s="55">
        <f t="shared" si="1"/>
        <v>0</v>
      </c>
      <c r="F30" s="66" t="s">
        <v>865</v>
      </c>
      <c r="G30" s="63">
        <f t="shared" si="4"/>
        <v>51690</v>
      </c>
      <c r="H30" s="63">
        <f>38770+348+603+1086</f>
        <v>40807</v>
      </c>
      <c r="I30" s="64">
        <f t="shared" si="2"/>
        <v>78.94563745405301</v>
      </c>
      <c r="J30" s="63">
        <f>H30-'[12]Oktobris'!H30</f>
        <v>4538</v>
      </c>
    </row>
    <row r="31" spans="1:10" ht="12.75">
      <c r="A31" s="66" t="s">
        <v>866</v>
      </c>
      <c r="B31" s="61">
        <v>81519197</v>
      </c>
      <c r="C31" s="61"/>
      <c r="D31" s="62">
        <f t="shared" si="0"/>
        <v>0</v>
      </c>
      <c r="E31" s="55">
        <f t="shared" si="1"/>
        <v>0</v>
      </c>
      <c r="F31" s="66" t="s">
        <v>866</v>
      </c>
      <c r="G31" s="63">
        <f t="shared" si="4"/>
        <v>81519</v>
      </c>
      <c r="H31" s="63">
        <v>71834</v>
      </c>
      <c r="I31" s="64">
        <f t="shared" si="2"/>
        <v>88.11933414296054</v>
      </c>
      <c r="J31" s="63">
        <f>H31-'[12]Oktobris'!H31</f>
        <v>6930</v>
      </c>
    </row>
    <row r="32" spans="1:10" ht="12.75">
      <c r="A32" s="66" t="s">
        <v>782</v>
      </c>
      <c r="B32" s="61">
        <v>8951000</v>
      </c>
      <c r="C32" s="61"/>
      <c r="D32" s="62"/>
      <c r="E32" s="55"/>
      <c r="F32" s="66" t="s">
        <v>782</v>
      </c>
      <c r="G32" s="63">
        <f t="shared" si="4"/>
        <v>8951</v>
      </c>
      <c r="H32" s="63">
        <v>7508</v>
      </c>
      <c r="I32" s="64">
        <f t="shared" si="2"/>
        <v>83.87889621271366</v>
      </c>
      <c r="J32" s="63">
        <f>H32-'[12]Oktobris'!H32</f>
        <v>1041</v>
      </c>
    </row>
    <row r="33" spans="1:10" ht="12.75">
      <c r="A33" s="66" t="s">
        <v>783</v>
      </c>
      <c r="B33" s="61">
        <v>83323775</v>
      </c>
      <c r="C33" s="61"/>
      <c r="D33" s="62"/>
      <c r="E33" s="55"/>
      <c r="F33" s="66" t="s">
        <v>783</v>
      </c>
      <c r="G33" s="63">
        <f t="shared" si="4"/>
        <v>83324</v>
      </c>
      <c r="H33" s="63">
        <v>79117</v>
      </c>
      <c r="I33" s="64">
        <f t="shared" si="2"/>
        <v>94.95103451586577</v>
      </c>
      <c r="J33" s="63">
        <f>H33-'[12]Oktobris'!H33</f>
        <v>5350</v>
      </c>
    </row>
    <row r="34" spans="1:10" ht="12.75">
      <c r="A34" s="66" t="s">
        <v>784</v>
      </c>
      <c r="B34" s="61">
        <v>3459911</v>
      </c>
      <c r="C34" s="61"/>
      <c r="D34" s="62"/>
      <c r="E34" s="55"/>
      <c r="F34" s="66" t="s">
        <v>784</v>
      </c>
      <c r="G34" s="63">
        <f t="shared" si="4"/>
        <v>3460</v>
      </c>
      <c r="H34" s="63">
        <f>101+2744+126+47</f>
        <v>3018</v>
      </c>
      <c r="I34" s="64">
        <f t="shared" si="2"/>
        <v>87.22543352601157</v>
      </c>
      <c r="J34" s="63">
        <f>H34-'[12]Oktobris'!H34</f>
        <v>448</v>
      </c>
    </row>
    <row r="35" spans="1:10" ht="12.75">
      <c r="A35" s="66" t="s">
        <v>785</v>
      </c>
      <c r="B35" s="61">
        <v>2605106</v>
      </c>
      <c r="C35" s="61"/>
      <c r="D35" s="62">
        <f t="shared" si="0"/>
        <v>0</v>
      </c>
      <c r="E35" s="55">
        <f t="shared" si="1"/>
        <v>0</v>
      </c>
      <c r="F35" s="66" t="s">
        <v>785</v>
      </c>
      <c r="G35" s="63">
        <v>2773</v>
      </c>
      <c r="H35" s="63">
        <f>2350+156</f>
        <v>2506</v>
      </c>
      <c r="I35" s="64">
        <f t="shared" si="2"/>
        <v>90.37143887486477</v>
      </c>
      <c r="J35" s="63">
        <f>H35-'[12]Oktobris'!H35</f>
        <v>151</v>
      </c>
    </row>
    <row r="36" spans="1:10" ht="12.75">
      <c r="A36" s="75" t="s">
        <v>867</v>
      </c>
      <c r="B36" s="61">
        <v>64165189</v>
      </c>
      <c r="C36" s="61"/>
      <c r="D36" s="62">
        <f t="shared" si="0"/>
        <v>0</v>
      </c>
      <c r="E36" s="55">
        <f t="shared" si="1"/>
        <v>0</v>
      </c>
      <c r="F36" s="75" t="s">
        <v>867</v>
      </c>
      <c r="G36" s="71">
        <f>ROUND(B36/1000,0)</f>
        <v>64165</v>
      </c>
      <c r="H36" s="71">
        <f>1420+1411+51374+6061</f>
        <v>60266</v>
      </c>
      <c r="I36" s="73">
        <f t="shared" si="2"/>
        <v>93.92347853190992</v>
      </c>
      <c r="J36" s="71">
        <f>H36-'[12]Oktobris'!H36</f>
        <v>4281</v>
      </c>
    </row>
    <row r="37" spans="1:10" ht="12.75" customHeight="1">
      <c r="A37" s="59" t="s">
        <v>868</v>
      </c>
      <c r="B37" s="55">
        <f>SUM(B27-B36)</f>
        <v>662969050</v>
      </c>
      <c r="C37" s="55">
        <f>SUM(C27-C36)</f>
        <v>0</v>
      </c>
      <c r="D37" s="56">
        <f t="shared" si="0"/>
        <v>0</v>
      </c>
      <c r="E37" s="55">
        <f t="shared" si="1"/>
        <v>0</v>
      </c>
      <c r="F37" s="59" t="s">
        <v>868</v>
      </c>
      <c r="G37" s="57">
        <f>SUM(G27-G36)</f>
        <v>663137</v>
      </c>
      <c r="H37" s="57">
        <f>SUM(H27-H36)</f>
        <v>579451</v>
      </c>
      <c r="I37" s="58">
        <f t="shared" si="2"/>
        <v>87.380284918501</v>
      </c>
      <c r="J37" s="57">
        <f>H37-'[12]Oktobris'!H37</f>
        <v>53062</v>
      </c>
    </row>
    <row r="38" spans="1:10" ht="15" customHeight="1">
      <c r="A38" s="76" t="s">
        <v>869</v>
      </c>
      <c r="B38" s="55">
        <f>SUM(B39:B41)</f>
        <v>1536543434</v>
      </c>
      <c r="C38" s="55">
        <f>SUM(C39:C41)</f>
        <v>0</v>
      </c>
      <c r="D38" s="56">
        <f t="shared" si="0"/>
        <v>0</v>
      </c>
      <c r="E38" s="55">
        <f t="shared" si="1"/>
        <v>0</v>
      </c>
      <c r="F38" s="76" t="s">
        <v>869</v>
      </c>
      <c r="G38" s="57">
        <f>SUM(G39:G41)</f>
        <v>1537839</v>
      </c>
      <c r="H38" s="57">
        <f>SUM(H39:H41)</f>
        <v>1300469</v>
      </c>
      <c r="I38" s="58">
        <f t="shared" si="2"/>
        <v>84.5647041075171</v>
      </c>
      <c r="J38" s="57">
        <f>H38-'[12]Oktobris'!H38</f>
        <v>121551</v>
      </c>
    </row>
    <row r="39" spans="1:10" ht="25.5">
      <c r="A39" s="76" t="s">
        <v>870</v>
      </c>
      <c r="B39" s="55">
        <f>SUM(B56+B78)</f>
        <v>1427129160</v>
      </c>
      <c r="C39" s="55">
        <f>SUM(C56+C78)</f>
        <v>0</v>
      </c>
      <c r="D39" s="56">
        <f t="shared" si="0"/>
        <v>0</v>
      </c>
      <c r="E39" s="55">
        <f t="shared" si="1"/>
        <v>0</v>
      </c>
      <c r="F39" s="76" t="s">
        <v>870</v>
      </c>
      <c r="G39" s="57">
        <f>SUM(G56+G78)</f>
        <v>1427923</v>
      </c>
      <c r="H39" s="57">
        <f>SUM(H56+H78)</f>
        <v>1228730</v>
      </c>
      <c r="I39" s="58">
        <f t="shared" si="2"/>
        <v>86.0501581667919</v>
      </c>
      <c r="J39" s="57">
        <f>H39-'[12]Oktobris'!H39</f>
        <v>113719</v>
      </c>
    </row>
    <row r="40" spans="1:10" ht="25.5">
      <c r="A40" s="76" t="s">
        <v>871</v>
      </c>
      <c r="B40" s="55">
        <f>SUM(B58+B80)</f>
        <v>32661601</v>
      </c>
      <c r="C40" s="55">
        <f>SUM(C58+C80)</f>
        <v>0</v>
      </c>
      <c r="D40" s="56">
        <f t="shared" si="0"/>
        <v>0</v>
      </c>
      <c r="E40" s="55">
        <f t="shared" si="1"/>
        <v>0</v>
      </c>
      <c r="F40" s="76" t="s">
        <v>871</v>
      </c>
      <c r="G40" s="57">
        <f>SUM(G58+G80)</f>
        <v>32684</v>
      </c>
      <c r="H40" s="57">
        <f>SUM(H58+H80)</f>
        <v>24823</v>
      </c>
      <c r="I40" s="58">
        <f t="shared" si="2"/>
        <v>75.94847631868804</v>
      </c>
      <c r="J40" s="57">
        <f>H40-'[12]Oktobris'!H40</f>
        <v>4131</v>
      </c>
    </row>
    <row r="41" spans="1:10" ht="25.5">
      <c r="A41" s="76" t="s">
        <v>872</v>
      </c>
      <c r="B41" s="55">
        <f>SUM(B61+B82)</f>
        <v>76752673</v>
      </c>
      <c r="C41" s="55">
        <f>SUM(C61+C82)</f>
        <v>0</v>
      </c>
      <c r="D41" s="56">
        <f t="shared" si="0"/>
        <v>0</v>
      </c>
      <c r="E41" s="55">
        <f t="shared" si="1"/>
        <v>0</v>
      </c>
      <c r="F41" s="76" t="s">
        <v>872</v>
      </c>
      <c r="G41" s="57">
        <f>SUM(G61+G82)</f>
        <v>77232</v>
      </c>
      <c r="H41" s="57">
        <f>SUM(H61+H82)</f>
        <v>46916</v>
      </c>
      <c r="I41" s="58">
        <f t="shared" si="2"/>
        <v>60.74684068779781</v>
      </c>
      <c r="J41" s="57">
        <f>H41-'[12]Oktobris'!H41</f>
        <v>3701</v>
      </c>
    </row>
    <row r="42" spans="1:10" ht="26.25" customHeight="1">
      <c r="A42" s="76" t="s">
        <v>873</v>
      </c>
      <c r="B42" s="55">
        <f>SUM(B10-B38)</f>
        <v>-79429626</v>
      </c>
      <c r="C42" s="55">
        <f>SUM(C10-C38)</f>
        <v>0</v>
      </c>
      <c r="D42" s="56">
        <f t="shared" si="0"/>
        <v>0</v>
      </c>
      <c r="E42" s="55">
        <f t="shared" si="1"/>
        <v>0</v>
      </c>
      <c r="F42" s="76" t="s">
        <v>873</v>
      </c>
      <c r="G42" s="57">
        <f>SUM(G10-G38)</f>
        <v>-79430</v>
      </c>
      <c r="H42" s="57">
        <f>SUM(H10-H38)</f>
        <v>-33251</v>
      </c>
      <c r="I42" s="58">
        <f t="shared" si="2"/>
        <v>41.86201687020017</v>
      </c>
      <c r="J42" s="57">
        <f>H42-'[12]Oktobris'!H42</f>
        <v>-9461</v>
      </c>
    </row>
    <row r="43" spans="1:10" ht="15" customHeight="1">
      <c r="A43" s="76" t="s">
        <v>874</v>
      </c>
      <c r="B43" s="55">
        <f>SUM(B63+B84)</f>
        <v>12043832</v>
      </c>
      <c r="C43" s="55">
        <f>SUM(C63+C84)</f>
        <v>0</v>
      </c>
      <c r="D43" s="56">
        <f t="shared" si="0"/>
        <v>0</v>
      </c>
      <c r="E43" s="55">
        <f t="shared" si="1"/>
        <v>0</v>
      </c>
      <c r="F43" s="76" t="s">
        <v>874</v>
      </c>
      <c r="G43" s="57">
        <f>SUM(G63+G84)</f>
        <v>12044</v>
      </c>
      <c r="H43" s="57">
        <f>SUM(H63+H84)</f>
        <v>8400</v>
      </c>
      <c r="I43" s="58">
        <f t="shared" si="2"/>
        <v>69.7442710063102</v>
      </c>
      <c r="J43" s="57">
        <f>H43-'[12]Oktobris'!H43</f>
        <v>1585</v>
      </c>
    </row>
    <row r="44" spans="1:10" ht="27" customHeight="1">
      <c r="A44" s="76" t="s">
        <v>875</v>
      </c>
      <c r="B44" s="55">
        <f>SUM(B38+B43)</f>
        <v>1548587266</v>
      </c>
      <c r="C44" s="55">
        <f>SUM(C38+C43)</f>
        <v>0</v>
      </c>
      <c r="D44" s="56">
        <f t="shared" si="0"/>
        <v>0</v>
      </c>
      <c r="E44" s="55">
        <f t="shared" si="1"/>
        <v>0</v>
      </c>
      <c r="F44" s="76" t="s">
        <v>875</v>
      </c>
      <c r="G44" s="57">
        <f>SUM(G38+G43)</f>
        <v>1549883</v>
      </c>
      <c r="H44" s="57">
        <f>SUM(H38+H43)</f>
        <v>1308869</v>
      </c>
      <c r="I44" s="58">
        <f t="shared" si="2"/>
        <v>84.44953586819133</v>
      </c>
      <c r="J44" s="57">
        <f>H44-'[12]Oktobris'!H44</f>
        <v>123136</v>
      </c>
    </row>
    <row r="45" spans="1:10" ht="25.5">
      <c r="A45" s="76" t="s">
        <v>876</v>
      </c>
      <c r="B45" s="55">
        <f>IF((B42-B43=B10-B44)=TRUE,B42-B43,9)</f>
        <v>-91473458</v>
      </c>
      <c r="C45" s="57">
        <f>C42-C43</f>
        <v>0</v>
      </c>
      <c r="D45" s="56">
        <f t="shared" si="0"/>
        <v>0</v>
      </c>
      <c r="E45" s="55">
        <f t="shared" si="1"/>
        <v>0</v>
      </c>
      <c r="F45" s="76" t="s">
        <v>876</v>
      </c>
      <c r="G45" s="57">
        <f>IF((G42-G43=G10-G44)=TRUE,G42-G43,9)</f>
        <v>-91474</v>
      </c>
      <c r="H45" s="57">
        <f>IF((H42-H43=H10-H44)=TRUE,H42-H43,9)</f>
        <v>-41651</v>
      </c>
      <c r="I45" s="58">
        <f t="shared" si="2"/>
        <v>45.533156962634195</v>
      </c>
      <c r="J45" s="57">
        <f>H45-'[12]Oktobris'!H45</f>
        <v>-11046</v>
      </c>
    </row>
    <row r="46" spans="1:10" ht="12.75">
      <c r="A46" s="76"/>
      <c r="B46" s="55"/>
      <c r="C46" s="57"/>
      <c r="D46" s="56"/>
      <c r="E46" s="55"/>
      <c r="F46" s="77" t="s">
        <v>877</v>
      </c>
      <c r="G46" s="57"/>
      <c r="H46" s="57"/>
      <c r="I46" s="58"/>
      <c r="J46" s="57">
        <f>H46-'[12]Oktobris'!H46</f>
        <v>0</v>
      </c>
    </row>
    <row r="47" spans="1:10" ht="12.75" customHeight="1">
      <c r="A47" s="76"/>
      <c r="B47" s="55">
        <v>17266744</v>
      </c>
      <c r="C47" s="57"/>
      <c r="D47" s="56"/>
      <c r="E47" s="55"/>
      <c r="F47" s="77" t="s">
        <v>878</v>
      </c>
      <c r="G47" s="78">
        <f>ROUND(B47/1000,0)</f>
        <v>17267</v>
      </c>
      <c r="H47" s="78">
        <v>15638</v>
      </c>
      <c r="I47" s="79">
        <f t="shared" si="2"/>
        <v>90.56581919267967</v>
      </c>
      <c r="J47" s="78">
        <f>H47-'[12]Oktobris'!H47</f>
        <v>1088</v>
      </c>
    </row>
    <row r="48" spans="1:10" ht="12.75">
      <c r="A48" s="76"/>
      <c r="B48" s="55">
        <v>800000</v>
      </c>
      <c r="C48" s="57"/>
      <c r="D48" s="56"/>
      <c r="E48" s="55"/>
      <c r="F48" s="77" t="s">
        <v>879</v>
      </c>
      <c r="G48" s="78">
        <f>ROUND(B48/1000,0)</f>
        <v>800</v>
      </c>
      <c r="H48" s="78">
        <v>883</v>
      </c>
      <c r="I48" s="79">
        <f t="shared" si="2"/>
        <v>110.375</v>
      </c>
      <c r="J48" s="78">
        <f>H48-'[12]Oktobris'!H48</f>
        <v>0</v>
      </c>
    </row>
    <row r="49" spans="1:10" ht="12.75">
      <c r="A49" s="76"/>
      <c r="B49" s="55">
        <v>71869175</v>
      </c>
      <c r="C49" s="57"/>
      <c r="D49" s="56"/>
      <c r="E49" s="55"/>
      <c r="F49" s="77" t="s">
        <v>880</v>
      </c>
      <c r="G49" s="78">
        <f>ROUND(B49/1000,0)</f>
        <v>71869</v>
      </c>
      <c r="H49" s="78">
        <v>151067</v>
      </c>
      <c r="I49" s="79">
        <f t="shared" si="2"/>
        <v>210.19772085321904</v>
      </c>
      <c r="J49" s="78">
        <f>H49-'[12]Oktobris'!H49</f>
        <v>105386</v>
      </c>
    </row>
    <row r="50" spans="1:10" ht="12.75">
      <c r="A50" s="76"/>
      <c r="B50" s="55">
        <v>1537539</v>
      </c>
      <c r="C50" s="57"/>
      <c r="D50" s="56"/>
      <c r="E50" s="55"/>
      <c r="F50" s="77" t="s">
        <v>786</v>
      </c>
      <c r="G50" s="78">
        <v>1370</v>
      </c>
      <c r="H50" s="78">
        <v>-125937</v>
      </c>
      <c r="I50" s="79"/>
      <c r="J50" s="78">
        <f>H50-'[12]Oktobris'!H50</f>
        <v>-95428</v>
      </c>
    </row>
    <row r="51" spans="1:10" ht="12.75">
      <c r="A51" s="59" t="s">
        <v>881</v>
      </c>
      <c r="B51" s="55">
        <f>B54+B57+B59</f>
        <v>832064074</v>
      </c>
      <c r="C51" s="55">
        <f>C54+C57+C59</f>
        <v>0</v>
      </c>
      <c r="D51" s="56">
        <f t="shared" si="0"/>
        <v>0</v>
      </c>
      <c r="E51" s="55">
        <f t="shared" si="1"/>
        <v>0</v>
      </c>
      <c r="F51" s="59" t="s">
        <v>881</v>
      </c>
      <c r="G51" s="57">
        <f>G54+G57+G59</f>
        <v>833192</v>
      </c>
      <c r="H51" s="57">
        <f>H54+H57+H59</f>
        <v>700500</v>
      </c>
      <c r="I51" s="58">
        <f t="shared" si="2"/>
        <v>84.07425899432543</v>
      </c>
      <c r="J51" s="57">
        <f>H51-'[12]Oktobris'!H51</f>
        <v>64743</v>
      </c>
    </row>
    <row r="52" spans="1:10" ht="12.75">
      <c r="A52" s="80" t="s">
        <v>882</v>
      </c>
      <c r="B52" s="61">
        <f>B55+B60</f>
        <v>64165189</v>
      </c>
      <c r="C52" s="61">
        <f>C55+C60</f>
        <v>0</v>
      </c>
      <c r="D52" s="62">
        <f t="shared" si="0"/>
        <v>0</v>
      </c>
      <c r="E52" s="55">
        <f t="shared" si="1"/>
        <v>0</v>
      </c>
      <c r="F52" s="80" t="s">
        <v>882</v>
      </c>
      <c r="G52" s="71">
        <f>G55+G60</f>
        <v>64165</v>
      </c>
      <c r="H52" s="71">
        <f>H55+H60</f>
        <v>60266</v>
      </c>
      <c r="I52" s="73">
        <f t="shared" si="2"/>
        <v>93.92347853190992</v>
      </c>
      <c r="J52" s="71">
        <f>H52-'[12]Oktobris'!H52</f>
        <v>4281</v>
      </c>
    </row>
    <row r="53" spans="1:10" ht="13.5" customHeight="1">
      <c r="A53" s="59" t="s">
        <v>883</v>
      </c>
      <c r="B53" s="55">
        <f>SUM(B51-B52)</f>
        <v>767898885</v>
      </c>
      <c r="C53" s="55">
        <f>SUM(C51-C52)</f>
        <v>0</v>
      </c>
      <c r="D53" s="56">
        <f t="shared" si="0"/>
        <v>0</v>
      </c>
      <c r="E53" s="55">
        <f t="shared" si="1"/>
        <v>0</v>
      </c>
      <c r="F53" s="59" t="s">
        <v>883</v>
      </c>
      <c r="G53" s="57">
        <f>SUM(G51-G52)</f>
        <v>769027</v>
      </c>
      <c r="H53" s="57">
        <f>SUM(H51-H52)</f>
        <v>640234</v>
      </c>
      <c r="I53" s="58">
        <f t="shared" si="2"/>
        <v>83.2524735802514</v>
      </c>
      <c r="J53" s="57">
        <f>H53-'[12]Oktobris'!H53</f>
        <v>60462</v>
      </c>
    </row>
    <row r="54" spans="1:10" ht="12.75">
      <c r="A54" s="60" t="s">
        <v>884</v>
      </c>
      <c r="B54" s="61">
        <v>754923325</v>
      </c>
      <c r="C54" s="61"/>
      <c r="D54" s="62">
        <f t="shared" si="0"/>
        <v>0</v>
      </c>
      <c r="E54" s="55">
        <f t="shared" si="1"/>
        <v>0</v>
      </c>
      <c r="F54" s="60" t="s">
        <v>884</v>
      </c>
      <c r="G54" s="61">
        <v>755550</v>
      </c>
      <c r="H54" s="61">
        <v>649497</v>
      </c>
      <c r="I54" s="64">
        <f t="shared" si="2"/>
        <v>85.96347031963471</v>
      </c>
      <c r="J54" s="61">
        <f>H54-'[12]Oktobris'!H54</f>
        <v>59596</v>
      </c>
    </row>
    <row r="55" spans="1:10" ht="12.75">
      <c r="A55" s="75" t="s">
        <v>885</v>
      </c>
      <c r="B55" s="61">
        <v>63413789</v>
      </c>
      <c r="C55" s="61"/>
      <c r="D55" s="62">
        <f t="shared" si="0"/>
        <v>0</v>
      </c>
      <c r="E55" s="55">
        <f t="shared" si="1"/>
        <v>0</v>
      </c>
      <c r="F55" s="75" t="s">
        <v>885</v>
      </c>
      <c r="G55" s="71">
        <f>ROUND(B55/1000,0)</f>
        <v>63414</v>
      </c>
      <c r="H55" s="71">
        <v>59515</v>
      </c>
      <c r="I55" s="73">
        <f t="shared" si="2"/>
        <v>93.8515154382313</v>
      </c>
      <c r="J55" s="71">
        <f>H55-'[12]Oktobris'!H55</f>
        <v>4275</v>
      </c>
    </row>
    <row r="56" spans="1:10" ht="13.5" customHeight="1">
      <c r="A56" s="59" t="s">
        <v>886</v>
      </c>
      <c r="B56" s="55">
        <f>SUM(B54-B55)</f>
        <v>691509536</v>
      </c>
      <c r="C56" s="55">
        <f>SUM(C54-C55)</f>
        <v>0</v>
      </c>
      <c r="D56" s="56">
        <f t="shared" si="0"/>
        <v>0</v>
      </c>
      <c r="E56" s="55">
        <f t="shared" si="1"/>
        <v>0</v>
      </c>
      <c r="F56" s="59" t="s">
        <v>886</v>
      </c>
      <c r="G56" s="57">
        <f>SUM(G54-G55)</f>
        <v>692136</v>
      </c>
      <c r="H56" s="57">
        <f>SUM(H54-H55)</f>
        <v>589982</v>
      </c>
      <c r="I56" s="58">
        <f t="shared" si="2"/>
        <v>85.24076193118115</v>
      </c>
      <c r="J56" s="57">
        <f>H56-'[12]Oktobris'!H56</f>
        <v>55321</v>
      </c>
    </row>
    <row r="57" spans="1:10" ht="12.75">
      <c r="A57" s="60" t="s">
        <v>887</v>
      </c>
      <c r="B57" s="61">
        <v>20101489</v>
      </c>
      <c r="C57" s="61"/>
      <c r="D57" s="62">
        <f t="shared" si="0"/>
        <v>0</v>
      </c>
      <c r="E57" s="55">
        <f t="shared" si="1"/>
        <v>0</v>
      </c>
      <c r="F57" s="60" t="s">
        <v>887</v>
      </c>
      <c r="G57" s="61">
        <v>20124</v>
      </c>
      <c r="H57" s="61">
        <v>13639</v>
      </c>
      <c r="I57" s="64">
        <f t="shared" si="2"/>
        <v>67.77479626316835</v>
      </c>
      <c r="J57" s="61">
        <f>H57-'[12]Oktobris'!H57</f>
        <v>1463</v>
      </c>
    </row>
    <row r="58" spans="1:10" ht="15" customHeight="1">
      <c r="A58" s="59" t="s">
        <v>888</v>
      </c>
      <c r="B58" s="55">
        <f>SUM(B57)</f>
        <v>20101489</v>
      </c>
      <c r="C58" s="55">
        <f>SUM(C57)</f>
        <v>0</v>
      </c>
      <c r="D58" s="56">
        <f t="shared" si="0"/>
        <v>0</v>
      </c>
      <c r="E58" s="55">
        <f t="shared" si="1"/>
        <v>0</v>
      </c>
      <c r="F58" s="59" t="s">
        <v>888</v>
      </c>
      <c r="G58" s="57">
        <f>SUM(G57)</f>
        <v>20124</v>
      </c>
      <c r="H58" s="57">
        <f>SUM(H57)</f>
        <v>13639</v>
      </c>
      <c r="I58" s="58">
        <f t="shared" si="2"/>
        <v>67.77479626316835</v>
      </c>
      <c r="J58" s="57">
        <f>H58-'[12]Oktobris'!H58</f>
        <v>1463</v>
      </c>
    </row>
    <row r="59" spans="1:10" ht="12.75">
      <c r="A59" s="60" t="s">
        <v>889</v>
      </c>
      <c r="B59" s="61">
        <v>57039260</v>
      </c>
      <c r="C59" s="61"/>
      <c r="D59" s="62">
        <f t="shared" si="0"/>
        <v>0</v>
      </c>
      <c r="E59" s="55">
        <f t="shared" si="1"/>
        <v>0</v>
      </c>
      <c r="F59" s="60" t="s">
        <v>889</v>
      </c>
      <c r="G59" s="61">
        <v>57518</v>
      </c>
      <c r="H59" s="61">
        <v>37364</v>
      </c>
      <c r="I59" s="64">
        <f t="shared" si="2"/>
        <v>64.96053409367502</v>
      </c>
      <c r="J59" s="61">
        <f>H59-'[12]Oktobris'!H59</f>
        <v>3684</v>
      </c>
    </row>
    <row r="60" spans="1:10" ht="12.75">
      <c r="A60" s="75" t="s">
        <v>890</v>
      </c>
      <c r="B60" s="61">
        <v>751400</v>
      </c>
      <c r="C60" s="61"/>
      <c r="D60" s="62">
        <f t="shared" si="0"/>
        <v>0</v>
      </c>
      <c r="E60" s="55">
        <f t="shared" si="1"/>
        <v>0</v>
      </c>
      <c r="F60" s="75" t="s">
        <v>890</v>
      </c>
      <c r="G60" s="71">
        <f>ROUND(B60/1000,0)</f>
        <v>751</v>
      </c>
      <c r="H60" s="71">
        <v>751</v>
      </c>
      <c r="I60" s="73">
        <f t="shared" si="2"/>
        <v>100</v>
      </c>
      <c r="J60" s="71">
        <f>H60-'[12]Oktobris'!H60</f>
        <v>6</v>
      </c>
    </row>
    <row r="61" spans="1:10" ht="14.25" customHeight="1">
      <c r="A61" s="59" t="s">
        <v>891</v>
      </c>
      <c r="B61" s="55">
        <f>SUM(B59-B60)</f>
        <v>56287860</v>
      </c>
      <c r="C61" s="55">
        <f>SUM(C59-C60)</f>
        <v>0</v>
      </c>
      <c r="D61" s="56">
        <f t="shared" si="0"/>
        <v>0</v>
      </c>
      <c r="E61" s="55">
        <f t="shared" si="1"/>
        <v>0</v>
      </c>
      <c r="F61" s="59" t="s">
        <v>891</v>
      </c>
      <c r="G61" s="57">
        <f>SUM(G59-G60)</f>
        <v>56767</v>
      </c>
      <c r="H61" s="57">
        <f>SUM(H59-H60)</f>
        <v>36613</v>
      </c>
      <c r="I61" s="58">
        <f t="shared" si="2"/>
        <v>64.49697887857381</v>
      </c>
      <c r="J61" s="57">
        <f>H61-'[12]Oktobris'!H61</f>
        <v>3678</v>
      </c>
    </row>
    <row r="62" spans="1:10" ht="27" customHeight="1">
      <c r="A62" s="76" t="s">
        <v>892</v>
      </c>
      <c r="B62" s="55">
        <f>SUM(B11-B51)</f>
        <v>-36718116</v>
      </c>
      <c r="C62" s="55">
        <f>SUM(C11-C51)</f>
        <v>0</v>
      </c>
      <c r="D62" s="56">
        <f t="shared" si="0"/>
        <v>0</v>
      </c>
      <c r="E62" s="55">
        <f t="shared" si="1"/>
        <v>0</v>
      </c>
      <c r="F62" s="76" t="s">
        <v>892</v>
      </c>
      <c r="G62" s="57">
        <f>SUM(G11-G51)</f>
        <v>-36719</v>
      </c>
      <c r="H62" s="57">
        <f>SUM(H11-H51)</f>
        <v>-11732</v>
      </c>
      <c r="I62" s="58">
        <f t="shared" si="2"/>
        <v>31.950761186306813</v>
      </c>
      <c r="J62" s="57">
        <f>H62-'[12]Oktobris'!H62</f>
        <v>-5715</v>
      </c>
    </row>
    <row r="63" spans="1:10" ht="14.25" customHeight="1">
      <c r="A63" s="59" t="s">
        <v>893</v>
      </c>
      <c r="B63" s="55">
        <f>B66</f>
        <v>5673780</v>
      </c>
      <c r="C63" s="55"/>
      <c r="D63" s="56">
        <f t="shared" si="0"/>
        <v>0</v>
      </c>
      <c r="E63" s="55">
        <f t="shared" si="1"/>
        <v>0</v>
      </c>
      <c r="F63" s="59" t="s">
        <v>893</v>
      </c>
      <c r="G63" s="57">
        <f>G66</f>
        <v>5674</v>
      </c>
      <c r="H63" s="57">
        <f>H66</f>
        <v>3004</v>
      </c>
      <c r="I63" s="58">
        <f t="shared" si="2"/>
        <v>52.943249911878745</v>
      </c>
      <c r="J63" s="57">
        <f>H63-'[12]Oktobris'!H63</f>
        <v>866</v>
      </c>
    </row>
    <row r="64" spans="1:10" ht="12.75">
      <c r="A64" s="60" t="s">
        <v>894</v>
      </c>
      <c r="B64" s="61">
        <v>48031380</v>
      </c>
      <c r="C64" s="61"/>
      <c r="D64" s="62">
        <f t="shared" si="0"/>
        <v>0</v>
      </c>
      <c r="E64" s="55">
        <f t="shared" si="1"/>
        <v>0</v>
      </c>
      <c r="F64" s="60" t="s">
        <v>895</v>
      </c>
      <c r="G64" s="63">
        <f>ROUND(B64/1000,0)</f>
        <v>48031</v>
      </c>
      <c r="H64" s="63">
        <v>33523</v>
      </c>
      <c r="I64" s="64">
        <f t="shared" si="2"/>
        <v>69.7945077137682</v>
      </c>
      <c r="J64" s="63">
        <f>H64-'[12]Oktobris'!H64</f>
        <v>2473</v>
      </c>
    </row>
    <row r="65" spans="1:10" ht="12.75" customHeight="1">
      <c r="A65" s="75" t="s">
        <v>890</v>
      </c>
      <c r="B65" s="61">
        <v>42357600</v>
      </c>
      <c r="C65" s="61"/>
      <c r="D65" s="62">
        <f t="shared" si="0"/>
        <v>0</v>
      </c>
      <c r="E65" s="55">
        <f t="shared" si="1"/>
        <v>0</v>
      </c>
      <c r="F65" s="75" t="s">
        <v>890</v>
      </c>
      <c r="G65" s="71">
        <f>ROUND(B65/1000,0)-1</f>
        <v>42357</v>
      </c>
      <c r="H65" s="71">
        <v>30519</v>
      </c>
      <c r="I65" s="73">
        <f t="shared" si="2"/>
        <v>72.05184503151781</v>
      </c>
      <c r="J65" s="71">
        <f>H65-'[12]Oktobris'!H65</f>
        <v>1607</v>
      </c>
    </row>
    <row r="66" spans="1:10" ht="12.75">
      <c r="A66" s="60" t="s">
        <v>896</v>
      </c>
      <c r="B66" s="61">
        <f>B64-B65</f>
        <v>5673780</v>
      </c>
      <c r="C66" s="61"/>
      <c r="D66" s="62">
        <f t="shared" si="0"/>
        <v>0</v>
      </c>
      <c r="E66" s="55">
        <f t="shared" si="1"/>
        <v>0</v>
      </c>
      <c r="F66" s="60" t="s">
        <v>896</v>
      </c>
      <c r="G66" s="63">
        <f>G64-G65</f>
        <v>5674</v>
      </c>
      <c r="H66" s="63">
        <f>SUM(H64-H65)</f>
        <v>3004</v>
      </c>
      <c r="I66" s="64">
        <f t="shared" si="2"/>
        <v>52.943249911878745</v>
      </c>
      <c r="J66" s="63">
        <f>H66-'[12]Oktobris'!H66</f>
        <v>866</v>
      </c>
    </row>
    <row r="67" spans="1:10" ht="26.25" customHeight="1">
      <c r="A67" s="76" t="s">
        <v>897</v>
      </c>
      <c r="B67" s="55">
        <f>B62-B64</f>
        <v>-84749496</v>
      </c>
      <c r="C67" s="55">
        <f>C62-C64</f>
        <v>0</v>
      </c>
      <c r="D67" s="56">
        <f t="shared" si="0"/>
        <v>0</v>
      </c>
      <c r="E67" s="55">
        <f t="shared" si="1"/>
        <v>0</v>
      </c>
      <c r="F67" s="76" t="s">
        <v>898</v>
      </c>
      <c r="G67" s="57">
        <f>G62-G64</f>
        <v>-84750</v>
      </c>
      <c r="H67" s="57">
        <f>H62-H64</f>
        <v>-45255</v>
      </c>
      <c r="I67" s="58">
        <f t="shared" si="2"/>
        <v>53.39823008849558</v>
      </c>
      <c r="J67" s="57">
        <f>H67-'[12]Oktobris'!H67</f>
        <v>-8188</v>
      </c>
    </row>
    <row r="68" spans="1:10" ht="12.75">
      <c r="A68" s="77" t="s">
        <v>877</v>
      </c>
      <c r="B68" s="55"/>
      <c r="C68" s="55"/>
      <c r="D68" s="56"/>
      <c r="E68" s="55"/>
      <c r="F68" s="77" t="s">
        <v>877</v>
      </c>
      <c r="G68" s="57"/>
      <c r="H68" s="57"/>
      <c r="I68" s="58"/>
      <c r="J68" s="57">
        <f>H68-'[12]Oktobris'!H68</f>
        <v>0</v>
      </c>
    </row>
    <row r="69" spans="1:10" ht="12.75" customHeight="1">
      <c r="A69" s="77" t="s">
        <v>878</v>
      </c>
      <c r="B69" s="55">
        <v>17266744</v>
      </c>
      <c r="C69" s="55"/>
      <c r="D69" s="56"/>
      <c r="E69" s="55"/>
      <c r="F69" s="77" t="s">
        <v>878</v>
      </c>
      <c r="G69" s="78">
        <f>ROUND(B69/1000,0)</f>
        <v>17267</v>
      </c>
      <c r="H69" s="78">
        <v>15638</v>
      </c>
      <c r="I69" s="79">
        <f t="shared" si="2"/>
        <v>90.56581919267967</v>
      </c>
      <c r="J69" s="78">
        <f>H69-'[12]Oktobris'!H69</f>
        <v>1088</v>
      </c>
    </row>
    <row r="70" spans="1:10" ht="12.75">
      <c r="A70" s="77" t="s">
        <v>879</v>
      </c>
      <c r="B70" s="55">
        <v>800000</v>
      </c>
      <c r="C70" s="55"/>
      <c r="D70" s="56"/>
      <c r="E70" s="55"/>
      <c r="F70" s="77" t="s">
        <v>879</v>
      </c>
      <c r="G70" s="78">
        <f>ROUND(B70/1000,0)</f>
        <v>800</v>
      </c>
      <c r="H70" s="78">
        <v>883</v>
      </c>
      <c r="I70" s="79">
        <f t="shared" si="2"/>
        <v>110.375</v>
      </c>
      <c r="J70" s="78">
        <f>H70-'[12]Oktobris'!H70</f>
        <v>0</v>
      </c>
    </row>
    <row r="71" spans="1:10" ht="12.75">
      <c r="A71" s="77" t="s">
        <v>880</v>
      </c>
      <c r="B71" s="55">
        <v>66179118</v>
      </c>
      <c r="C71" s="55"/>
      <c r="D71" s="56"/>
      <c r="E71" s="55"/>
      <c r="F71" s="77" t="s">
        <v>880</v>
      </c>
      <c r="G71" s="78">
        <f>ROUND(B71/1000,0)</f>
        <v>66179</v>
      </c>
      <c r="H71" s="78">
        <v>28234</v>
      </c>
      <c r="I71" s="79">
        <f t="shared" si="2"/>
        <v>42.663080433370105</v>
      </c>
      <c r="J71" s="78">
        <f>H71-'[12]Oktobris'!H71</f>
        <v>7093</v>
      </c>
    </row>
    <row r="72" spans="1:10" ht="12.75">
      <c r="A72" s="77" t="s">
        <v>786</v>
      </c>
      <c r="B72" s="55">
        <v>503634</v>
      </c>
      <c r="C72" s="55"/>
      <c r="D72" s="56"/>
      <c r="E72" s="55"/>
      <c r="F72" s="77" t="s">
        <v>786</v>
      </c>
      <c r="G72" s="78">
        <v>504</v>
      </c>
      <c r="H72" s="78">
        <v>500</v>
      </c>
      <c r="I72" s="79">
        <f t="shared" si="2"/>
        <v>99.20634920634922</v>
      </c>
      <c r="J72" s="78">
        <f>H72-'[12]Oktobris'!H72</f>
        <v>7</v>
      </c>
    </row>
    <row r="73" spans="1:10" ht="14.25" customHeight="1">
      <c r="A73" s="59" t="s">
        <v>899</v>
      </c>
      <c r="B73" s="55">
        <f>B76+B79+B81</f>
        <v>769845749</v>
      </c>
      <c r="C73" s="55">
        <f>C76+C79+C81</f>
        <v>0</v>
      </c>
      <c r="D73" s="56">
        <f t="shared" si="0"/>
        <v>0</v>
      </c>
      <c r="E73" s="55">
        <f t="shared" si="1"/>
        <v>0</v>
      </c>
      <c r="F73" s="59" t="s">
        <v>899</v>
      </c>
      <c r="G73" s="57">
        <f>G76+G79+G81</f>
        <v>770013</v>
      </c>
      <c r="H73" s="57">
        <f>H76+H79+H81</f>
        <v>661236</v>
      </c>
      <c r="I73" s="58">
        <f t="shared" si="2"/>
        <v>85.87335538490909</v>
      </c>
      <c r="J73" s="57">
        <f>H73-'[12]Oktobris'!H73</f>
        <v>61089</v>
      </c>
    </row>
    <row r="74" spans="1:10" ht="12.75">
      <c r="A74" s="75" t="s">
        <v>900</v>
      </c>
      <c r="B74" s="61">
        <f>B77</f>
        <v>1201200</v>
      </c>
      <c r="C74" s="61">
        <f>C25</f>
        <v>0</v>
      </c>
      <c r="D74" s="62">
        <f t="shared" si="0"/>
        <v>0</v>
      </c>
      <c r="E74" s="55">
        <f t="shared" si="1"/>
        <v>0</v>
      </c>
      <c r="F74" s="75" t="s">
        <v>900</v>
      </c>
      <c r="G74" s="71">
        <f>G77</f>
        <v>1201</v>
      </c>
      <c r="H74" s="71">
        <f>H77</f>
        <v>1001</v>
      </c>
      <c r="I74" s="73">
        <f t="shared" si="2"/>
        <v>83.34721065778517</v>
      </c>
      <c r="J74" s="71">
        <f>H74-'[12]Oktobris'!H74</f>
        <v>0</v>
      </c>
    </row>
    <row r="75" spans="1:10" ht="14.25" customHeight="1">
      <c r="A75" s="59" t="s">
        <v>901</v>
      </c>
      <c r="B75" s="55">
        <f>SUM(B73-B74)</f>
        <v>768644549</v>
      </c>
      <c r="C75" s="55">
        <f>SUM(C73-C74)</f>
        <v>0</v>
      </c>
      <c r="D75" s="56">
        <f aca="true" t="shared" si="5" ref="D75:D83">IF(ISERROR(C75/B75)," ",(C75/B75))</f>
        <v>0</v>
      </c>
      <c r="E75" s="55">
        <f t="shared" si="1"/>
        <v>0</v>
      </c>
      <c r="F75" s="59" t="s">
        <v>901</v>
      </c>
      <c r="G75" s="57">
        <f>SUM(G73-G74)</f>
        <v>768812</v>
      </c>
      <c r="H75" s="57">
        <f>SUM(H73-H74)</f>
        <v>660235</v>
      </c>
      <c r="I75" s="58">
        <f t="shared" si="2"/>
        <v>85.87730160299267</v>
      </c>
      <c r="J75" s="57">
        <f>H75-'[12]Oktobris'!H75</f>
        <v>61089</v>
      </c>
    </row>
    <row r="76" spans="1:10" ht="12.75">
      <c r="A76" s="60" t="s">
        <v>902</v>
      </c>
      <c r="B76" s="61">
        <v>736820824</v>
      </c>
      <c r="C76" s="61"/>
      <c r="D76" s="62">
        <f t="shared" si="5"/>
        <v>0</v>
      </c>
      <c r="E76" s="55">
        <f t="shared" si="1"/>
        <v>0</v>
      </c>
      <c r="F76" s="60" t="s">
        <v>902</v>
      </c>
      <c r="G76" s="63">
        <v>736988</v>
      </c>
      <c r="H76" s="63">
        <v>639749</v>
      </c>
      <c r="I76" s="64">
        <f t="shared" si="2"/>
        <v>86.80589100500958</v>
      </c>
      <c r="J76" s="63">
        <f>H76-'[12]Oktobris'!H76</f>
        <v>58398</v>
      </c>
    </row>
    <row r="77" spans="1:10" ht="12.75">
      <c r="A77" s="75" t="s">
        <v>903</v>
      </c>
      <c r="B77" s="61">
        <v>1201200</v>
      </c>
      <c r="C77" s="61">
        <f>C25</f>
        <v>0</v>
      </c>
      <c r="D77" s="62">
        <f t="shared" si="5"/>
        <v>0</v>
      </c>
      <c r="E77" s="55">
        <f t="shared" si="1"/>
        <v>0</v>
      </c>
      <c r="F77" s="75" t="s">
        <v>903</v>
      </c>
      <c r="G77" s="71">
        <f>ROUND(B77/1000,0)</f>
        <v>1201</v>
      </c>
      <c r="H77" s="72">
        <v>1001</v>
      </c>
      <c r="I77" s="73">
        <f t="shared" si="2"/>
        <v>83.34721065778517</v>
      </c>
      <c r="J77" s="72">
        <f>H77-'[12]Oktobris'!H77</f>
        <v>0</v>
      </c>
    </row>
    <row r="78" spans="1:10" ht="15" customHeight="1">
      <c r="A78" s="59" t="s">
        <v>904</v>
      </c>
      <c r="B78" s="55">
        <f>SUM(B76-B77)</f>
        <v>735619624</v>
      </c>
      <c r="C78" s="55">
        <f>SUM(C76-C77)</f>
        <v>0</v>
      </c>
      <c r="D78" s="56">
        <f t="shared" si="5"/>
        <v>0</v>
      </c>
      <c r="E78" s="55">
        <f t="shared" si="1"/>
        <v>0</v>
      </c>
      <c r="F78" s="59" t="s">
        <v>904</v>
      </c>
      <c r="G78" s="57">
        <f>SUM(G76-G77)</f>
        <v>735787</v>
      </c>
      <c r="H78" s="57">
        <f>SUM(H76-H77)</f>
        <v>638748</v>
      </c>
      <c r="I78" s="58">
        <f t="shared" si="2"/>
        <v>86.81153649085944</v>
      </c>
      <c r="J78" s="57">
        <f>H78-'[12]Oktobris'!H78</f>
        <v>58398</v>
      </c>
    </row>
    <row r="79" spans="1:10" ht="12.75">
      <c r="A79" s="60" t="s">
        <v>905</v>
      </c>
      <c r="B79" s="61">
        <v>12560112</v>
      </c>
      <c r="C79" s="61"/>
      <c r="D79" s="62">
        <f t="shared" si="5"/>
        <v>0</v>
      </c>
      <c r="E79" s="55">
        <f t="shared" si="1"/>
        <v>0</v>
      </c>
      <c r="F79" s="60" t="s">
        <v>905</v>
      </c>
      <c r="G79" s="63">
        <f>ROUND(B79/1000,0)</f>
        <v>12560</v>
      </c>
      <c r="H79" s="63">
        <v>11184</v>
      </c>
      <c r="I79" s="64">
        <f aca="true" t="shared" si="6" ref="I79:I87">IF(ISERROR(H79/G79)," ",(H79/G79))*100</f>
        <v>89.04458598726114</v>
      </c>
      <c r="J79" s="63">
        <f>H79-'[12]Oktobris'!H79</f>
        <v>2668</v>
      </c>
    </row>
    <row r="80" spans="1:10" ht="15" customHeight="1">
      <c r="A80" s="59" t="s">
        <v>906</v>
      </c>
      <c r="B80" s="55">
        <f>SUM(B79)</f>
        <v>12560112</v>
      </c>
      <c r="C80" s="55">
        <f>SUM(C79)</f>
        <v>0</v>
      </c>
      <c r="D80" s="56">
        <f t="shared" si="5"/>
        <v>0</v>
      </c>
      <c r="E80" s="55">
        <f t="shared" si="1"/>
        <v>0</v>
      </c>
      <c r="F80" s="59" t="s">
        <v>906</v>
      </c>
      <c r="G80" s="57">
        <f>SUM(G79)</f>
        <v>12560</v>
      </c>
      <c r="H80" s="57">
        <f>SUM(H79)</f>
        <v>11184</v>
      </c>
      <c r="I80" s="58">
        <f t="shared" si="6"/>
        <v>89.04458598726114</v>
      </c>
      <c r="J80" s="57">
        <f>H80-'[12]Oktobris'!H80</f>
        <v>2668</v>
      </c>
    </row>
    <row r="81" spans="1:10" ht="12.75">
      <c r="A81" s="60" t="s">
        <v>907</v>
      </c>
      <c r="B81" s="61">
        <v>20464813</v>
      </c>
      <c r="C81" s="61"/>
      <c r="D81" s="62">
        <f t="shared" si="5"/>
        <v>0</v>
      </c>
      <c r="E81" s="55">
        <f t="shared" si="1"/>
        <v>0</v>
      </c>
      <c r="F81" s="60" t="s">
        <v>907</v>
      </c>
      <c r="G81" s="63">
        <f>ROUND(B81/1000,0)</f>
        <v>20465</v>
      </c>
      <c r="H81" s="63">
        <v>10303</v>
      </c>
      <c r="I81" s="64">
        <f t="shared" si="6"/>
        <v>50.344490593696555</v>
      </c>
      <c r="J81" s="63">
        <f>H81-'[12]Oktobris'!H81</f>
        <v>23</v>
      </c>
    </row>
    <row r="82" spans="1:10" ht="14.25" customHeight="1">
      <c r="A82" s="59" t="s">
        <v>908</v>
      </c>
      <c r="B82" s="55">
        <f>SUM(B81)</f>
        <v>20464813</v>
      </c>
      <c r="C82" s="55">
        <f>SUM(C81)</f>
        <v>0</v>
      </c>
      <c r="D82" s="56">
        <f t="shared" si="5"/>
        <v>0</v>
      </c>
      <c r="E82" s="55">
        <f t="shared" si="1"/>
        <v>0</v>
      </c>
      <c r="F82" s="59" t="s">
        <v>908</v>
      </c>
      <c r="G82" s="57">
        <f>SUM(G81)</f>
        <v>20465</v>
      </c>
      <c r="H82" s="57">
        <f>SUM(H81)</f>
        <v>10303</v>
      </c>
      <c r="I82" s="58">
        <f t="shared" si="6"/>
        <v>50.344490593696555</v>
      </c>
      <c r="J82" s="57">
        <f>H82-'[12]Oktobris'!H82</f>
        <v>23</v>
      </c>
    </row>
    <row r="83" spans="1:10" ht="27" customHeight="1">
      <c r="A83" s="76" t="s">
        <v>909</v>
      </c>
      <c r="B83" s="55">
        <f>SUM(B27-B73)</f>
        <v>-42711510</v>
      </c>
      <c r="C83" s="55">
        <f>SUM(C27-C73)</f>
        <v>0</v>
      </c>
      <c r="D83" s="56">
        <f t="shared" si="5"/>
        <v>0</v>
      </c>
      <c r="E83" s="55">
        <f t="shared" si="1"/>
        <v>0</v>
      </c>
      <c r="F83" s="76" t="s">
        <v>909</v>
      </c>
      <c r="G83" s="57">
        <f>SUM(G27-G73)</f>
        <v>-42711</v>
      </c>
      <c r="H83" s="57">
        <f>SUM(H27-H73)</f>
        <v>-21519</v>
      </c>
      <c r="I83" s="58">
        <f t="shared" si="6"/>
        <v>50.382805366299074</v>
      </c>
      <c r="J83" s="57">
        <f>H83-'[12]Oktobris'!H83</f>
        <v>-3746</v>
      </c>
    </row>
    <row r="84" spans="1:10" ht="13.5" customHeight="1">
      <c r="A84" s="59" t="s">
        <v>910</v>
      </c>
      <c r="B84" s="55">
        <f>SUM(B85)</f>
        <v>6370052</v>
      </c>
      <c r="C84" s="55"/>
      <c r="D84" s="56">
        <f>IF(ISERROR(C84/B84)," ",(C84/B84))</f>
        <v>0</v>
      </c>
      <c r="E84" s="55">
        <f t="shared" si="1"/>
        <v>0</v>
      </c>
      <c r="F84" s="59" t="s">
        <v>910</v>
      </c>
      <c r="G84" s="57">
        <f>SUM(G85)</f>
        <v>6370</v>
      </c>
      <c r="H84" s="57">
        <f>SUM(H85)</f>
        <v>5396</v>
      </c>
      <c r="I84" s="58">
        <f t="shared" si="6"/>
        <v>84.70957613814757</v>
      </c>
      <c r="J84" s="57">
        <f>H84-'[12]Oktobris'!H84</f>
        <v>719</v>
      </c>
    </row>
    <row r="85" spans="1:10" ht="12.75">
      <c r="A85" s="60" t="s">
        <v>911</v>
      </c>
      <c r="B85" s="61">
        <v>6370052</v>
      </c>
      <c r="C85" s="61"/>
      <c r="D85" s="62">
        <f>IF(ISERROR(C85/B85)," ",(C85/B85))</f>
        <v>0</v>
      </c>
      <c r="E85" s="55">
        <f>C85</f>
        <v>0</v>
      </c>
      <c r="F85" s="60" t="s">
        <v>911</v>
      </c>
      <c r="G85" s="61">
        <f>ROUND(B85/1000,0)</f>
        <v>6370</v>
      </c>
      <c r="H85" s="61">
        <v>5396</v>
      </c>
      <c r="I85" s="81">
        <f t="shared" si="6"/>
        <v>84.70957613814757</v>
      </c>
      <c r="J85" s="61">
        <f>H85-'[12]Oktobris'!H85</f>
        <v>719</v>
      </c>
    </row>
    <row r="86" spans="1:10" ht="12.75">
      <c r="A86" s="60" t="s">
        <v>912</v>
      </c>
      <c r="B86" s="61">
        <f>SUM(B85)</f>
        <v>6370052</v>
      </c>
      <c r="C86" s="61">
        <f>SUM(C85)</f>
        <v>0</v>
      </c>
      <c r="D86" s="62">
        <f>IF(ISERROR(C86/B86)," ",(C86/B86))</f>
        <v>0</v>
      </c>
      <c r="E86" s="55">
        <f>C86</f>
        <v>0</v>
      </c>
      <c r="F86" s="60" t="s">
        <v>912</v>
      </c>
      <c r="G86" s="61">
        <f>SUM(G85)</f>
        <v>6370</v>
      </c>
      <c r="H86" s="61">
        <f>SUM(H85)</f>
        <v>5396</v>
      </c>
      <c r="I86" s="81">
        <f t="shared" si="6"/>
        <v>84.70957613814757</v>
      </c>
      <c r="J86" s="61">
        <f>H86-'[12]Oktobris'!H86</f>
        <v>719</v>
      </c>
    </row>
    <row r="87" spans="1:10" ht="27" customHeight="1">
      <c r="A87" s="76" t="s">
        <v>922</v>
      </c>
      <c r="B87" s="55">
        <f>SUM(B83-B84)</f>
        <v>-49081562</v>
      </c>
      <c r="C87" s="55">
        <f>SUM(C83-C84)</f>
        <v>0</v>
      </c>
      <c r="D87" s="56">
        <f>IF(ISERROR(C87/B87)," ",(C87/B87))</f>
        <v>0</v>
      </c>
      <c r="E87" s="55">
        <f>C87</f>
        <v>0</v>
      </c>
      <c r="F87" s="76" t="s">
        <v>922</v>
      </c>
      <c r="G87" s="57">
        <f>SUM(G83-G84)</f>
        <v>-49081</v>
      </c>
      <c r="H87" s="57">
        <f>SUM(H83-H84)</f>
        <v>-26915</v>
      </c>
      <c r="I87" s="58">
        <f t="shared" si="6"/>
        <v>54.83792098775494</v>
      </c>
      <c r="J87" s="57">
        <f>H87-'[12]Oktobris'!H87</f>
        <v>-4465</v>
      </c>
    </row>
    <row r="88" spans="1:10" ht="12.75">
      <c r="A88" s="77" t="s">
        <v>877</v>
      </c>
      <c r="B88" s="82"/>
      <c r="C88" s="83"/>
      <c r="D88" s="83"/>
      <c r="E88" s="83"/>
      <c r="F88" s="77" t="s">
        <v>877</v>
      </c>
      <c r="G88" s="61"/>
      <c r="H88" s="60"/>
      <c r="I88" s="58"/>
      <c r="J88" s="60"/>
    </row>
    <row r="89" spans="1:10" ht="12.75">
      <c r="A89" s="741" t="s">
        <v>787</v>
      </c>
      <c r="B89" s="82">
        <v>48047657</v>
      </c>
      <c r="C89" s="83"/>
      <c r="D89" s="83"/>
      <c r="E89" s="83"/>
      <c r="F89" s="77" t="s">
        <v>787</v>
      </c>
      <c r="G89" s="78">
        <f>ROUND(B89/1000,0)-1</f>
        <v>48047</v>
      </c>
      <c r="H89" s="78">
        <v>35510</v>
      </c>
      <c r="I89" s="79">
        <f>IF(ISERROR(H89/G89)," ",(H89/G89))*100</f>
        <v>73.9067995920661</v>
      </c>
      <c r="J89" s="78">
        <f>H89-'[12]Oktobris'!H89</f>
        <v>2130</v>
      </c>
    </row>
    <row r="90" spans="1:10" ht="12.75">
      <c r="A90" s="77" t="s">
        <v>786</v>
      </c>
      <c r="B90" s="50">
        <v>1033905</v>
      </c>
      <c r="F90" s="77" t="s">
        <v>786</v>
      </c>
      <c r="G90" s="78">
        <f>ROUND(B90/1000,0)</f>
        <v>1034</v>
      </c>
      <c r="H90" s="78">
        <v>-8595</v>
      </c>
      <c r="I90" s="79"/>
      <c r="J90" s="78">
        <f>H90-'[12]Oktobris'!H90</f>
        <v>2335</v>
      </c>
    </row>
    <row r="91" spans="1:10" ht="12.75">
      <c r="A91" s="85"/>
      <c r="F91" s="85"/>
      <c r="G91" s="50"/>
      <c r="H91" s="49"/>
      <c r="I91" s="49"/>
      <c r="J91" s="49"/>
    </row>
    <row r="94" spans="6:9" ht="12.75">
      <c r="F94" t="s">
        <v>733</v>
      </c>
      <c r="I94" t="s">
        <v>59</v>
      </c>
    </row>
    <row r="96" spans="7:10" ht="12.75">
      <c r="G96" s="50"/>
      <c r="H96" s="49"/>
      <c r="I96" s="49"/>
      <c r="J96" s="49"/>
    </row>
    <row r="97" spans="1:10" ht="12.75">
      <c r="A97" s="1" t="s">
        <v>924</v>
      </c>
      <c r="G97" s="50"/>
      <c r="H97" s="49"/>
      <c r="I97" s="49"/>
      <c r="J97" s="49"/>
    </row>
    <row r="99" spans="6:10" ht="12.75">
      <c r="F99" s="1" t="s">
        <v>923</v>
      </c>
      <c r="G99" s="50"/>
      <c r="H99" s="49"/>
      <c r="I99" s="49"/>
      <c r="J99" s="49"/>
    </row>
    <row r="100" spans="1:10" ht="12.75">
      <c r="A100" s="1" t="s">
        <v>923</v>
      </c>
      <c r="F100" s="1" t="s">
        <v>309</v>
      </c>
      <c r="G100" s="52"/>
      <c r="H100" s="87"/>
      <c r="I100" s="49"/>
      <c r="J100" s="49"/>
    </row>
    <row r="102" spans="1:8" ht="15" customHeight="1">
      <c r="A102"/>
      <c r="B102"/>
      <c r="C102"/>
      <c r="D102"/>
      <c r="E102"/>
      <c r="F102" s="86"/>
      <c r="G102" s="52"/>
      <c r="H102" s="87"/>
    </row>
    <row r="103" spans="1:5" ht="16.5" customHeight="1">
      <c r="A103"/>
      <c r="B103"/>
      <c r="C103"/>
      <c r="D103"/>
      <c r="E103"/>
    </row>
    <row r="104" spans="1:5" ht="12.75">
      <c r="A104"/>
      <c r="B104"/>
      <c r="C104"/>
      <c r="D104"/>
      <c r="E104"/>
    </row>
    <row r="105" spans="1:5" ht="12.75">
      <c r="A105"/>
      <c r="B105"/>
      <c r="C105"/>
      <c r="D105"/>
      <c r="E105"/>
    </row>
    <row r="106" spans="1:5" ht="12.75">
      <c r="A106"/>
      <c r="B106"/>
      <c r="C106"/>
      <c r="D106"/>
      <c r="E106"/>
    </row>
    <row r="107" spans="1:5" ht="12.75">
      <c r="A107"/>
      <c r="B107"/>
      <c r="C107"/>
      <c r="D107"/>
      <c r="E107"/>
    </row>
    <row r="108" spans="1:5" ht="12.75">
      <c r="A108"/>
      <c r="B108"/>
      <c r="C108"/>
      <c r="D108"/>
      <c r="E108"/>
    </row>
    <row r="109" spans="1:5" ht="12.75">
      <c r="A109"/>
      <c r="B109"/>
      <c r="C109"/>
      <c r="D109"/>
      <c r="E109"/>
    </row>
    <row r="110" spans="1:5" ht="12.75">
      <c r="A110"/>
      <c r="B110"/>
      <c r="C110"/>
      <c r="D110"/>
      <c r="E110"/>
    </row>
    <row r="111" spans="1:5" ht="12.75">
      <c r="A111"/>
      <c r="B111"/>
      <c r="C111"/>
      <c r="D111"/>
      <c r="E111"/>
    </row>
    <row r="112" spans="1:5" ht="12.75">
      <c r="A112"/>
      <c r="B112"/>
      <c r="C112"/>
      <c r="D112"/>
      <c r="E112"/>
    </row>
    <row r="113" spans="1:5" ht="12.75">
      <c r="A113"/>
      <c r="B113"/>
      <c r="C113"/>
      <c r="D113"/>
      <c r="E113"/>
    </row>
    <row r="114" spans="1:5" ht="12.75">
      <c r="A114"/>
      <c r="B114"/>
      <c r="C114"/>
      <c r="D114"/>
      <c r="E114"/>
    </row>
    <row r="115" spans="1:5" ht="12.75">
      <c r="A115"/>
      <c r="B115"/>
      <c r="C115"/>
      <c r="D115"/>
      <c r="E115"/>
    </row>
    <row r="116" spans="1:5" ht="12.75">
      <c r="A116"/>
      <c r="B116"/>
      <c r="C116"/>
      <c r="D116"/>
      <c r="E116"/>
    </row>
    <row r="117" spans="1:5" ht="12.75">
      <c r="A117"/>
      <c r="B117"/>
      <c r="C117"/>
      <c r="D117"/>
      <c r="E117"/>
    </row>
    <row r="118" spans="1:5" ht="12.75">
      <c r="A118"/>
      <c r="B118"/>
      <c r="C118"/>
      <c r="D118"/>
      <c r="E118"/>
    </row>
    <row r="119" spans="1:5" ht="12.75">
      <c r="A119"/>
      <c r="B119"/>
      <c r="C119"/>
      <c r="D119"/>
      <c r="E119"/>
    </row>
    <row r="120" spans="1:5" ht="12.75">
      <c r="A120"/>
      <c r="B120"/>
      <c r="C120"/>
      <c r="D120"/>
      <c r="E120"/>
    </row>
    <row r="121" spans="1:5" ht="12.75">
      <c r="A121"/>
      <c r="B121"/>
      <c r="C121"/>
      <c r="D121"/>
      <c r="E121"/>
    </row>
    <row r="122" spans="1:5" ht="12.75">
      <c r="A122"/>
      <c r="B122"/>
      <c r="C122"/>
      <c r="D122"/>
      <c r="E122"/>
    </row>
    <row r="123" spans="1:5" ht="12.75">
      <c r="A123"/>
      <c r="B123"/>
      <c r="C123"/>
      <c r="D123"/>
      <c r="E123"/>
    </row>
    <row r="124" spans="1:5" ht="12.75">
      <c r="A124"/>
      <c r="B124"/>
      <c r="C124"/>
      <c r="D124"/>
      <c r="E124"/>
    </row>
    <row r="125" spans="1:5" ht="12.75">
      <c r="A125"/>
      <c r="B125"/>
      <c r="C125"/>
      <c r="D125"/>
      <c r="E125"/>
    </row>
    <row r="126" spans="1:5" ht="12.75">
      <c r="A126"/>
      <c r="B126"/>
      <c r="C126"/>
      <c r="D126"/>
      <c r="E126"/>
    </row>
    <row r="127" spans="1:5" ht="12.75">
      <c r="A127"/>
      <c r="B127"/>
      <c r="C127"/>
      <c r="D127"/>
      <c r="E127"/>
    </row>
    <row r="128" spans="1:5" ht="12.75">
      <c r="A128"/>
      <c r="B128"/>
      <c r="C128"/>
      <c r="D128"/>
      <c r="E128"/>
    </row>
    <row r="129" spans="1:5" ht="12.75">
      <c r="A129"/>
      <c r="B129"/>
      <c r="C129"/>
      <c r="D129"/>
      <c r="E129"/>
    </row>
    <row r="130" spans="1:5" ht="12.75">
      <c r="A130"/>
      <c r="B130"/>
      <c r="C130"/>
      <c r="D130"/>
      <c r="E130"/>
    </row>
    <row r="131" spans="1:5" ht="12.75">
      <c r="A131"/>
      <c r="B131"/>
      <c r="C131"/>
      <c r="D131"/>
      <c r="E131"/>
    </row>
    <row r="132" spans="1:5" ht="12.75">
      <c r="A132"/>
      <c r="B132"/>
      <c r="C132"/>
      <c r="D132"/>
      <c r="E132"/>
    </row>
    <row r="133" spans="1:5" ht="12.75">
      <c r="A133"/>
      <c r="B133"/>
      <c r="C133"/>
      <c r="D133"/>
      <c r="E133"/>
    </row>
    <row r="134" spans="1:5" ht="12.75">
      <c r="A134"/>
      <c r="B134"/>
      <c r="C134"/>
      <c r="D134"/>
      <c r="E134"/>
    </row>
    <row r="135" spans="1:5" ht="12.75">
      <c r="A135"/>
      <c r="B135"/>
      <c r="C135"/>
      <c r="D135"/>
      <c r="E135"/>
    </row>
    <row r="136" spans="1:5" ht="12.75">
      <c r="A136"/>
      <c r="B136"/>
      <c r="C136"/>
      <c r="D136"/>
      <c r="E136"/>
    </row>
    <row r="137" spans="1:5" ht="12.75">
      <c r="A137"/>
      <c r="B137"/>
      <c r="C137"/>
      <c r="D137"/>
      <c r="E137"/>
    </row>
    <row r="138" spans="1:5" ht="12.75">
      <c r="A138"/>
      <c r="B138"/>
      <c r="C138"/>
      <c r="D138"/>
      <c r="E138"/>
    </row>
    <row r="139" spans="1:5" ht="12.75">
      <c r="A139"/>
      <c r="B139"/>
      <c r="C139"/>
      <c r="D139"/>
      <c r="E139"/>
    </row>
    <row r="140" spans="1:5" ht="12.75">
      <c r="A140"/>
      <c r="B140"/>
      <c r="C140"/>
      <c r="D140"/>
      <c r="E140"/>
    </row>
    <row r="141" spans="1:5" ht="12.75">
      <c r="A141"/>
      <c r="B141"/>
      <c r="C141"/>
      <c r="D141"/>
      <c r="E141"/>
    </row>
    <row r="142" spans="1:5" ht="12.75">
      <c r="A142"/>
      <c r="B142"/>
      <c r="C142"/>
      <c r="D142"/>
      <c r="E142"/>
    </row>
    <row r="143" spans="1:5" ht="12.75">
      <c r="A143"/>
      <c r="B143"/>
      <c r="C143"/>
      <c r="D143"/>
      <c r="E143"/>
    </row>
    <row r="144" spans="1:5" ht="12.75">
      <c r="A144"/>
      <c r="B144"/>
      <c r="C144"/>
      <c r="D144"/>
      <c r="E144"/>
    </row>
    <row r="145" spans="1:5" ht="12.75">
      <c r="A145"/>
      <c r="B145"/>
      <c r="C145"/>
      <c r="D145"/>
      <c r="E145"/>
    </row>
    <row r="146" spans="1:5" ht="12.75">
      <c r="A146"/>
      <c r="B146"/>
      <c r="C146"/>
      <c r="D146"/>
      <c r="E146"/>
    </row>
    <row r="147" spans="1:5" ht="12.75">
      <c r="A147"/>
      <c r="B147"/>
      <c r="C147"/>
      <c r="D147"/>
      <c r="E147"/>
    </row>
    <row r="148" spans="1:5" ht="12.75">
      <c r="A148"/>
      <c r="B148"/>
      <c r="C148"/>
      <c r="D148"/>
      <c r="E148"/>
    </row>
    <row r="149" spans="1:5" ht="12.75">
      <c r="A149"/>
      <c r="B149"/>
      <c r="C149"/>
      <c r="D149"/>
      <c r="E149"/>
    </row>
    <row r="150" spans="1:5" ht="12.75">
      <c r="A150"/>
      <c r="B150"/>
      <c r="C150"/>
      <c r="D150"/>
      <c r="E150"/>
    </row>
    <row r="151" spans="1:5" ht="12.75">
      <c r="A151"/>
      <c r="B151"/>
      <c r="C151"/>
      <c r="D151"/>
      <c r="E151"/>
    </row>
    <row r="152" spans="1:5" ht="12.75">
      <c r="A152"/>
      <c r="B152"/>
      <c r="C152"/>
      <c r="D152"/>
      <c r="E152"/>
    </row>
    <row r="153" spans="1:5" ht="12.75">
      <c r="A153"/>
      <c r="B153"/>
      <c r="C153"/>
      <c r="D153"/>
      <c r="E153"/>
    </row>
    <row r="154" spans="1:5" ht="12.75">
      <c r="A154"/>
      <c r="B154"/>
      <c r="C154"/>
      <c r="D154"/>
      <c r="E154"/>
    </row>
    <row r="155" spans="1:5" ht="12.75">
      <c r="A155"/>
      <c r="B155"/>
      <c r="C155"/>
      <c r="D155"/>
      <c r="E155"/>
    </row>
    <row r="156" spans="1:5" ht="12.75">
      <c r="A156"/>
      <c r="B156"/>
      <c r="C156"/>
      <c r="D156"/>
      <c r="E156"/>
    </row>
    <row r="157" spans="1:5" ht="12.75">
      <c r="A157"/>
      <c r="B157"/>
      <c r="C157"/>
      <c r="D157"/>
      <c r="E157"/>
    </row>
    <row r="158" spans="1:5" ht="12.75">
      <c r="A158"/>
      <c r="B158"/>
      <c r="C158"/>
      <c r="D158"/>
      <c r="E158"/>
    </row>
    <row r="159" spans="1:5" ht="12.75">
      <c r="A159"/>
      <c r="B159"/>
      <c r="C159"/>
      <c r="D159"/>
      <c r="E159"/>
    </row>
    <row r="160" spans="1:5" ht="12.75">
      <c r="A160"/>
      <c r="B160"/>
      <c r="C160"/>
      <c r="D160"/>
      <c r="E160"/>
    </row>
    <row r="161" spans="1:5" ht="12.75">
      <c r="A161"/>
      <c r="B161"/>
      <c r="C161"/>
      <c r="D161"/>
      <c r="E161"/>
    </row>
    <row r="162" spans="1:5" ht="12.75">
      <c r="A162"/>
      <c r="B162"/>
      <c r="C162"/>
      <c r="D162"/>
      <c r="E162"/>
    </row>
    <row r="163" spans="1:5" ht="12.75">
      <c r="A163"/>
      <c r="B163"/>
      <c r="C163"/>
      <c r="D163"/>
      <c r="E163"/>
    </row>
    <row r="164" spans="1:5" ht="12.75">
      <c r="A164"/>
      <c r="B164"/>
      <c r="C164"/>
      <c r="D164"/>
      <c r="E164"/>
    </row>
    <row r="165" spans="1:5" ht="12.75">
      <c r="A165"/>
      <c r="B165"/>
      <c r="C165"/>
      <c r="D165"/>
      <c r="E165"/>
    </row>
    <row r="166" spans="1:5" ht="12.75">
      <c r="A166"/>
      <c r="B166"/>
      <c r="C166"/>
      <c r="D166"/>
      <c r="E166"/>
    </row>
    <row r="167" spans="1:5" ht="12.75">
      <c r="A167"/>
      <c r="B167"/>
      <c r="C167"/>
      <c r="D167"/>
      <c r="E167"/>
    </row>
    <row r="168" spans="1:5" ht="12.75">
      <c r="A168"/>
      <c r="B168"/>
      <c r="C168"/>
      <c r="D168"/>
      <c r="E168"/>
    </row>
    <row r="169" spans="1:5" ht="12.75">
      <c r="A169"/>
      <c r="B169"/>
      <c r="C169"/>
      <c r="D169"/>
      <c r="E169"/>
    </row>
    <row r="170" spans="1:5" ht="12.75">
      <c r="A170"/>
      <c r="B170"/>
      <c r="C170"/>
      <c r="D170"/>
      <c r="E170"/>
    </row>
    <row r="171" spans="1:5" ht="12.75">
      <c r="A171"/>
      <c r="B171"/>
      <c r="C171"/>
      <c r="D171"/>
      <c r="E171"/>
    </row>
    <row r="172" spans="1:5" ht="12.75">
      <c r="A172"/>
      <c r="B172"/>
      <c r="C172"/>
      <c r="D172"/>
      <c r="E172"/>
    </row>
    <row r="173" spans="1:5" ht="12.75">
      <c r="A173"/>
      <c r="B173"/>
      <c r="C173"/>
      <c r="D173"/>
      <c r="E173"/>
    </row>
    <row r="174" spans="1:5" ht="12.75">
      <c r="A174"/>
      <c r="B174"/>
      <c r="C174"/>
      <c r="D174"/>
      <c r="E174"/>
    </row>
    <row r="175" spans="1:5" ht="12.75">
      <c r="A175"/>
      <c r="B175"/>
      <c r="C175"/>
      <c r="D175"/>
      <c r="E175"/>
    </row>
    <row r="176" spans="1:5" ht="12.75">
      <c r="A176"/>
      <c r="B176"/>
      <c r="C176"/>
      <c r="D176"/>
      <c r="E176"/>
    </row>
    <row r="177" spans="1:5" ht="12.75">
      <c r="A177"/>
      <c r="B177"/>
      <c r="C177"/>
      <c r="D177"/>
      <c r="E177"/>
    </row>
    <row r="178" spans="1:5" ht="12.75">
      <c r="A178"/>
      <c r="B178"/>
      <c r="C178"/>
      <c r="D178"/>
      <c r="E178"/>
    </row>
    <row r="179" spans="1:5" ht="12.75">
      <c r="A179"/>
      <c r="B179"/>
      <c r="C179"/>
      <c r="D179"/>
      <c r="E179"/>
    </row>
    <row r="180" spans="1:5" ht="12.75">
      <c r="A180"/>
      <c r="B180"/>
      <c r="C180"/>
      <c r="D180"/>
      <c r="E180"/>
    </row>
    <row r="181" spans="1:5" ht="12.75">
      <c r="A181"/>
      <c r="B181"/>
      <c r="C181"/>
      <c r="D181"/>
      <c r="E181"/>
    </row>
    <row r="182" spans="1:5" ht="12.75">
      <c r="A182"/>
      <c r="B182"/>
      <c r="C182"/>
      <c r="D182"/>
      <c r="E182"/>
    </row>
    <row r="183" spans="1:5" ht="12.75">
      <c r="A183"/>
      <c r="B183"/>
      <c r="C183"/>
      <c r="D183"/>
      <c r="E183"/>
    </row>
    <row r="184" spans="1:5" ht="12.75">
      <c r="A184"/>
      <c r="B184"/>
      <c r="C184"/>
      <c r="D184"/>
      <c r="E184"/>
    </row>
    <row r="185" spans="1:5" ht="12.75">
      <c r="A185"/>
      <c r="B185"/>
      <c r="C185"/>
      <c r="D185"/>
      <c r="E185"/>
    </row>
    <row r="186" spans="1:5" ht="12.75">
      <c r="A186"/>
      <c r="B186"/>
      <c r="C186"/>
      <c r="D186"/>
      <c r="E186"/>
    </row>
    <row r="187" spans="1:5" ht="12.75">
      <c r="A187"/>
      <c r="B187"/>
      <c r="C187"/>
      <c r="D187"/>
      <c r="E187"/>
    </row>
    <row r="188" spans="1:5" ht="12.75">
      <c r="A188"/>
      <c r="B188"/>
      <c r="C188"/>
      <c r="D188"/>
      <c r="E188"/>
    </row>
    <row r="189" spans="1:5" ht="12.75">
      <c r="A189"/>
      <c r="B189"/>
      <c r="C189"/>
      <c r="D189"/>
      <c r="E189"/>
    </row>
    <row r="190" spans="1:5" ht="12.75">
      <c r="A190"/>
      <c r="B190"/>
      <c r="C190"/>
      <c r="D190"/>
      <c r="E190"/>
    </row>
    <row r="191" spans="1:5" ht="12.75">
      <c r="A191"/>
      <c r="B191"/>
      <c r="C191"/>
      <c r="D191"/>
      <c r="E191"/>
    </row>
    <row r="192" spans="1:5" ht="12.75">
      <c r="A192"/>
      <c r="B192"/>
      <c r="C192"/>
      <c r="D192"/>
      <c r="E192"/>
    </row>
    <row r="193" spans="1:5" ht="12.75">
      <c r="A193"/>
      <c r="B193"/>
      <c r="C193"/>
      <c r="D193"/>
      <c r="E193"/>
    </row>
    <row r="194" spans="1:5" ht="12.75">
      <c r="A194"/>
      <c r="B194"/>
      <c r="C194"/>
      <c r="D194"/>
      <c r="E194"/>
    </row>
    <row r="195" spans="1:5" ht="12.75">
      <c r="A195"/>
      <c r="B195"/>
      <c r="C195"/>
      <c r="D195"/>
      <c r="E195"/>
    </row>
    <row r="196" spans="1:5" ht="12.75">
      <c r="A196"/>
      <c r="B196"/>
      <c r="C196"/>
      <c r="D196"/>
      <c r="E196"/>
    </row>
    <row r="197" spans="1:5" ht="12.75">
      <c r="A197"/>
      <c r="B197"/>
      <c r="C197"/>
      <c r="D197"/>
      <c r="E197"/>
    </row>
    <row r="198" spans="1:5" ht="12.75">
      <c r="A198"/>
      <c r="B198"/>
      <c r="C198"/>
      <c r="D198"/>
      <c r="E198"/>
    </row>
    <row r="199" spans="1:5" ht="12.75">
      <c r="A199"/>
      <c r="B199"/>
      <c r="C199"/>
      <c r="D199"/>
      <c r="E199"/>
    </row>
    <row r="200" spans="1:5" ht="12.75">
      <c r="A200"/>
      <c r="B200"/>
      <c r="C200"/>
      <c r="D200"/>
      <c r="E200"/>
    </row>
    <row r="201" spans="1:5" ht="12.75">
      <c r="A201"/>
      <c r="B201"/>
      <c r="C201"/>
      <c r="D201"/>
      <c r="E201"/>
    </row>
    <row r="202" spans="1:5" ht="12.75">
      <c r="A202"/>
      <c r="B202"/>
      <c r="C202"/>
      <c r="D202"/>
      <c r="E202"/>
    </row>
    <row r="203" spans="1:5" ht="12.75">
      <c r="A203"/>
      <c r="B203"/>
      <c r="C203"/>
      <c r="D203"/>
      <c r="E203"/>
    </row>
    <row r="204" spans="1:5" ht="12.75">
      <c r="A204"/>
      <c r="B204"/>
      <c r="C204"/>
      <c r="D204"/>
      <c r="E204"/>
    </row>
    <row r="205" spans="1:5" ht="12.75">
      <c r="A205"/>
      <c r="B205"/>
      <c r="C205"/>
      <c r="D205"/>
      <c r="E205"/>
    </row>
    <row r="206" spans="1:5" ht="12.75">
      <c r="A206"/>
      <c r="B206"/>
      <c r="C206"/>
      <c r="D206"/>
      <c r="E206"/>
    </row>
    <row r="207" spans="1:5" ht="12.75">
      <c r="A207"/>
      <c r="B207"/>
      <c r="C207"/>
      <c r="D207"/>
      <c r="E207"/>
    </row>
    <row r="208" spans="1:5" ht="12.75">
      <c r="A208"/>
      <c r="B208"/>
      <c r="C208"/>
      <c r="D208"/>
      <c r="E208"/>
    </row>
    <row r="209" spans="1:5" ht="12.75">
      <c r="A209"/>
      <c r="B209"/>
      <c r="C209"/>
      <c r="D209"/>
      <c r="E209"/>
    </row>
    <row r="210" spans="1:5" ht="12.75">
      <c r="A210"/>
      <c r="B210"/>
      <c r="C210"/>
      <c r="D210"/>
      <c r="E210"/>
    </row>
    <row r="211" spans="1:5" ht="12.75">
      <c r="A211"/>
      <c r="B211"/>
      <c r="C211"/>
      <c r="D211"/>
      <c r="E211"/>
    </row>
    <row r="212" spans="1:5" ht="12.75">
      <c r="A212"/>
      <c r="B212"/>
      <c r="C212"/>
      <c r="D212"/>
      <c r="E212"/>
    </row>
    <row r="213" spans="1:5" ht="12.75">
      <c r="A213"/>
      <c r="B213"/>
      <c r="C213"/>
      <c r="D213"/>
      <c r="E213"/>
    </row>
    <row r="214" spans="1:5" ht="12.75">
      <c r="A214"/>
      <c r="B214"/>
      <c r="C214"/>
      <c r="D214"/>
      <c r="E214"/>
    </row>
    <row r="215" spans="1:5" ht="12.75">
      <c r="A215"/>
      <c r="B215"/>
      <c r="C215"/>
      <c r="D215"/>
      <c r="E215"/>
    </row>
    <row r="216" spans="1:5" ht="12.75">
      <c r="A216"/>
      <c r="B216"/>
      <c r="C216"/>
      <c r="D216"/>
      <c r="E216"/>
    </row>
    <row r="217" spans="1:5" ht="12.75">
      <c r="A217"/>
      <c r="B217"/>
      <c r="C217"/>
      <c r="D217"/>
      <c r="E217"/>
    </row>
    <row r="218" spans="1:5" ht="12.75">
      <c r="A218"/>
      <c r="B218"/>
      <c r="C218"/>
      <c r="D218"/>
      <c r="E218"/>
    </row>
    <row r="219" spans="1:5" ht="12.75">
      <c r="A219"/>
      <c r="B219"/>
      <c r="C219"/>
      <c r="D219"/>
      <c r="E219"/>
    </row>
    <row r="220" spans="1:5" ht="12.75">
      <c r="A220"/>
      <c r="B220"/>
      <c r="C220"/>
      <c r="D220"/>
      <c r="E220"/>
    </row>
    <row r="221" spans="1:5" ht="12.75">
      <c r="A221"/>
      <c r="B221"/>
      <c r="C221"/>
      <c r="D221"/>
      <c r="E221"/>
    </row>
    <row r="222" spans="1:5" ht="12.75">
      <c r="A222"/>
      <c r="B222"/>
      <c r="C222"/>
      <c r="D222"/>
      <c r="E222"/>
    </row>
    <row r="223" spans="1:5" ht="12.75">
      <c r="A223"/>
      <c r="B223"/>
      <c r="C223"/>
      <c r="D223"/>
      <c r="E223"/>
    </row>
    <row r="224" spans="1:5" ht="12.75">
      <c r="A224"/>
      <c r="B224"/>
      <c r="C224"/>
      <c r="D224"/>
      <c r="E224"/>
    </row>
    <row r="225" spans="1:5" ht="12.75">
      <c r="A225"/>
      <c r="B225"/>
      <c r="C225"/>
      <c r="D225"/>
      <c r="E225"/>
    </row>
    <row r="226" spans="1:5" ht="12.75">
      <c r="A226"/>
      <c r="B226"/>
      <c r="C226"/>
      <c r="D226"/>
      <c r="E226"/>
    </row>
    <row r="227" spans="1:5" ht="12.75">
      <c r="A227"/>
      <c r="B227"/>
      <c r="C227"/>
      <c r="D227"/>
      <c r="E227"/>
    </row>
    <row r="228" spans="1:5" ht="12.75">
      <c r="A228"/>
      <c r="B228"/>
      <c r="C228"/>
      <c r="D228"/>
      <c r="E228"/>
    </row>
    <row r="229" spans="1:5" ht="12.75">
      <c r="A229"/>
      <c r="B229"/>
      <c r="C229"/>
      <c r="D229"/>
      <c r="E229"/>
    </row>
    <row r="230" spans="1:5" ht="12.75">
      <c r="A230"/>
      <c r="B230"/>
      <c r="C230"/>
      <c r="D230"/>
      <c r="E230"/>
    </row>
    <row r="231" spans="1:5" ht="12.75">
      <c r="A231"/>
      <c r="B231"/>
      <c r="C231"/>
      <c r="D231"/>
      <c r="E231"/>
    </row>
    <row r="232" spans="1:5" ht="12.75">
      <c r="A232"/>
      <c r="B232"/>
      <c r="C232"/>
      <c r="D232"/>
      <c r="E232"/>
    </row>
    <row r="233" spans="1:5" ht="12.75">
      <c r="A233"/>
      <c r="B233"/>
      <c r="C233"/>
      <c r="D233"/>
      <c r="E233"/>
    </row>
    <row r="234" spans="1:5" ht="12.75">
      <c r="A234"/>
      <c r="B234"/>
      <c r="C234"/>
      <c r="D234"/>
      <c r="E234"/>
    </row>
    <row r="235" spans="1:5" ht="12.75">
      <c r="A235"/>
      <c r="B235"/>
      <c r="C235"/>
      <c r="D235"/>
      <c r="E235"/>
    </row>
    <row r="236" spans="1:5" ht="12.75">
      <c r="A236"/>
      <c r="B236"/>
      <c r="C236"/>
      <c r="D236"/>
      <c r="E236"/>
    </row>
    <row r="237" spans="1:5" ht="12.75">
      <c r="A237"/>
      <c r="B237"/>
      <c r="C237"/>
      <c r="D237"/>
      <c r="E237"/>
    </row>
    <row r="238" spans="1:5" ht="12.75">
      <c r="A238"/>
      <c r="B238"/>
      <c r="C238"/>
      <c r="D238"/>
      <c r="E238"/>
    </row>
    <row r="239" spans="1:5" ht="12.75">
      <c r="A239"/>
      <c r="B239"/>
      <c r="C239"/>
      <c r="D239"/>
      <c r="E239"/>
    </row>
    <row r="240" spans="1:5" ht="12.75">
      <c r="A240"/>
      <c r="B240"/>
      <c r="C240"/>
      <c r="D240"/>
      <c r="E240"/>
    </row>
    <row r="241" spans="1:5" ht="12.75">
      <c r="A241"/>
      <c r="B241"/>
      <c r="C241"/>
      <c r="D241"/>
      <c r="E241"/>
    </row>
    <row r="242" spans="1:5" ht="12.75">
      <c r="A242"/>
      <c r="B242"/>
      <c r="C242"/>
      <c r="D242"/>
      <c r="E242"/>
    </row>
    <row r="243" spans="1:5" ht="12.75">
      <c r="A243"/>
      <c r="B243"/>
      <c r="C243"/>
      <c r="D243"/>
      <c r="E243"/>
    </row>
    <row r="244" spans="1:5" ht="12.75">
      <c r="A244"/>
      <c r="B244"/>
      <c r="C244"/>
      <c r="D244"/>
      <c r="E244"/>
    </row>
    <row r="245" spans="1:5" ht="12.75">
      <c r="A245"/>
      <c r="B245"/>
      <c r="C245"/>
      <c r="D245"/>
      <c r="E245"/>
    </row>
    <row r="246" spans="1:5" ht="12.75">
      <c r="A246"/>
      <c r="B246"/>
      <c r="C246"/>
      <c r="D246"/>
      <c r="E246"/>
    </row>
    <row r="247" spans="1:5" ht="12.75">
      <c r="A247"/>
      <c r="B247"/>
      <c r="C247"/>
      <c r="D247"/>
      <c r="E247"/>
    </row>
    <row r="248" spans="1:5" ht="12.75">
      <c r="A248"/>
      <c r="B248"/>
      <c r="C248"/>
      <c r="D248"/>
      <c r="E248"/>
    </row>
    <row r="249" spans="1:5" ht="12.75">
      <c r="A249"/>
      <c r="B249"/>
      <c r="C249"/>
      <c r="D249"/>
      <c r="E249"/>
    </row>
    <row r="250" spans="1:5" ht="12.75">
      <c r="A250"/>
      <c r="B250"/>
      <c r="C250"/>
      <c r="D250"/>
      <c r="E250"/>
    </row>
    <row r="251" spans="1:5" ht="12.75">
      <c r="A251"/>
      <c r="B251"/>
      <c r="C251"/>
      <c r="D251"/>
      <c r="E251"/>
    </row>
    <row r="252" spans="1:5" ht="12.75">
      <c r="A252"/>
      <c r="B252"/>
      <c r="C252"/>
      <c r="D252"/>
      <c r="E252"/>
    </row>
    <row r="253" spans="1:5" ht="12.75">
      <c r="A253"/>
      <c r="B253"/>
      <c r="C253"/>
      <c r="D253"/>
      <c r="E253"/>
    </row>
    <row r="254" spans="1:5" ht="12.75">
      <c r="A254"/>
      <c r="B254"/>
      <c r="C254"/>
      <c r="D254"/>
      <c r="E254"/>
    </row>
    <row r="255" spans="1:5" ht="12.75">
      <c r="A255"/>
      <c r="B255"/>
      <c r="C255"/>
      <c r="D255"/>
      <c r="E255"/>
    </row>
    <row r="256" spans="1:5" ht="12.75">
      <c r="A256"/>
      <c r="B256"/>
      <c r="C256"/>
      <c r="D256"/>
      <c r="E256"/>
    </row>
    <row r="257" spans="1:5" ht="12.75">
      <c r="A257"/>
      <c r="B257"/>
      <c r="C257"/>
      <c r="D257"/>
      <c r="E257"/>
    </row>
    <row r="258" spans="1:5" ht="12.75">
      <c r="A258"/>
      <c r="B258"/>
      <c r="C258"/>
      <c r="D258"/>
      <c r="E258"/>
    </row>
    <row r="259" spans="1:5" ht="12.75">
      <c r="A259"/>
      <c r="B259"/>
      <c r="C259"/>
      <c r="D259"/>
      <c r="E259"/>
    </row>
    <row r="260" spans="1:5" ht="12.75">
      <c r="A260"/>
      <c r="B260"/>
      <c r="C260"/>
      <c r="D260"/>
      <c r="E260"/>
    </row>
    <row r="261" spans="1:5" ht="12.75">
      <c r="A261"/>
      <c r="B261"/>
      <c r="C261"/>
      <c r="D261"/>
      <c r="E261"/>
    </row>
    <row r="262" spans="1:5" ht="12.75">
      <c r="A262"/>
      <c r="B262"/>
      <c r="C262"/>
      <c r="D262"/>
      <c r="E262"/>
    </row>
    <row r="263" spans="1:5" ht="12.75">
      <c r="A263"/>
      <c r="B263"/>
      <c r="C263"/>
      <c r="D263"/>
      <c r="E263"/>
    </row>
    <row r="264" spans="1:5" ht="12.75">
      <c r="A264"/>
      <c r="B264"/>
      <c r="C264"/>
      <c r="D264"/>
      <c r="E264"/>
    </row>
    <row r="265" spans="1:5" ht="12.75">
      <c r="A265"/>
      <c r="B265"/>
      <c r="C265"/>
      <c r="D265"/>
      <c r="E265"/>
    </row>
    <row r="266" spans="1:5" ht="12.75">
      <c r="A266"/>
      <c r="B266"/>
      <c r="C266"/>
      <c r="D266"/>
      <c r="E266"/>
    </row>
    <row r="267" spans="1:5" ht="12.75">
      <c r="A267"/>
      <c r="B267"/>
      <c r="C267"/>
      <c r="D267"/>
      <c r="E267"/>
    </row>
    <row r="268" spans="1:5" ht="12.75">
      <c r="A268"/>
      <c r="B268"/>
      <c r="C268"/>
      <c r="D268"/>
      <c r="E268"/>
    </row>
    <row r="269" spans="1:5" ht="12.75">
      <c r="A269"/>
      <c r="B269"/>
      <c r="C269"/>
      <c r="D269"/>
      <c r="E269"/>
    </row>
    <row r="270" spans="1:5" ht="12.75">
      <c r="A270"/>
      <c r="B270"/>
      <c r="C270"/>
      <c r="D270"/>
      <c r="E270"/>
    </row>
    <row r="271" spans="1:5" ht="12.75">
      <c r="A271"/>
      <c r="B271"/>
      <c r="C271"/>
      <c r="D271"/>
      <c r="E271"/>
    </row>
    <row r="272" spans="1:5" ht="12.75">
      <c r="A272"/>
      <c r="B272"/>
      <c r="C272"/>
      <c r="D272"/>
      <c r="E272"/>
    </row>
    <row r="273" spans="1:5" ht="12.75">
      <c r="A273"/>
      <c r="B273"/>
      <c r="C273"/>
      <c r="D273"/>
      <c r="E273"/>
    </row>
    <row r="274" spans="1:5" ht="12.75">
      <c r="A274"/>
      <c r="B274"/>
      <c r="C274"/>
      <c r="D274"/>
      <c r="E274"/>
    </row>
    <row r="275" spans="1:5" ht="12.75">
      <c r="A275"/>
      <c r="B275"/>
      <c r="C275"/>
      <c r="D275"/>
      <c r="E275"/>
    </row>
    <row r="276" spans="1:5" ht="12.75">
      <c r="A276"/>
      <c r="B276"/>
      <c r="C276"/>
      <c r="D276"/>
      <c r="E276"/>
    </row>
    <row r="277" spans="1:5" ht="12.75">
      <c r="A277"/>
      <c r="B277"/>
      <c r="C277"/>
      <c r="D277"/>
      <c r="E277"/>
    </row>
    <row r="278" spans="1:5" ht="12.75">
      <c r="A278"/>
      <c r="B278"/>
      <c r="C278"/>
      <c r="D278"/>
      <c r="E278"/>
    </row>
    <row r="279" spans="1:5" ht="12.75">
      <c r="A279"/>
      <c r="B279"/>
      <c r="C279"/>
      <c r="D279"/>
      <c r="E279"/>
    </row>
    <row r="280" spans="1:5" ht="12.75">
      <c r="A280"/>
      <c r="B280"/>
      <c r="C280"/>
      <c r="D280"/>
      <c r="E280"/>
    </row>
    <row r="281" spans="1:5" ht="12.75">
      <c r="A281"/>
      <c r="B281"/>
      <c r="C281"/>
      <c r="D281"/>
      <c r="E281"/>
    </row>
    <row r="282" spans="1:5" ht="12.75">
      <c r="A282"/>
      <c r="B282"/>
      <c r="C282"/>
      <c r="D282"/>
      <c r="E282"/>
    </row>
    <row r="283" spans="1:5" ht="12.75">
      <c r="A283"/>
      <c r="B283"/>
      <c r="C283"/>
      <c r="D283"/>
      <c r="E283"/>
    </row>
    <row r="284" spans="1:5" ht="12.75">
      <c r="A284"/>
      <c r="B284"/>
      <c r="C284"/>
      <c r="D284"/>
      <c r="E284"/>
    </row>
    <row r="285" spans="1:5" ht="12.75">
      <c r="A285"/>
      <c r="B285"/>
      <c r="C285"/>
      <c r="D285"/>
      <c r="E285"/>
    </row>
    <row r="286" spans="1:5" ht="12.75">
      <c r="A286"/>
      <c r="B286"/>
      <c r="C286"/>
      <c r="D286"/>
      <c r="E286"/>
    </row>
    <row r="287" spans="1:5" ht="12.75">
      <c r="A287"/>
      <c r="B287"/>
      <c r="C287"/>
      <c r="D287"/>
      <c r="E287"/>
    </row>
    <row r="288" spans="1:5" ht="12.75">
      <c r="A288"/>
      <c r="B288"/>
      <c r="C288"/>
      <c r="D288"/>
      <c r="E288"/>
    </row>
    <row r="289" spans="1:5" ht="12.75">
      <c r="A289"/>
      <c r="B289"/>
      <c r="C289"/>
      <c r="D289"/>
      <c r="E289"/>
    </row>
    <row r="290" spans="1:5" ht="12.75">
      <c r="A290"/>
      <c r="B290"/>
      <c r="C290"/>
      <c r="D290"/>
      <c r="E290"/>
    </row>
    <row r="291" spans="1:5" ht="12.75">
      <c r="A291"/>
      <c r="B291"/>
      <c r="C291"/>
      <c r="D291"/>
      <c r="E291"/>
    </row>
    <row r="292" spans="1:5" ht="12.75">
      <c r="A292"/>
      <c r="B292"/>
      <c r="C292"/>
      <c r="D292"/>
      <c r="E292"/>
    </row>
    <row r="293" spans="1:5" ht="12.75">
      <c r="A293"/>
      <c r="B293"/>
      <c r="C293"/>
      <c r="D293"/>
      <c r="E293"/>
    </row>
    <row r="294" spans="1:5" ht="12.75">
      <c r="A294"/>
      <c r="B294"/>
      <c r="C294"/>
      <c r="D294"/>
      <c r="E294"/>
    </row>
    <row r="295" spans="1:5" ht="12.75">
      <c r="A295"/>
      <c r="B295"/>
      <c r="C295"/>
      <c r="D295"/>
      <c r="E295"/>
    </row>
    <row r="296" spans="1:5" ht="12.75">
      <c r="A296"/>
      <c r="B296"/>
      <c r="C296"/>
      <c r="D296"/>
      <c r="E296"/>
    </row>
    <row r="297" spans="1:5" ht="12.75">
      <c r="A297"/>
      <c r="B297"/>
      <c r="C297"/>
      <c r="D297"/>
      <c r="E297"/>
    </row>
    <row r="298" spans="1:5" ht="12.75">
      <c r="A298"/>
      <c r="B298"/>
      <c r="C298"/>
      <c r="D298"/>
      <c r="E298"/>
    </row>
    <row r="299" spans="1:5" ht="12.75">
      <c r="A299"/>
      <c r="B299"/>
      <c r="C299"/>
      <c r="D299"/>
      <c r="E299"/>
    </row>
    <row r="300" spans="1:5" ht="12.75">
      <c r="A300"/>
      <c r="B300"/>
      <c r="C300"/>
      <c r="D300"/>
      <c r="E300"/>
    </row>
    <row r="301" spans="1:5" ht="12.75">
      <c r="A301"/>
      <c r="B301"/>
      <c r="C301"/>
      <c r="D301"/>
      <c r="E301"/>
    </row>
    <row r="302" spans="1:5" ht="12.75">
      <c r="A302"/>
      <c r="B302"/>
      <c r="C302"/>
      <c r="D302"/>
      <c r="E302"/>
    </row>
    <row r="303" spans="1:5" ht="12.75">
      <c r="A303"/>
      <c r="B303"/>
      <c r="C303"/>
      <c r="D303"/>
      <c r="E303"/>
    </row>
    <row r="304" spans="1:5" ht="12.75">
      <c r="A304"/>
      <c r="B304"/>
      <c r="C304"/>
      <c r="D304"/>
      <c r="E304"/>
    </row>
    <row r="305" spans="1:5" ht="12.75">
      <c r="A305"/>
      <c r="B305"/>
      <c r="C305"/>
      <c r="D305"/>
      <c r="E305"/>
    </row>
    <row r="306" spans="1:5" ht="12.75">
      <c r="A306"/>
      <c r="B306"/>
      <c r="C306"/>
      <c r="D306"/>
      <c r="E306"/>
    </row>
    <row r="307" spans="1:5" ht="12.75">
      <c r="A307"/>
      <c r="B307"/>
      <c r="C307"/>
      <c r="D307"/>
      <c r="E307"/>
    </row>
    <row r="308" spans="1:5" ht="12.75">
      <c r="A308"/>
      <c r="B308"/>
      <c r="C308"/>
      <c r="D308"/>
      <c r="E308"/>
    </row>
    <row r="309" spans="1:5" ht="12.75">
      <c r="A309"/>
      <c r="B309"/>
      <c r="C309"/>
      <c r="D309"/>
      <c r="E309"/>
    </row>
    <row r="310" spans="1:5" ht="12.75">
      <c r="A310"/>
      <c r="B310"/>
      <c r="C310"/>
      <c r="D310"/>
      <c r="E310"/>
    </row>
    <row r="311" spans="1:5" ht="12.75">
      <c r="A311"/>
      <c r="B311"/>
      <c r="C311"/>
      <c r="D311"/>
      <c r="E311"/>
    </row>
    <row r="312" spans="1:5" ht="12.75">
      <c r="A312"/>
      <c r="B312"/>
      <c r="C312"/>
      <c r="D312"/>
      <c r="E312"/>
    </row>
    <row r="313" spans="1:5" ht="12.75">
      <c r="A313"/>
      <c r="B313"/>
      <c r="C313"/>
      <c r="D313"/>
      <c r="E313"/>
    </row>
    <row r="314" spans="1:5" ht="12.75">
      <c r="A314"/>
      <c r="B314"/>
      <c r="C314"/>
      <c r="D314"/>
      <c r="E314"/>
    </row>
    <row r="315" spans="1:5" ht="12.75">
      <c r="A315"/>
      <c r="B315"/>
      <c r="C315"/>
      <c r="D315"/>
      <c r="E315"/>
    </row>
    <row r="316" spans="1:5" ht="12.75">
      <c r="A316"/>
      <c r="B316"/>
      <c r="C316"/>
      <c r="D316"/>
      <c r="E316"/>
    </row>
    <row r="317" spans="1:5" ht="12.75">
      <c r="A317"/>
      <c r="B317"/>
      <c r="C317"/>
      <c r="D317"/>
      <c r="E317"/>
    </row>
    <row r="318" spans="1:5" ht="12.75">
      <c r="A318"/>
      <c r="B318"/>
      <c r="C318"/>
      <c r="D318"/>
      <c r="E318"/>
    </row>
    <row r="319" spans="1:5" ht="12.75">
      <c r="A319"/>
      <c r="B319"/>
      <c r="C319"/>
      <c r="D319"/>
      <c r="E319"/>
    </row>
    <row r="320" spans="1:5" ht="12.75">
      <c r="A320"/>
      <c r="B320"/>
      <c r="C320"/>
      <c r="D320"/>
      <c r="E320"/>
    </row>
    <row r="321" spans="1:5" ht="12.75">
      <c r="A321"/>
      <c r="B321"/>
      <c r="C321"/>
      <c r="D321"/>
      <c r="E321"/>
    </row>
    <row r="322" spans="1:5" ht="12.75">
      <c r="A322"/>
      <c r="B322"/>
      <c r="C322"/>
      <c r="D322"/>
      <c r="E322"/>
    </row>
    <row r="323" spans="1:5" ht="12.75">
      <c r="A323"/>
      <c r="B323"/>
      <c r="C323"/>
      <c r="D323"/>
      <c r="E323"/>
    </row>
    <row r="324" spans="1:5" ht="12.75">
      <c r="A324"/>
      <c r="B324"/>
      <c r="C324"/>
      <c r="D324"/>
      <c r="E324"/>
    </row>
    <row r="325" spans="1:5" ht="12.75">
      <c r="A325"/>
      <c r="B325"/>
      <c r="C325"/>
      <c r="D325"/>
      <c r="E325"/>
    </row>
    <row r="326" spans="1:5" ht="12.75">
      <c r="A326"/>
      <c r="B326"/>
      <c r="C326"/>
      <c r="D326"/>
      <c r="E326"/>
    </row>
    <row r="327" spans="1:5" ht="12.75">
      <c r="A327"/>
      <c r="B327"/>
      <c r="C327"/>
      <c r="D327"/>
      <c r="E327"/>
    </row>
    <row r="328" spans="1:5" ht="12.75">
      <c r="A328"/>
      <c r="B328"/>
      <c r="C328"/>
      <c r="D328"/>
      <c r="E328"/>
    </row>
    <row r="329" spans="1:5" ht="12.75">
      <c r="A329"/>
      <c r="B329"/>
      <c r="C329"/>
      <c r="D329"/>
      <c r="E329"/>
    </row>
    <row r="330" spans="1:5" ht="12.75">
      <c r="A330"/>
      <c r="B330"/>
      <c r="C330"/>
      <c r="D330"/>
      <c r="E330"/>
    </row>
    <row r="331" spans="1:5" ht="12.75">
      <c r="A331"/>
      <c r="B331"/>
      <c r="C331"/>
      <c r="D331"/>
      <c r="E331"/>
    </row>
    <row r="332" spans="1:5" ht="12.75">
      <c r="A332"/>
      <c r="B332"/>
      <c r="C332"/>
      <c r="D332"/>
      <c r="E332"/>
    </row>
    <row r="333" spans="1:5" ht="12.75">
      <c r="A333"/>
      <c r="B333"/>
      <c r="C333"/>
      <c r="D333"/>
      <c r="E333"/>
    </row>
    <row r="334" spans="1:5" ht="12.75">
      <c r="A334"/>
      <c r="B334"/>
      <c r="C334"/>
      <c r="D334"/>
      <c r="E334"/>
    </row>
    <row r="335" spans="1:5" ht="12.75">
      <c r="A335"/>
      <c r="B335"/>
      <c r="C335"/>
      <c r="D335"/>
      <c r="E335"/>
    </row>
    <row r="336" spans="1:5" ht="12.75">
      <c r="A336"/>
      <c r="B336"/>
      <c r="C336"/>
      <c r="D336"/>
      <c r="E336"/>
    </row>
    <row r="337" spans="1:5" ht="12.75">
      <c r="A337"/>
      <c r="B337"/>
      <c r="C337"/>
      <c r="D337"/>
      <c r="E337"/>
    </row>
    <row r="338" spans="1:5" ht="12.75">
      <c r="A338"/>
      <c r="B338"/>
      <c r="C338"/>
      <c r="D338"/>
      <c r="E338"/>
    </row>
    <row r="339" spans="1:5" ht="12.75">
      <c r="A339"/>
      <c r="B339"/>
      <c r="C339"/>
      <c r="D339"/>
      <c r="E339"/>
    </row>
    <row r="340" spans="1:5" ht="12.75">
      <c r="A340"/>
      <c r="B340"/>
      <c r="C340"/>
      <c r="D340"/>
      <c r="E340"/>
    </row>
    <row r="341" spans="1:5" ht="12.75">
      <c r="A341"/>
      <c r="B341"/>
      <c r="C341"/>
      <c r="D341"/>
      <c r="E341"/>
    </row>
    <row r="342" spans="1:5" ht="12.75">
      <c r="A342"/>
      <c r="B342"/>
      <c r="C342"/>
      <c r="D342"/>
      <c r="E342"/>
    </row>
    <row r="343" spans="1:5" ht="12.75">
      <c r="A343"/>
      <c r="B343"/>
      <c r="C343"/>
      <c r="D343"/>
      <c r="E343"/>
    </row>
    <row r="344" spans="1:5" ht="12.75">
      <c r="A344"/>
      <c r="B344"/>
      <c r="C344"/>
      <c r="D344"/>
      <c r="E344"/>
    </row>
    <row r="345" spans="1:5" ht="12.75">
      <c r="A345"/>
      <c r="B345"/>
      <c r="C345"/>
      <c r="D345"/>
      <c r="E345"/>
    </row>
    <row r="346" spans="1:5" ht="12.75">
      <c r="A346"/>
      <c r="B346"/>
      <c r="C346"/>
      <c r="D346"/>
      <c r="E346"/>
    </row>
    <row r="347" spans="1:5" ht="12.75">
      <c r="A347"/>
      <c r="B347"/>
      <c r="C347"/>
      <c r="D347"/>
      <c r="E347"/>
    </row>
    <row r="348" spans="1:5" ht="12.75">
      <c r="A348"/>
      <c r="B348"/>
      <c r="C348"/>
      <c r="D348"/>
      <c r="E348"/>
    </row>
    <row r="349" spans="1:5" ht="12.75">
      <c r="A349"/>
      <c r="B349"/>
      <c r="C349"/>
      <c r="D349"/>
      <c r="E349"/>
    </row>
    <row r="350" spans="1:5" ht="12.75">
      <c r="A350"/>
      <c r="B350"/>
      <c r="C350"/>
      <c r="D350"/>
      <c r="E350"/>
    </row>
    <row r="351" spans="1:5" ht="12.75">
      <c r="A351"/>
      <c r="B351"/>
      <c r="C351"/>
      <c r="D351"/>
      <c r="E351"/>
    </row>
    <row r="352" spans="1:5" ht="12.75">
      <c r="A352"/>
      <c r="B352"/>
      <c r="C352"/>
      <c r="D352"/>
      <c r="E352"/>
    </row>
    <row r="353" spans="1:5" ht="12.75">
      <c r="A353"/>
      <c r="B353"/>
      <c r="C353"/>
      <c r="D353"/>
      <c r="E353"/>
    </row>
    <row r="354" spans="1:5" ht="12.75">
      <c r="A354"/>
      <c r="B354"/>
      <c r="C354"/>
      <c r="D354"/>
      <c r="E354"/>
    </row>
    <row r="355" spans="1:5" ht="12.75">
      <c r="A355"/>
      <c r="B355"/>
      <c r="C355"/>
      <c r="D355"/>
      <c r="E355"/>
    </row>
    <row r="356" spans="1:5" ht="12.75">
      <c r="A356"/>
      <c r="B356"/>
      <c r="C356"/>
      <c r="D356"/>
      <c r="E356"/>
    </row>
    <row r="357" spans="1:5" ht="12.75">
      <c r="A357"/>
      <c r="B357"/>
      <c r="C357"/>
      <c r="D357"/>
      <c r="E357"/>
    </row>
    <row r="358" spans="1:5" ht="12.75">
      <c r="A358"/>
      <c r="B358"/>
      <c r="C358"/>
      <c r="D358"/>
      <c r="E358"/>
    </row>
    <row r="359" spans="1:5" ht="12.75">
      <c r="A359"/>
      <c r="B359"/>
      <c r="C359"/>
      <c r="D359"/>
      <c r="E359"/>
    </row>
    <row r="360" spans="1:5" ht="12.75">
      <c r="A360"/>
      <c r="B360"/>
      <c r="C360"/>
      <c r="D360"/>
      <c r="E360"/>
    </row>
    <row r="361" spans="1:5" ht="12.75">
      <c r="A361"/>
      <c r="B361"/>
      <c r="C361"/>
      <c r="D361"/>
      <c r="E361"/>
    </row>
    <row r="362" spans="1:5" ht="12.75">
      <c r="A362"/>
      <c r="B362"/>
      <c r="C362"/>
      <c r="D362"/>
      <c r="E362"/>
    </row>
    <row r="363" spans="1:5" ht="12.75">
      <c r="A363"/>
      <c r="B363"/>
      <c r="C363"/>
      <c r="D363"/>
      <c r="E363"/>
    </row>
    <row r="364" spans="1:5" ht="12.75">
      <c r="A364"/>
      <c r="B364"/>
      <c r="C364"/>
      <c r="D364"/>
      <c r="E364"/>
    </row>
    <row r="365" spans="1:5" ht="12.75">
      <c r="A365"/>
      <c r="B365"/>
      <c r="C365"/>
      <c r="D365"/>
      <c r="E365"/>
    </row>
    <row r="366" spans="1:5" ht="12.75">
      <c r="A366"/>
      <c r="B366"/>
      <c r="C366"/>
      <c r="D366"/>
      <c r="E366"/>
    </row>
    <row r="367" spans="1:5" ht="12.75">
      <c r="A367"/>
      <c r="B367"/>
      <c r="C367"/>
      <c r="D367"/>
      <c r="E367"/>
    </row>
    <row r="368" spans="1:5" ht="12.75">
      <c r="A368"/>
      <c r="B368"/>
      <c r="C368"/>
      <c r="D368"/>
      <c r="E368"/>
    </row>
    <row r="369" spans="1:5" ht="12.75">
      <c r="A369"/>
      <c r="B369"/>
      <c r="C369"/>
      <c r="D369"/>
      <c r="E369"/>
    </row>
    <row r="370" spans="1:5" ht="12.75">
      <c r="A370"/>
      <c r="B370"/>
      <c r="C370"/>
      <c r="D370"/>
      <c r="E370"/>
    </row>
    <row r="371" spans="1:5" ht="12.75">
      <c r="A371"/>
      <c r="B371"/>
      <c r="C371"/>
      <c r="D371"/>
      <c r="E371"/>
    </row>
    <row r="372" spans="1:5" ht="12.75">
      <c r="A372"/>
      <c r="B372"/>
      <c r="C372"/>
      <c r="D372"/>
      <c r="E372"/>
    </row>
    <row r="373" spans="1:5" ht="12.75">
      <c r="A373"/>
      <c r="B373"/>
      <c r="C373"/>
      <c r="D373"/>
      <c r="E373"/>
    </row>
    <row r="374" spans="1:5" ht="12.75">
      <c r="A374"/>
      <c r="B374"/>
      <c r="C374"/>
      <c r="D374"/>
      <c r="E374"/>
    </row>
    <row r="375" spans="1:5" ht="12.75">
      <c r="A375"/>
      <c r="B375"/>
      <c r="C375"/>
      <c r="D375"/>
      <c r="E375"/>
    </row>
    <row r="376" spans="1:5" ht="12.75">
      <c r="A376"/>
      <c r="B376"/>
      <c r="C376"/>
      <c r="D376"/>
      <c r="E376"/>
    </row>
    <row r="377" spans="1:5" ht="12.75">
      <c r="A377"/>
      <c r="B377"/>
      <c r="C377"/>
      <c r="D377"/>
      <c r="E377"/>
    </row>
    <row r="378" spans="1:5" ht="12.75">
      <c r="A378"/>
      <c r="B378"/>
      <c r="C378"/>
      <c r="D378"/>
      <c r="E378"/>
    </row>
    <row r="379" spans="1:5" ht="12.75">
      <c r="A379"/>
      <c r="B379"/>
      <c r="C379"/>
      <c r="D379"/>
      <c r="E379"/>
    </row>
    <row r="380" spans="1:5" ht="12.75">
      <c r="A380"/>
      <c r="B380"/>
      <c r="C380"/>
      <c r="D380"/>
      <c r="E380"/>
    </row>
    <row r="381" spans="1:5" ht="12.75">
      <c r="A381"/>
      <c r="B381"/>
      <c r="C381"/>
      <c r="D381"/>
      <c r="E381"/>
    </row>
    <row r="382" spans="1:5" ht="12.75">
      <c r="A382"/>
      <c r="B382"/>
      <c r="C382"/>
      <c r="D382"/>
      <c r="E382"/>
    </row>
    <row r="383" spans="1:5" ht="12.75">
      <c r="A383"/>
      <c r="B383"/>
      <c r="C383"/>
      <c r="D383"/>
      <c r="E383"/>
    </row>
    <row r="384" spans="1:5" ht="12.75">
      <c r="A384"/>
      <c r="B384"/>
      <c r="C384"/>
      <c r="D384"/>
      <c r="E384"/>
    </row>
    <row r="385" spans="1:5" ht="12.75">
      <c r="A385"/>
      <c r="B385"/>
      <c r="C385"/>
      <c r="D385"/>
      <c r="E385"/>
    </row>
    <row r="386" spans="1:5" ht="12.75">
      <c r="A386"/>
      <c r="B386"/>
      <c r="C386"/>
      <c r="D386"/>
      <c r="E386"/>
    </row>
    <row r="387" spans="1:5" ht="12.75">
      <c r="A387"/>
      <c r="B387"/>
      <c r="C387"/>
      <c r="D387"/>
      <c r="E387"/>
    </row>
    <row r="388" spans="1:5" ht="12.75">
      <c r="A388"/>
      <c r="B388"/>
      <c r="C388"/>
      <c r="D388"/>
      <c r="E388"/>
    </row>
    <row r="389" spans="1:5" ht="12.75">
      <c r="A389"/>
      <c r="B389"/>
      <c r="C389"/>
      <c r="D389"/>
      <c r="E389"/>
    </row>
    <row r="390" spans="1:5" ht="12.75">
      <c r="A390"/>
      <c r="B390"/>
      <c r="C390"/>
      <c r="D390"/>
      <c r="E390"/>
    </row>
    <row r="391" spans="1:5" ht="12.75">
      <c r="A391"/>
      <c r="B391"/>
      <c r="C391"/>
      <c r="D391"/>
      <c r="E391"/>
    </row>
    <row r="392" spans="1:5" ht="12.75">
      <c r="A392"/>
      <c r="B392"/>
      <c r="C392"/>
      <c r="D392"/>
      <c r="E392"/>
    </row>
  </sheetData>
  <mergeCells count="2">
    <mergeCell ref="F4:J4"/>
    <mergeCell ref="F5:J5"/>
  </mergeCells>
  <printOptions horizontalCentered="1"/>
  <pageMargins left="0.7480314960629921" right="0.2755905511811024" top="0.984251968503937" bottom="0.984251968503937" header="0.5118110236220472" footer="0.5118110236220472"/>
  <pageSetup firstPageNumber="5" useFirstPageNumber="1" horizontalDpi="600" verticalDpi="600" orientation="portrait" paperSize="9" scale="90" r:id="rId1"/>
  <headerFooter alignWithMargins="0">
    <oddFooter>&amp;R&amp;9&amp;P</oddFooter>
  </headerFooter>
  <rowBreaks count="1" manualBreakCount="1">
    <brk id="50" max="9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S68"/>
  <sheetViews>
    <sheetView workbookViewId="0" topLeftCell="A1">
      <pane xSplit="1" ySplit="11" topLeftCell="B44" activePane="bottomRight" state="frozen"/>
      <selection pane="topLeft" activeCell="A59" sqref="A59"/>
      <selection pane="topRight" activeCell="A59" sqref="A59"/>
      <selection pane="bottomLeft" activeCell="A59" sqref="A59"/>
      <selection pane="bottomRight" activeCell="B3" sqref="B3"/>
    </sheetView>
  </sheetViews>
  <sheetFormatPr defaultColWidth="9.140625" defaultRowHeight="17.25" customHeight="1"/>
  <cols>
    <col min="1" max="1" width="16.28125" style="693" customWidth="1"/>
    <col min="2" max="2" width="7.8515625" style="695" customWidth="1"/>
    <col min="3" max="3" width="7.7109375" style="695" customWidth="1"/>
    <col min="4" max="4" width="7.28125" style="695" customWidth="1"/>
    <col min="5" max="5" width="8.28125" style="695" customWidth="1"/>
    <col min="6" max="6" width="7.8515625" style="695" customWidth="1"/>
    <col min="7" max="7" width="6.421875" style="695" customWidth="1"/>
    <col min="8" max="9" width="7.7109375" style="695" customWidth="1"/>
    <col min="10" max="10" width="8.28125" style="695" customWidth="1"/>
    <col min="11" max="11" width="7.28125" style="695" customWidth="1"/>
    <col min="12" max="12" width="8.421875" style="695" hidden="1" customWidth="1"/>
    <col min="13" max="13" width="8.28125" style="695" customWidth="1"/>
    <col min="14" max="14" width="7.00390625" style="695" customWidth="1"/>
    <col min="15" max="15" width="9.28125" style="695" customWidth="1"/>
    <col min="16" max="16" width="9.00390625" style="695" customWidth="1"/>
    <col min="17" max="17" width="6.57421875" style="695" customWidth="1"/>
    <col min="18" max="18" width="8.7109375" style="695" customWidth="1"/>
    <col min="19" max="19" width="8.421875" style="695" customWidth="1"/>
    <col min="20" max="16384" width="9.140625" style="695" customWidth="1"/>
  </cols>
  <sheetData>
    <row r="1" spans="2:19" ht="17.25" customHeight="1">
      <c r="B1" s="694"/>
      <c r="C1" s="694"/>
      <c r="D1" s="694"/>
      <c r="E1" s="694"/>
      <c r="F1" s="694"/>
      <c r="I1" s="694"/>
      <c r="J1" s="694"/>
      <c r="K1" s="694"/>
      <c r="L1" s="694"/>
      <c r="M1" s="694"/>
      <c r="N1" s="694"/>
      <c r="O1" s="694"/>
      <c r="P1" s="694"/>
      <c r="Q1" s="696"/>
      <c r="R1" s="696"/>
      <c r="S1" s="696" t="s">
        <v>482</v>
      </c>
    </row>
    <row r="2" spans="7:18" ht="17.25" customHeight="1">
      <c r="G2" s="694" t="s">
        <v>483</v>
      </c>
      <c r="H2" s="694"/>
      <c r="Q2" s="697"/>
      <c r="R2" s="698"/>
    </row>
    <row r="3" spans="1:19" s="694" customFormat="1" ht="17.25" customHeight="1">
      <c r="A3" s="693"/>
      <c r="Q3" s="696"/>
      <c r="R3" s="696"/>
      <c r="S3" s="696"/>
    </row>
    <row r="4" spans="1:19" s="699" customFormat="1" ht="17.25" customHeight="1">
      <c r="A4" s="882" t="s">
        <v>484</v>
      </c>
      <c r="B4" s="882"/>
      <c r="C4" s="882"/>
      <c r="D4" s="882"/>
      <c r="E4" s="882"/>
      <c r="F4" s="882"/>
      <c r="G4" s="882"/>
      <c r="H4" s="882"/>
      <c r="I4" s="882"/>
      <c r="J4" s="882"/>
      <c r="K4" s="882"/>
      <c r="L4" s="882"/>
      <c r="M4" s="882"/>
      <c r="N4" s="882"/>
      <c r="O4" s="882"/>
      <c r="P4" s="882"/>
      <c r="Q4" s="882"/>
      <c r="R4" s="882"/>
      <c r="S4" s="882"/>
    </row>
    <row r="5" spans="1:19" s="700" customFormat="1" ht="17.25" customHeight="1">
      <c r="A5" s="883" t="s">
        <v>341</v>
      </c>
      <c r="B5" s="883"/>
      <c r="C5" s="883"/>
      <c r="D5" s="883"/>
      <c r="E5" s="883"/>
      <c r="F5" s="883"/>
      <c r="G5" s="883"/>
      <c r="H5" s="883"/>
      <c r="I5" s="883"/>
      <c r="J5" s="883"/>
      <c r="K5" s="883"/>
      <c r="L5" s="883"/>
      <c r="M5" s="883"/>
      <c r="N5" s="883"/>
      <c r="O5" s="883"/>
      <c r="P5" s="883"/>
      <c r="Q5" s="883"/>
      <c r="R5" s="883"/>
      <c r="S5" s="883"/>
    </row>
    <row r="6" spans="1:19" s="700" customFormat="1" ht="17.25" customHeight="1">
      <c r="A6" s="701"/>
      <c r="B6" s="702"/>
      <c r="C6" s="702"/>
      <c r="D6" s="702"/>
      <c r="E6" s="702"/>
      <c r="F6" s="703"/>
      <c r="G6" s="702"/>
      <c r="H6" s="702"/>
      <c r="I6" s="702"/>
      <c r="J6" s="702"/>
      <c r="K6" s="702"/>
      <c r="L6" s="702"/>
      <c r="M6" s="702"/>
      <c r="N6" s="702"/>
      <c r="O6" s="702"/>
      <c r="P6" s="702"/>
      <c r="Q6" s="702"/>
      <c r="R6" s="702"/>
      <c r="S6" s="702"/>
    </row>
    <row r="7" spans="1:19" s="706" customFormat="1" ht="17.25" customHeight="1">
      <c r="A7" s="704"/>
      <c r="B7" s="705"/>
      <c r="C7" s="705"/>
      <c r="D7" s="705"/>
      <c r="E7" s="705"/>
      <c r="F7" s="705"/>
      <c r="G7" s="705"/>
      <c r="H7" s="705"/>
      <c r="I7" s="705"/>
      <c r="J7" s="705"/>
      <c r="K7" s="705"/>
      <c r="L7" s="705"/>
      <c r="M7" s="705"/>
      <c r="N7" s="705"/>
      <c r="O7" s="705"/>
      <c r="Q7" s="705"/>
      <c r="S7" s="707" t="s">
        <v>38</v>
      </c>
    </row>
    <row r="8" spans="1:19" s="694" customFormat="1" ht="17.25" customHeight="1">
      <c r="A8" s="880" t="s">
        <v>485</v>
      </c>
      <c r="B8" s="708" t="s">
        <v>73</v>
      </c>
      <c r="C8" s="708"/>
      <c r="D8" s="708"/>
      <c r="E8" s="708"/>
      <c r="F8" s="708" t="s">
        <v>486</v>
      </c>
      <c r="G8" s="708"/>
      <c r="H8" s="708"/>
      <c r="I8" s="708"/>
      <c r="J8" s="880" t="s">
        <v>487</v>
      </c>
      <c r="K8" s="880" t="s">
        <v>188</v>
      </c>
      <c r="L8" s="709"/>
      <c r="M8" s="710" t="s">
        <v>488</v>
      </c>
      <c r="N8" s="708"/>
      <c r="O8" s="708"/>
      <c r="P8" s="711"/>
      <c r="Q8" s="708"/>
      <c r="R8" s="712"/>
      <c r="S8" s="880" t="s">
        <v>489</v>
      </c>
    </row>
    <row r="9" spans="1:19" ht="17.25" customHeight="1">
      <c r="A9" s="886"/>
      <c r="B9" s="880" t="s">
        <v>490</v>
      </c>
      <c r="C9" s="880" t="s">
        <v>491</v>
      </c>
      <c r="D9" s="878" t="s">
        <v>492</v>
      </c>
      <c r="E9" s="880" t="s">
        <v>493</v>
      </c>
      <c r="F9" s="880" t="s">
        <v>494</v>
      </c>
      <c r="G9" s="880" t="s">
        <v>495</v>
      </c>
      <c r="H9" s="878" t="s">
        <v>496</v>
      </c>
      <c r="I9" s="880" t="s">
        <v>497</v>
      </c>
      <c r="J9" s="884"/>
      <c r="K9" s="884"/>
      <c r="L9" s="713"/>
      <c r="M9" s="714"/>
      <c r="N9" s="714"/>
      <c r="O9" s="708" t="s">
        <v>498</v>
      </c>
      <c r="P9" s="708"/>
      <c r="Q9" s="714"/>
      <c r="R9" s="714"/>
      <c r="S9" s="884"/>
    </row>
    <row r="10" spans="1:19" s="717" customFormat="1" ht="45.75" customHeight="1">
      <c r="A10" s="887"/>
      <c r="B10" s="887"/>
      <c r="C10" s="881"/>
      <c r="D10" s="879"/>
      <c r="E10" s="881"/>
      <c r="F10" s="881"/>
      <c r="G10" s="881"/>
      <c r="H10" s="879"/>
      <c r="I10" s="881"/>
      <c r="J10" s="885"/>
      <c r="K10" s="885"/>
      <c r="L10" s="828" t="s">
        <v>706</v>
      </c>
      <c r="M10" s="715" t="s">
        <v>762</v>
      </c>
      <c r="N10" s="715" t="s">
        <v>499</v>
      </c>
      <c r="O10" s="715" t="s">
        <v>500</v>
      </c>
      <c r="P10" s="715" t="s">
        <v>501</v>
      </c>
      <c r="Q10" s="715" t="s">
        <v>502</v>
      </c>
      <c r="R10" s="716" t="s">
        <v>774</v>
      </c>
      <c r="S10" s="885"/>
    </row>
    <row r="11" spans="1:19" s="706" customFormat="1" ht="11.25">
      <c r="A11" s="718">
        <v>1</v>
      </c>
      <c r="B11" s="719">
        <v>2</v>
      </c>
      <c r="C11" s="719">
        <v>3</v>
      </c>
      <c r="D11" s="719">
        <v>4</v>
      </c>
      <c r="E11" s="719">
        <v>5</v>
      </c>
      <c r="F11" s="719">
        <v>6</v>
      </c>
      <c r="G11" s="719">
        <v>7</v>
      </c>
      <c r="H11" s="719">
        <v>8</v>
      </c>
      <c r="I11" s="719">
        <v>9</v>
      </c>
      <c r="J11" s="719">
        <v>10</v>
      </c>
      <c r="K11" s="719">
        <v>11</v>
      </c>
      <c r="L11" s="757"/>
      <c r="M11" s="719">
        <v>12</v>
      </c>
      <c r="N11" s="719">
        <v>13</v>
      </c>
      <c r="O11" s="719">
        <v>14</v>
      </c>
      <c r="P11" s="719">
        <v>15</v>
      </c>
      <c r="Q11" s="719">
        <v>16</v>
      </c>
      <c r="R11" s="719">
        <v>17</v>
      </c>
      <c r="S11" s="719">
        <v>18</v>
      </c>
    </row>
    <row r="12" spans="1:19" ht="12" customHeight="1">
      <c r="A12" s="720" t="s">
        <v>503</v>
      </c>
      <c r="B12" s="721"/>
      <c r="C12" s="721"/>
      <c r="D12" s="721"/>
      <c r="E12" s="536"/>
      <c r="F12" s="721"/>
      <c r="G12" s="721"/>
      <c r="H12" s="721"/>
      <c r="I12" s="536"/>
      <c r="J12" s="536"/>
      <c r="K12" s="536"/>
      <c r="L12" s="758"/>
      <c r="M12" s="721"/>
      <c r="N12" s="536"/>
      <c r="O12" s="721"/>
      <c r="P12" s="721"/>
      <c r="Q12" s="721"/>
      <c r="R12" s="721"/>
      <c r="S12" s="721"/>
    </row>
    <row r="13" spans="1:19" ht="12" customHeight="1">
      <c r="A13" s="722" t="s">
        <v>504</v>
      </c>
      <c r="B13" s="536">
        <v>118076</v>
      </c>
      <c r="C13" s="536">
        <v>23350</v>
      </c>
      <c r="D13" s="536"/>
      <c r="E13" s="536">
        <f aca="true" t="shared" si="0" ref="E13:E19">SUM(B13:C13)</f>
        <v>141426</v>
      </c>
      <c r="F13" s="536">
        <v>142303</v>
      </c>
      <c r="G13" s="536">
        <v>17647</v>
      </c>
      <c r="H13" s="536">
        <v>17647</v>
      </c>
      <c r="I13" s="536">
        <f>SUM(F13:G13)</f>
        <v>159950</v>
      </c>
      <c r="J13" s="536">
        <f aca="true" t="shared" si="1" ref="J13:J19">E13-I13</f>
        <v>-18524</v>
      </c>
      <c r="K13" s="536">
        <f aca="true" t="shared" si="2" ref="K13:K20">-J13</f>
        <v>18524</v>
      </c>
      <c r="L13" s="537">
        <f>SUM(M13,N13,Q13,R13,S13)</f>
        <v>18524</v>
      </c>
      <c r="M13" s="536"/>
      <c r="N13" s="536">
        <f aca="true" t="shared" si="3" ref="N13:N19">O13-P13</f>
        <v>-3004</v>
      </c>
      <c r="O13" s="536">
        <v>4422</v>
      </c>
      <c r="P13" s="536">
        <v>7426</v>
      </c>
      <c r="Q13" s="536"/>
      <c r="R13" s="536">
        <v>21528</v>
      </c>
      <c r="S13" s="536"/>
    </row>
    <row r="14" spans="1:19" ht="12" customHeight="1">
      <c r="A14" s="722" t="s">
        <v>505</v>
      </c>
      <c r="B14" s="536">
        <v>8524</v>
      </c>
      <c r="C14" s="536">
        <v>5593</v>
      </c>
      <c r="D14" s="536">
        <v>1281</v>
      </c>
      <c r="E14" s="536">
        <f t="shared" si="0"/>
        <v>14117</v>
      </c>
      <c r="F14" s="536">
        <v>14488</v>
      </c>
      <c r="G14" s="536">
        <v>25</v>
      </c>
      <c r="H14" s="536"/>
      <c r="I14" s="536">
        <f>SUM(F14:G14)</f>
        <v>14513</v>
      </c>
      <c r="J14" s="536">
        <f t="shared" si="1"/>
        <v>-396</v>
      </c>
      <c r="K14" s="536">
        <f t="shared" si="2"/>
        <v>396</v>
      </c>
      <c r="L14" s="537">
        <f>SUM(M14,N14,Q14,R14,S14)</f>
        <v>396</v>
      </c>
      <c r="M14" s="536">
        <v>150</v>
      </c>
      <c r="N14" s="536">
        <f t="shared" si="3"/>
        <v>-796</v>
      </c>
      <c r="O14" s="536">
        <v>50</v>
      </c>
      <c r="P14" s="536">
        <v>846</v>
      </c>
      <c r="Q14" s="536">
        <v>950</v>
      </c>
      <c r="R14" s="536">
        <v>92</v>
      </c>
      <c r="S14" s="536"/>
    </row>
    <row r="15" spans="1:19" ht="12" customHeight="1">
      <c r="A15" s="722" t="s">
        <v>506</v>
      </c>
      <c r="B15" s="536">
        <v>6421</v>
      </c>
      <c r="C15" s="536">
        <v>3573</v>
      </c>
      <c r="D15" s="536"/>
      <c r="E15" s="536">
        <f t="shared" si="0"/>
        <v>9994</v>
      </c>
      <c r="F15" s="536">
        <v>9048</v>
      </c>
      <c r="G15" s="536">
        <v>174</v>
      </c>
      <c r="H15" s="536">
        <v>86</v>
      </c>
      <c r="I15" s="536">
        <f>SUM(F15:G15)</f>
        <v>9222</v>
      </c>
      <c r="J15" s="536">
        <f t="shared" si="1"/>
        <v>772</v>
      </c>
      <c r="K15" s="536">
        <f t="shared" si="2"/>
        <v>-772</v>
      </c>
      <c r="L15" s="537">
        <f>SUM(M15,N15,Q15,R15,S15)</f>
        <v>-772</v>
      </c>
      <c r="M15" s="536"/>
      <c r="N15" s="536">
        <f t="shared" si="3"/>
        <v>-359</v>
      </c>
      <c r="O15" s="536">
        <v>51</v>
      </c>
      <c r="P15" s="536">
        <v>410</v>
      </c>
      <c r="Q15" s="536"/>
      <c r="R15" s="536">
        <v>8</v>
      </c>
      <c r="S15" s="536">
        <v>-421</v>
      </c>
    </row>
    <row r="16" spans="1:19" ht="12" customHeight="1">
      <c r="A16" s="722" t="s">
        <v>507</v>
      </c>
      <c r="B16" s="536">
        <v>7628</v>
      </c>
      <c r="C16" s="536">
        <v>1733</v>
      </c>
      <c r="D16" s="536"/>
      <c r="E16" s="536">
        <f t="shared" si="0"/>
        <v>9361</v>
      </c>
      <c r="F16" s="536">
        <v>7904</v>
      </c>
      <c r="G16" s="536">
        <v>874</v>
      </c>
      <c r="H16" s="536">
        <v>815</v>
      </c>
      <c r="I16" s="536">
        <f>SUM(F16:G16)</f>
        <v>8778</v>
      </c>
      <c r="J16" s="536">
        <f t="shared" si="1"/>
        <v>583</v>
      </c>
      <c r="K16" s="536">
        <f t="shared" si="2"/>
        <v>-583</v>
      </c>
      <c r="L16" s="537">
        <f>SUM(M16,N16,Q16,R16,S16)</f>
        <v>-583</v>
      </c>
      <c r="M16" s="536">
        <v>-540</v>
      </c>
      <c r="N16" s="536">
        <f t="shared" si="3"/>
        <v>-43</v>
      </c>
      <c r="O16" s="536">
        <v>201</v>
      </c>
      <c r="P16" s="536">
        <v>244</v>
      </c>
      <c r="Q16" s="536"/>
      <c r="R16" s="536"/>
      <c r="S16" s="536"/>
    </row>
    <row r="17" spans="1:19" ht="12" customHeight="1">
      <c r="A17" s="722" t="s">
        <v>508</v>
      </c>
      <c r="B17" s="536">
        <v>8709</v>
      </c>
      <c r="C17" s="536">
        <v>3659</v>
      </c>
      <c r="D17" s="536"/>
      <c r="E17" s="536">
        <f t="shared" si="0"/>
        <v>12368</v>
      </c>
      <c r="F17" s="536">
        <v>11726</v>
      </c>
      <c r="G17" s="536">
        <v>36</v>
      </c>
      <c r="H17" s="536"/>
      <c r="I17" s="536">
        <f>SUM(F17+G17)</f>
        <v>11762</v>
      </c>
      <c r="J17" s="536">
        <f t="shared" si="1"/>
        <v>606</v>
      </c>
      <c r="K17" s="536">
        <f t="shared" si="2"/>
        <v>-606</v>
      </c>
      <c r="L17" s="537">
        <f>SUM(M17,N17,Q17,R17,S17)</f>
        <v>-606</v>
      </c>
      <c r="M17" s="536"/>
      <c r="N17" s="536">
        <f t="shared" si="3"/>
        <v>-774</v>
      </c>
      <c r="O17" s="536">
        <v>381</v>
      </c>
      <c r="P17" s="536">
        <v>1155</v>
      </c>
      <c r="Q17" s="536">
        <v>168</v>
      </c>
      <c r="R17" s="536"/>
      <c r="S17" s="536"/>
    </row>
    <row r="18" spans="1:19" ht="12" customHeight="1">
      <c r="A18" s="722" t="s">
        <v>509</v>
      </c>
      <c r="B18" s="536">
        <v>3491</v>
      </c>
      <c r="C18" s="536">
        <v>1715</v>
      </c>
      <c r="D18" s="536">
        <v>18</v>
      </c>
      <c r="E18" s="536">
        <f t="shared" si="0"/>
        <v>5206</v>
      </c>
      <c r="F18" s="536">
        <v>5144</v>
      </c>
      <c r="G18" s="536">
        <v>13</v>
      </c>
      <c r="H18" s="536"/>
      <c r="I18" s="536">
        <f>SUM(F18+G18)</f>
        <v>5157</v>
      </c>
      <c r="J18" s="536">
        <f t="shared" si="1"/>
        <v>49</v>
      </c>
      <c r="K18" s="536">
        <f t="shared" si="2"/>
        <v>-49</v>
      </c>
      <c r="L18" s="537">
        <f>SUM(Q18:S18,N18,M18)</f>
        <v>-49</v>
      </c>
      <c r="M18" s="536">
        <v>-225</v>
      </c>
      <c r="N18" s="536">
        <f t="shared" si="3"/>
        <v>-88</v>
      </c>
      <c r="O18" s="536">
        <v>68</v>
      </c>
      <c r="P18" s="536">
        <v>156</v>
      </c>
      <c r="Q18" s="536"/>
      <c r="R18" s="536"/>
      <c r="S18" s="536">
        <v>264</v>
      </c>
    </row>
    <row r="19" spans="1:19" ht="12" customHeight="1">
      <c r="A19" s="722" t="s">
        <v>510</v>
      </c>
      <c r="B19" s="536">
        <v>10246</v>
      </c>
      <c r="C19" s="536">
        <v>1224</v>
      </c>
      <c r="D19" s="536"/>
      <c r="E19" s="536">
        <f t="shared" si="0"/>
        <v>11470</v>
      </c>
      <c r="F19" s="536">
        <v>8728</v>
      </c>
      <c r="G19" s="536">
        <v>2316</v>
      </c>
      <c r="H19" s="536">
        <v>2316</v>
      </c>
      <c r="I19" s="536">
        <f>SUM(F19+G19)</f>
        <v>11044</v>
      </c>
      <c r="J19" s="536">
        <f t="shared" si="1"/>
        <v>426</v>
      </c>
      <c r="K19" s="536">
        <f t="shared" si="2"/>
        <v>-426</v>
      </c>
      <c r="L19" s="537">
        <f>SUM(Q19:S19,N19,M19)</f>
        <v>-426</v>
      </c>
      <c r="M19" s="536">
        <v>-1</v>
      </c>
      <c r="N19" s="536">
        <f t="shared" si="3"/>
        <v>-425</v>
      </c>
      <c r="O19" s="536">
        <v>1118</v>
      </c>
      <c r="P19" s="536">
        <v>1543</v>
      </c>
      <c r="Q19" s="536"/>
      <c r="R19" s="536"/>
      <c r="S19" s="536"/>
    </row>
    <row r="20" spans="1:19" ht="12" customHeight="1">
      <c r="A20" s="720" t="s">
        <v>511</v>
      </c>
      <c r="B20" s="536">
        <f>SUM(B12:B19)</f>
        <v>163095</v>
      </c>
      <c r="C20" s="536">
        <f>SUM(C12:C19)</f>
        <v>40847</v>
      </c>
      <c r="D20" s="536">
        <f aca="true" t="shared" si="4" ref="D20:J20">SUM(D13:D19)</f>
        <v>1299</v>
      </c>
      <c r="E20" s="536">
        <f t="shared" si="4"/>
        <v>203942</v>
      </c>
      <c r="F20" s="536">
        <f t="shared" si="4"/>
        <v>199341</v>
      </c>
      <c r="G20" s="536">
        <f t="shared" si="4"/>
        <v>21085</v>
      </c>
      <c r="H20" s="536">
        <f t="shared" si="4"/>
        <v>20864</v>
      </c>
      <c r="I20" s="536">
        <f t="shared" si="4"/>
        <v>220426</v>
      </c>
      <c r="J20" s="536">
        <f t="shared" si="4"/>
        <v>-16484</v>
      </c>
      <c r="K20" s="536">
        <f t="shared" si="2"/>
        <v>16484</v>
      </c>
      <c r="L20" s="537">
        <f>SUM(Q20:S20,N20,M20)</f>
        <v>16484</v>
      </c>
      <c r="M20" s="536">
        <f aca="true" t="shared" si="5" ref="M20:S20">SUM(M13:M19)</f>
        <v>-616</v>
      </c>
      <c r="N20" s="536">
        <f t="shared" si="5"/>
        <v>-5489</v>
      </c>
      <c r="O20" s="536">
        <f t="shared" si="5"/>
        <v>6291</v>
      </c>
      <c r="P20" s="536">
        <f t="shared" si="5"/>
        <v>11780</v>
      </c>
      <c r="Q20" s="536">
        <f t="shared" si="5"/>
        <v>1118</v>
      </c>
      <c r="R20" s="536">
        <f t="shared" si="5"/>
        <v>21628</v>
      </c>
      <c r="S20" s="536">
        <f t="shared" si="5"/>
        <v>-157</v>
      </c>
    </row>
    <row r="21" spans="1:19" s="723" customFormat="1" ht="12" customHeight="1">
      <c r="A21" s="720" t="s">
        <v>512</v>
      </c>
      <c r="B21" s="537"/>
      <c r="C21" s="537"/>
      <c r="D21" s="537"/>
      <c r="E21" s="537"/>
      <c r="F21" s="537"/>
      <c r="G21" s="537"/>
      <c r="H21" s="537"/>
      <c r="I21" s="537"/>
      <c r="J21" s="537"/>
      <c r="K21" s="537"/>
      <c r="L21" s="537"/>
      <c r="M21" s="537"/>
      <c r="N21" s="537"/>
      <c r="O21" s="537"/>
      <c r="P21" s="537"/>
      <c r="Q21" s="537"/>
      <c r="R21" s="537"/>
      <c r="S21" s="537"/>
    </row>
    <row r="22" spans="1:19" ht="12" customHeight="1">
      <c r="A22" s="722" t="s">
        <v>513</v>
      </c>
      <c r="B22" s="536">
        <v>3856</v>
      </c>
      <c r="C22" s="536">
        <v>3449</v>
      </c>
      <c r="D22" s="536">
        <v>832</v>
      </c>
      <c r="E22" s="536">
        <f aca="true" t="shared" si="6" ref="E22:E47">SUM(B22:C22)</f>
        <v>7305</v>
      </c>
      <c r="F22" s="536">
        <v>6704</v>
      </c>
      <c r="G22" s="536">
        <v>490</v>
      </c>
      <c r="H22" s="536">
        <v>262</v>
      </c>
      <c r="I22" s="536">
        <f aca="true" t="shared" si="7" ref="I22:I27">SUM(F22:G22)</f>
        <v>7194</v>
      </c>
      <c r="J22" s="536">
        <f aca="true" t="shared" si="8" ref="J22:J47">E22-I22</f>
        <v>111</v>
      </c>
      <c r="K22" s="536">
        <f aca="true" t="shared" si="9" ref="K22:K47">-J22</f>
        <v>-111</v>
      </c>
      <c r="L22" s="537">
        <f aca="true" t="shared" si="10" ref="L22:L49">SUM(Q22:S22,N22,M22)</f>
        <v>-111</v>
      </c>
      <c r="M22" s="536">
        <v>66</v>
      </c>
      <c r="N22" s="536">
        <f aca="true" t="shared" si="11" ref="N22:N47">O22-P22</f>
        <v>-228</v>
      </c>
      <c r="O22" s="536">
        <v>363</v>
      </c>
      <c r="P22" s="536">
        <v>591</v>
      </c>
      <c r="Q22" s="536">
        <v>-13</v>
      </c>
      <c r="R22" s="536">
        <v>-14</v>
      </c>
      <c r="S22" s="536">
        <v>78</v>
      </c>
    </row>
    <row r="23" spans="1:19" ht="12" customHeight="1">
      <c r="A23" s="722" t="s">
        <v>514</v>
      </c>
      <c r="B23" s="536">
        <v>1976</v>
      </c>
      <c r="C23" s="536">
        <v>2474</v>
      </c>
      <c r="D23" s="536">
        <v>821</v>
      </c>
      <c r="E23" s="536">
        <f t="shared" si="6"/>
        <v>4450</v>
      </c>
      <c r="F23" s="536">
        <v>4347</v>
      </c>
      <c r="G23" s="536">
        <v>143</v>
      </c>
      <c r="H23" s="536"/>
      <c r="I23" s="536">
        <f t="shared" si="7"/>
        <v>4490</v>
      </c>
      <c r="J23" s="536">
        <f t="shared" si="8"/>
        <v>-40</v>
      </c>
      <c r="K23" s="536">
        <f t="shared" si="9"/>
        <v>40</v>
      </c>
      <c r="L23" s="759">
        <f t="shared" si="10"/>
        <v>40</v>
      </c>
      <c r="M23" s="536">
        <v>1</v>
      </c>
      <c r="N23" s="536">
        <f t="shared" si="11"/>
        <v>-100</v>
      </c>
      <c r="O23" s="536">
        <v>85</v>
      </c>
      <c r="P23" s="536">
        <v>185</v>
      </c>
      <c r="Q23" s="536"/>
      <c r="R23" s="536">
        <v>-8</v>
      </c>
      <c r="S23" s="536">
        <v>147</v>
      </c>
    </row>
    <row r="24" spans="1:19" ht="12" customHeight="1">
      <c r="A24" s="722" t="s">
        <v>515</v>
      </c>
      <c r="B24" s="536">
        <v>1771</v>
      </c>
      <c r="C24" s="536">
        <v>3384</v>
      </c>
      <c r="D24" s="536">
        <v>1286</v>
      </c>
      <c r="E24" s="536">
        <f t="shared" si="6"/>
        <v>5155</v>
      </c>
      <c r="F24" s="536">
        <v>5102</v>
      </c>
      <c r="G24" s="536">
        <v>195</v>
      </c>
      <c r="H24" s="536"/>
      <c r="I24" s="536">
        <f t="shared" si="7"/>
        <v>5297</v>
      </c>
      <c r="J24" s="536">
        <f t="shared" si="8"/>
        <v>-142</v>
      </c>
      <c r="K24" s="536">
        <f t="shared" si="9"/>
        <v>142</v>
      </c>
      <c r="L24" s="537">
        <f t="shared" si="10"/>
        <v>142</v>
      </c>
      <c r="M24" s="536">
        <v>147</v>
      </c>
      <c r="N24" s="536">
        <f t="shared" si="11"/>
        <v>-210</v>
      </c>
      <c r="O24" s="536">
        <v>61</v>
      </c>
      <c r="P24" s="536">
        <v>271</v>
      </c>
      <c r="Q24" s="536">
        <v>-2</v>
      </c>
      <c r="R24" s="536">
        <v>-3</v>
      </c>
      <c r="S24" s="536">
        <v>210</v>
      </c>
    </row>
    <row r="25" spans="1:19" ht="12" customHeight="1">
      <c r="A25" s="722" t="s">
        <v>516</v>
      </c>
      <c r="B25" s="536">
        <v>3908</v>
      </c>
      <c r="C25" s="536">
        <v>4762</v>
      </c>
      <c r="D25" s="536">
        <v>1239</v>
      </c>
      <c r="E25" s="536">
        <f t="shared" si="6"/>
        <v>8670</v>
      </c>
      <c r="F25" s="536">
        <v>8067</v>
      </c>
      <c r="G25" s="536">
        <v>496</v>
      </c>
      <c r="H25" s="536"/>
      <c r="I25" s="536">
        <f t="shared" si="7"/>
        <v>8563</v>
      </c>
      <c r="J25" s="536">
        <f t="shared" si="8"/>
        <v>107</v>
      </c>
      <c r="K25" s="536">
        <f t="shared" si="9"/>
        <v>-107</v>
      </c>
      <c r="L25" s="537">
        <f t="shared" si="10"/>
        <v>-107</v>
      </c>
      <c r="M25" s="536">
        <v>57</v>
      </c>
      <c r="N25" s="536">
        <f t="shared" si="11"/>
        <v>-328</v>
      </c>
      <c r="O25" s="536">
        <v>159</v>
      </c>
      <c r="P25" s="536">
        <v>487</v>
      </c>
      <c r="Q25" s="536">
        <v>-4</v>
      </c>
      <c r="R25" s="536">
        <v>1</v>
      </c>
      <c r="S25" s="536">
        <v>167</v>
      </c>
    </row>
    <row r="26" spans="1:19" ht="12" customHeight="1">
      <c r="A26" s="722" t="s">
        <v>517</v>
      </c>
      <c r="B26" s="536">
        <v>6110</v>
      </c>
      <c r="C26" s="536">
        <v>5438</v>
      </c>
      <c r="D26" s="536">
        <v>1533</v>
      </c>
      <c r="E26" s="536">
        <f t="shared" si="6"/>
        <v>11548</v>
      </c>
      <c r="F26" s="536">
        <v>10750</v>
      </c>
      <c r="G26" s="536">
        <v>607</v>
      </c>
      <c r="H26" s="536">
        <v>133</v>
      </c>
      <c r="I26" s="536">
        <f t="shared" si="7"/>
        <v>11357</v>
      </c>
      <c r="J26" s="536">
        <f t="shared" si="8"/>
        <v>191</v>
      </c>
      <c r="K26" s="536">
        <f t="shared" si="9"/>
        <v>-191</v>
      </c>
      <c r="L26" s="537">
        <f t="shared" si="10"/>
        <v>-191</v>
      </c>
      <c r="M26" s="536">
        <v>21</v>
      </c>
      <c r="N26" s="536">
        <f t="shared" si="11"/>
        <v>-290</v>
      </c>
      <c r="O26" s="536">
        <v>159</v>
      </c>
      <c r="P26" s="536">
        <v>449</v>
      </c>
      <c r="Q26" s="536">
        <v>-13</v>
      </c>
      <c r="R26" s="536"/>
      <c r="S26" s="536">
        <v>91</v>
      </c>
    </row>
    <row r="27" spans="1:19" ht="12" customHeight="1">
      <c r="A27" s="722" t="s">
        <v>518</v>
      </c>
      <c r="B27" s="536">
        <v>2825</v>
      </c>
      <c r="C27" s="536">
        <v>4169</v>
      </c>
      <c r="D27" s="536">
        <v>1661</v>
      </c>
      <c r="E27" s="536">
        <f t="shared" si="6"/>
        <v>6994</v>
      </c>
      <c r="F27" s="536">
        <v>6852</v>
      </c>
      <c r="G27" s="536">
        <v>368</v>
      </c>
      <c r="H27" s="536">
        <v>62</v>
      </c>
      <c r="I27" s="536">
        <f t="shared" si="7"/>
        <v>7220</v>
      </c>
      <c r="J27" s="536">
        <f t="shared" si="8"/>
        <v>-226</v>
      </c>
      <c r="K27" s="536">
        <f t="shared" si="9"/>
        <v>226</v>
      </c>
      <c r="L27" s="537">
        <f t="shared" si="10"/>
        <v>226</v>
      </c>
      <c r="M27" s="536">
        <v>335</v>
      </c>
      <c r="N27" s="536">
        <f t="shared" si="11"/>
        <v>-164</v>
      </c>
      <c r="O27" s="536">
        <v>114</v>
      </c>
      <c r="P27" s="536">
        <v>278</v>
      </c>
      <c r="Q27" s="536">
        <v>-2</v>
      </c>
      <c r="R27" s="536">
        <v>-120</v>
      </c>
      <c r="S27" s="536">
        <v>177</v>
      </c>
    </row>
    <row r="28" spans="1:19" ht="12" customHeight="1">
      <c r="A28" s="722" t="s">
        <v>519</v>
      </c>
      <c r="B28" s="536">
        <v>3327</v>
      </c>
      <c r="C28" s="536">
        <v>3316</v>
      </c>
      <c r="D28" s="536">
        <v>1098</v>
      </c>
      <c r="E28" s="536">
        <f t="shared" si="6"/>
        <v>6643</v>
      </c>
      <c r="F28" s="536">
        <v>6417</v>
      </c>
      <c r="G28" s="536">
        <v>398</v>
      </c>
      <c r="H28" s="536">
        <v>120</v>
      </c>
      <c r="I28" s="536">
        <f aca="true" t="shared" si="12" ref="I28:I47">SUM(F28:H28)-H28</f>
        <v>6815</v>
      </c>
      <c r="J28" s="536">
        <f t="shared" si="8"/>
        <v>-172</v>
      </c>
      <c r="K28" s="536">
        <f t="shared" si="9"/>
        <v>172</v>
      </c>
      <c r="L28" s="537">
        <f t="shared" si="10"/>
        <v>172</v>
      </c>
      <c r="M28" s="536">
        <v>74</v>
      </c>
      <c r="N28" s="536">
        <f t="shared" si="11"/>
        <v>-186</v>
      </c>
      <c r="O28" s="536">
        <v>198</v>
      </c>
      <c r="P28" s="536">
        <v>384</v>
      </c>
      <c r="Q28" s="536"/>
      <c r="R28" s="536"/>
      <c r="S28" s="536">
        <v>284</v>
      </c>
    </row>
    <row r="29" spans="1:19" ht="12" customHeight="1">
      <c r="A29" s="722" t="s">
        <v>520</v>
      </c>
      <c r="B29" s="536">
        <v>2155</v>
      </c>
      <c r="C29" s="536">
        <v>2238</v>
      </c>
      <c r="D29" s="536">
        <v>661</v>
      </c>
      <c r="E29" s="536">
        <f t="shared" si="6"/>
        <v>4393</v>
      </c>
      <c r="F29" s="536">
        <v>4092</v>
      </c>
      <c r="G29" s="536">
        <v>153</v>
      </c>
      <c r="H29" s="536"/>
      <c r="I29" s="536">
        <f t="shared" si="12"/>
        <v>4245</v>
      </c>
      <c r="J29" s="536">
        <f t="shared" si="8"/>
        <v>148</v>
      </c>
      <c r="K29" s="536">
        <f t="shared" si="9"/>
        <v>-148</v>
      </c>
      <c r="L29" s="537">
        <f t="shared" si="10"/>
        <v>-148</v>
      </c>
      <c r="M29" s="536">
        <v>-17</v>
      </c>
      <c r="N29" s="536">
        <f t="shared" si="11"/>
        <v>-41</v>
      </c>
      <c r="O29" s="536">
        <v>270</v>
      </c>
      <c r="P29" s="536">
        <v>311</v>
      </c>
      <c r="Q29" s="536"/>
      <c r="R29" s="536"/>
      <c r="S29" s="536">
        <v>-90</v>
      </c>
    </row>
    <row r="30" spans="1:19" ht="12" customHeight="1">
      <c r="A30" s="722" t="s">
        <v>521</v>
      </c>
      <c r="B30" s="536">
        <v>2620</v>
      </c>
      <c r="C30" s="536">
        <v>3179</v>
      </c>
      <c r="D30" s="536">
        <v>1103</v>
      </c>
      <c r="E30" s="536">
        <f t="shared" si="6"/>
        <v>5799</v>
      </c>
      <c r="F30" s="536">
        <v>5740</v>
      </c>
      <c r="G30" s="536">
        <v>377</v>
      </c>
      <c r="H30" s="536">
        <v>5</v>
      </c>
      <c r="I30" s="536">
        <f t="shared" si="12"/>
        <v>6117</v>
      </c>
      <c r="J30" s="536">
        <f t="shared" si="8"/>
        <v>-318</v>
      </c>
      <c r="K30" s="536">
        <f t="shared" si="9"/>
        <v>318</v>
      </c>
      <c r="L30" s="537">
        <f t="shared" si="10"/>
        <v>318</v>
      </c>
      <c r="M30" s="536">
        <v>204</v>
      </c>
      <c r="N30" s="536">
        <f t="shared" si="11"/>
        <v>-189</v>
      </c>
      <c r="O30" s="536">
        <v>126</v>
      </c>
      <c r="P30" s="536">
        <v>315</v>
      </c>
      <c r="Q30" s="536">
        <v>-15</v>
      </c>
      <c r="R30" s="536">
        <v>45</v>
      </c>
      <c r="S30" s="536">
        <v>273</v>
      </c>
    </row>
    <row r="31" spans="1:19" ht="12" customHeight="1">
      <c r="A31" s="722" t="s">
        <v>522</v>
      </c>
      <c r="B31" s="536">
        <v>3802</v>
      </c>
      <c r="C31" s="536">
        <v>4830</v>
      </c>
      <c r="D31" s="536">
        <v>1683</v>
      </c>
      <c r="E31" s="536">
        <f t="shared" si="6"/>
        <v>8632</v>
      </c>
      <c r="F31" s="536">
        <v>8562</v>
      </c>
      <c r="G31" s="536">
        <v>260</v>
      </c>
      <c r="H31" s="536"/>
      <c r="I31" s="536">
        <f t="shared" si="12"/>
        <v>8822</v>
      </c>
      <c r="J31" s="536">
        <f t="shared" si="8"/>
        <v>-190</v>
      </c>
      <c r="K31" s="536">
        <f t="shared" si="9"/>
        <v>190</v>
      </c>
      <c r="L31" s="537">
        <f t="shared" si="10"/>
        <v>190</v>
      </c>
      <c r="M31" s="536">
        <v>-110</v>
      </c>
      <c r="N31" s="536">
        <f t="shared" si="11"/>
        <v>-181</v>
      </c>
      <c r="O31" s="536">
        <v>272</v>
      </c>
      <c r="P31" s="536">
        <v>453</v>
      </c>
      <c r="Q31" s="536">
        <v>46</v>
      </c>
      <c r="R31" s="536">
        <v>-1</v>
      </c>
      <c r="S31" s="536">
        <v>436</v>
      </c>
    </row>
    <row r="32" spans="1:19" ht="12" customHeight="1">
      <c r="A32" s="722" t="s">
        <v>523</v>
      </c>
      <c r="B32" s="536">
        <v>1898</v>
      </c>
      <c r="C32" s="536">
        <v>3356</v>
      </c>
      <c r="D32" s="536">
        <v>1345</v>
      </c>
      <c r="E32" s="536">
        <f t="shared" si="6"/>
        <v>5254</v>
      </c>
      <c r="F32" s="536">
        <v>4877</v>
      </c>
      <c r="G32" s="536">
        <v>174</v>
      </c>
      <c r="H32" s="536"/>
      <c r="I32" s="536">
        <f t="shared" si="12"/>
        <v>5051</v>
      </c>
      <c r="J32" s="536">
        <f t="shared" si="8"/>
        <v>203</v>
      </c>
      <c r="K32" s="536">
        <f t="shared" si="9"/>
        <v>-203</v>
      </c>
      <c r="L32" s="537">
        <f t="shared" si="10"/>
        <v>-203</v>
      </c>
      <c r="M32" s="536">
        <v>-75</v>
      </c>
      <c r="N32" s="536">
        <f t="shared" si="11"/>
        <v>-367</v>
      </c>
      <c r="O32" s="536">
        <v>67</v>
      </c>
      <c r="P32" s="536">
        <v>434</v>
      </c>
      <c r="Q32" s="536">
        <v>-1</v>
      </c>
      <c r="R32" s="536"/>
      <c r="S32" s="536">
        <v>240</v>
      </c>
    </row>
    <row r="33" spans="1:19" ht="12" customHeight="1">
      <c r="A33" s="722" t="s">
        <v>524</v>
      </c>
      <c r="B33" s="536">
        <v>3362</v>
      </c>
      <c r="C33" s="536">
        <v>4174</v>
      </c>
      <c r="D33" s="536">
        <v>908</v>
      </c>
      <c r="E33" s="536">
        <f t="shared" si="6"/>
        <v>7536</v>
      </c>
      <c r="F33" s="536">
        <v>7418</v>
      </c>
      <c r="G33" s="536">
        <v>246</v>
      </c>
      <c r="H33" s="536"/>
      <c r="I33" s="536">
        <f t="shared" si="12"/>
        <v>7664</v>
      </c>
      <c r="J33" s="536">
        <f t="shared" si="8"/>
        <v>-128</v>
      </c>
      <c r="K33" s="536">
        <f t="shared" si="9"/>
        <v>128</v>
      </c>
      <c r="L33" s="537">
        <f t="shared" si="10"/>
        <v>128</v>
      </c>
      <c r="M33" s="536">
        <v>92</v>
      </c>
      <c r="N33" s="536">
        <f t="shared" si="11"/>
        <v>-110</v>
      </c>
      <c r="O33" s="536">
        <v>462</v>
      </c>
      <c r="P33" s="536">
        <v>572</v>
      </c>
      <c r="Q33" s="536"/>
      <c r="R33" s="536"/>
      <c r="S33" s="536">
        <v>146</v>
      </c>
    </row>
    <row r="34" spans="1:19" ht="12" customHeight="1">
      <c r="A34" s="722" t="s">
        <v>525</v>
      </c>
      <c r="B34" s="536">
        <v>3559</v>
      </c>
      <c r="C34" s="536">
        <v>3956</v>
      </c>
      <c r="D34" s="536">
        <v>1105</v>
      </c>
      <c r="E34" s="536">
        <f t="shared" si="6"/>
        <v>7515</v>
      </c>
      <c r="F34" s="536">
        <v>7339</v>
      </c>
      <c r="G34" s="536">
        <v>222</v>
      </c>
      <c r="H34" s="536">
        <v>17</v>
      </c>
      <c r="I34" s="536">
        <f t="shared" si="12"/>
        <v>7561</v>
      </c>
      <c r="J34" s="536">
        <f t="shared" si="8"/>
        <v>-46</v>
      </c>
      <c r="K34" s="536">
        <f t="shared" si="9"/>
        <v>46</v>
      </c>
      <c r="L34" s="537">
        <f t="shared" si="10"/>
        <v>46</v>
      </c>
      <c r="M34" s="536">
        <v>20</v>
      </c>
      <c r="N34" s="536">
        <f t="shared" si="11"/>
        <v>-295</v>
      </c>
      <c r="O34" s="536">
        <v>136</v>
      </c>
      <c r="P34" s="536">
        <v>431</v>
      </c>
      <c r="Q34" s="536"/>
      <c r="R34" s="536">
        <v>-17</v>
      </c>
      <c r="S34" s="536">
        <v>338</v>
      </c>
    </row>
    <row r="35" spans="1:19" ht="12" customHeight="1">
      <c r="A35" s="722" t="s">
        <v>526</v>
      </c>
      <c r="B35" s="536">
        <v>3669</v>
      </c>
      <c r="C35" s="536">
        <v>3062</v>
      </c>
      <c r="D35" s="536">
        <v>1048</v>
      </c>
      <c r="E35" s="536">
        <f t="shared" si="6"/>
        <v>6731</v>
      </c>
      <c r="F35" s="536">
        <v>6748</v>
      </c>
      <c r="G35" s="536">
        <v>542</v>
      </c>
      <c r="H35" s="536">
        <v>172</v>
      </c>
      <c r="I35" s="536">
        <f t="shared" si="12"/>
        <v>7290</v>
      </c>
      <c r="J35" s="536">
        <f t="shared" si="8"/>
        <v>-559</v>
      </c>
      <c r="K35" s="536">
        <f t="shared" si="9"/>
        <v>559</v>
      </c>
      <c r="L35" s="537">
        <f t="shared" si="10"/>
        <v>559</v>
      </c>
      <c r="M35" s="536">
        <v>168</v>
      </c>
      <c r="N35" s="536">
        <f t="shared" si="11"/>
        <v>-108</v>
      </c>
      <c r="O35" s="536">
        <v>209</v>
      </c>
      <c r="P35" s="536">
        <v>317</v>
      </c>
      <c r="Q35" s="536">
        <v>-15</v>
      </c>
      <c r="R35" s="536">
        <v>177</v>
      </c>
      <c r="S35" s="536">
        <v>337</v>
      </c>
    </row>
    <row r="36" spans="1:19" ht="12" customHeight="1">
      <c r="A36" s="722" t="s">
        <v>527</v>
      </c>
      <c r="B36" s="536">
        <v>1905</v>
      </c>
      <c r="C36" s="536">
        <v>3225</v>
      </c>
      <c r="D36" s="536">
        <v>1175</v>
      </c>
      <c r="E36" s="536">
        <f t="shared" si="6"/>
        <v>5130</v>
      </c>
      <c r="F36" s="536">
        <v>4763</v>
      </c>
      <c r="G36" s="536">
        <v>196</v>
      </c>
      <c r="H36" s="536"/>
      <c r="I36" s="536">
        <f t="shared" si="12"/>
        <v>4959</v>
      </c>
      <c r="J36" s="536">
        <f t="shared" si="8"/>
        <v>171</v>
      </c>
      <c r="K36" s="536">
        <f t="shared" si="9"/>
        <v>-171</v>
      </c>
      <c r="L36" s="537">
        <f t="shared" si="10"/>
        <v>-171</v>
      </c>
      <c r="M36" s="536">
        <v>-57</v>
      </c>
      <c r="N36" s="536">
        <f t="shared" si="11"/>
        <v>-197</v>
      </c>
      <c r="O36" s="536">
        <v>59</v>
      </c>
      <c r="P36" s="536">
        <v>256</v>
      </c>
      <c r="Q36" s="536">
        <v>-15</v>
      </c>
      <c r="R36" s="536"/>
      <c r="S36" s="536">
        <v>98</v>
      </c>
    </row>
    <row r="37" spans="1:19" ht="12" customHeight="1">
      <c r="A37" s="722" t="s">
        <v>528</v>
      </c>
      <c r="B37" s="536">
        <v>3437</v>
      </c>
      <c r="C37" s="536">
        <v>4450</v>
      </c>
      <c r="D37" s="536">
        <v>1360</v>
      </c>
      <c r="E37" s="536">
        <f t="shared" si="6"/>
        <v>7887</v>
      </c>
      <c r="F37" s="536">
        <v>7538</v>
      </c>
      <c r="G37" s="536">
        <v>409</v>
      </c>
      <c r="H37" s="536">
        <v>52</v>
      </c>
      <c r="I37" s="536">
        <f t="shared" si="12"/>
        <v>7947</v>
      </c>
      <c r="J37" s="536">
        <f t="shared" si="8"/>
        <v>-60</v>
      </c>
      <c r="K37" s="536">
        <f t="shared" si="9"/>
        <v>60</v>
      </c>
      <c r="L37" s="537">
        <f t="shared" si="10"/>
        <v>60</v>
      </c>
      <c r="M37" s="536">
        <v>80</v>
      </c>
      <c r="N37" s="536">
        <f t="shared" si="11"/>
        <v>-187</v>
      </c>
      <c r="O37" s="536">
        <v>190</v>
      </c>
      <c r="P37" s="536">
        <v>377</v>
      </c>
      <c r="Q37" s="536"/>
      <c r="R37" s="536">
        <v>56</v>
      </c>
      <c r="S37" s="536">
        <v>111</v>
      </c>
    </row>
    <row r="38" spans="1:19" ht="12" customHeight="1">
      <c r="A38" s="722" t="s">
        <v>529</v>
      </c>
      <c r="B38" s="536">
        <v>6457</v>
      </c>
      <c r="C38" s="536">
        <v>3837</v>
      </c>
      <c r="D38" s="536">
        <v>947</v>
      </c>
      <c r="E38" s="536">
        <f t="shared" si="6"/>
        <v>10294</v>
      </c>
      <c r="F38" s="536">
        <v>9200</v>
      </c>
      <c r="G38" s="536">
        <v>724</v>
      </c>
      <c r="H38" s="536">
        <v>481</v>
      </c>
      <c r="I38" s="536">
        <f t="shared" si="12"/>
        <v>9924</v>
      </c>
      <c r="J38" s="536">
        <f t="shared" si="8"/>
        <v>370</v>
      </c>
      <c r="K38" s="536">
        <f t="shared" si="9"/>
        <v>-370</v>
      </c>
      <c r="L38" s="537">
        <f t="shared" si="10"/>
        <v>-370</v>
      </c>
      <c r="M38" s="536">
        <v>-115</v>
      </c>
      <c r="N38" s="536">
        <f t="shared" si="11"/>
        <v>-533</v>
      </c>
      <c r="O38" s="536">
        <v>312</v>
      </c>
      <c r="P38" s="536">
        <v>845</v>
      </c>
      <c r="Q38" s="536">
        <v>-9</v>
      </c>
      <c r="R38" s="536">
        <v>-6</v>
      </c>
      <c r="S38" s="536">
        <v>293</v>
      </c>
    </row>
    <row r="39" spans="1:19" ht="12" customHeight="1">
      <c r="A39" s="722" t="s">
        <v>530</v>
      </c>
      <c r="B39" s="536">
        <v>2490</v>
      </c>
      <c r="C39" s="536">
        <v>4058</v>
      </c>
      <c r="D39" s="536">
        <v>1510</v>
      </c>
      <c r="E39" s="536">
        <f t="shared" si="6"/>
        <v>6548</v>
      </c>
      <c r="F39" s="536">
        <v>6480</v>
      </c>
      <c r="G39" s="536">
        <v>152</v>
      </c>
      <c r="H39" s="536"/>
      <c r="I39" s="536">
        <f t="shared" si="12"/>
        <v>6632</v>
      </c>
      <c r="J39" s="536">
        <f t="shared" si="8"/>
        <v>-84</v>
      </c>
      <c r="K39" s="536">
        <f t="shared" si="9"/>
        <v>84</v>
      </c>
      <c r="L39" s="537">
        <f t="shared" si="10"/>
        <v>84</v>
      </c>
      <c r="M39" s="536">
        <v>268</v>
      </c>
      <c r="N39" s="536">
        <f t="shared" si="11"/>
        <v>-346</v>
      </c>
      <c r="O39" s="536">
        <v>148</v>
      </c>
      <c r="P39" s="536">
        <v>494</v>
      </c>
      <c r="Q39" s="536">
        <v>-18</v>
      </c>
      <c r="R39" s="536">
        <v>15</v>
      </c>
      <c r="S39" s="536">
        <v>165</v>
      </c>
    </row>
    <row r="40" spans="1:19" ht="12" customHeight="1">
      <c r="A40" s="722" t="s">
        <v>531</v>
      </c>
      <c r="B40" s="536">
        <v>1916</v>
      </c>
      <c r="C40" s="536">
        <v>4718</v>
      </c>
      <c r="D40" s="536">
        <v>1928</v>
      </c>
      <c r="E40" s="536">
        <f t="shared" si="6"/>
        <v>6634</v>
      </c>
      <c r="F40" s="536">
        <v>6342</v>
      </c>
      <c r="G40" s="536">
        <v>304</v>
      </c>
      <c r="H40" s="536"/>
      <c r="I40" s="536">
        <f t="shared" si="12"/>
        <v>6646</v>
      </c>
      <c r="J40" s="536">
        <f t="shared" si="8"/>
        <v>-12</v>
      </c>
      <c r="K40" s="536">
        <f t="shared" si="9"/>
        <v>12</v>
      </c>
      <c r="L40" s="537">
        <f t="shared" si="10"/>
        <v>12</v>
      </c>
      <c r="M40" s="536">
        <v>43</v>
      </c>
      <c r="N40" s="536">
        <f t="shared" si="11"/>
        <v>-216</v>
      </c>
      <c r="O40" s="536">
        <v>105</v>
      </c>
      <c r="P40" s="536">
        <v>321</v>
      </c>
      <c r="Q40" s="536"/>
      <c r="R40" s="536">
        <v>15</v>
      </c>
      <c r="S40" s="536">
        <v>170</v>
      </c>
    </row>
    <row r="41" spans="1:19" ht="12" customHeight="1">
      <c r="A41" s="722" t="s">
        <v>532</v>
      </c>
      <c r="B41" s="536">
        <v>19193</v>
      </c>
      <c r="C41" s="536">
        <v>8397</v>
      </c>
      <c r="D41" s="536">
        <v>1349</v>
      </c>
      <c r="E41" s="536">
        <f t="shared" si="6"/>
        <v>27590</v>
      </c>
      <c r="F41" s="536">
        <v>24598</v>
      </c>
      <c r="G41" s="536">
        <v>3235</v>
      </c>
      <c r="H41" s="536">
        <v>2246</v>
      </c>
      <c r="I41" s="536">
        <f t="shared" si="12"/>
        <v>27833</v>
      </c>
      <c r="J41" s="536">
        <f t="shared" si="8"/>
        <v>-243</v>
      </c>
      <c r="K41" s="536">
        <f t="shared" si="9"/>
        <v>243</v>
      </c>
      <c r="L41" s="537">
        <f t="shared" si="10"/>
        <v>243</v>
      </c>
      <c r="M41" s="536">
        <v>841</v>
      </c>
      <c r="N41" s="536">
        <f t="shared" si="11"/>
        <v>-764</v>
      </c>
      <c r="O41" s="536">
        <v>1098</v>
      </c>
      <c r="P41" s="536">
        <v>1862</v>
      </c>
      <c r="Q41" s="536"/>
      <c r="R41" s="536"/>
      <c r="S41" s="536">
        <v>166</v>
      </c>
    </row>
    <row r="42" spans="1:19" ht="12" customHeight="1">
      <c r="A42" s="722" t="s">
        <v>533</v>
      </c>
      <c r="B42" s="536">
        <v>3290</v>
      </c>
      <c r="C42" s="536">
        <v>4221</v>
      </c>
      <c r="D42" s="536">
        <v>983</v>
      </c>
      <c r="E42" s="536">
        <f t="shared" si="6"/>
        <v>7511</v>
      </c>
      <c r="F42" s="536">
        <v>6974</v>
      </c>
      <c r="G42" s="536">
        <v>220</v>
      </c>
      <c r="H42" s="536">
        <v>24</v>
      </c>
      <c r="I42" s="536">
        <f t="shared" si="12"/>
        <v>7194</v>
      </c>
      <c r="J42" s="536">
        <f t="shared" si="8"/>
        <v>317</v>
      </c>
      <c r="K42" s="536">
        <f t="shared" si="9"/>
        <v>-317</v>
      </c>
      <c r="L42" s="537">
        <f t="shared" si="10"/>
        <v>-317</v>
      </c>
      <c r="M42" s="536">
        <v>-20</v>
      </c>
      <c r="N42" s="536">
        <f t="shared" si="11"/>
        <v>-209</v>
      </c>
      <c r="O42" s="536">
        <v>246</v>
      </c>
      <c r="P42" s="536">
        <v>455</v>
      </c>
      <c r="Q42" s="536"/>
      <c r="R42" s="536"/>
      <c r="S42" s="536">
        <v>-88</v>
      </c>
    </row>
    <row r="43" spans="1:19" ht="12" customHeight="1">
      <c r="A43" s="722" t="s">
        <v>534</v>
      </c>
      <c r="B43" s="536">
        <v>4166</v>
      </c>
      <c r="C43" s="536">
        <v>3820</v>
      </c>
      <c r="D43" s="536">
        <v>1184</v>
      </c>
      <c r="E43" s="536">
        <f t="shared" si="6"/>
        <v>7986</v>
      </c>
      <c r="F43" s="536">
        <v>7981</v>
      </c>
      <c r="G43" s="536">
        <v>183</v>
      </c>
      <c r="H43" s="536">
        <v>23</v>
      </c>
      <c r="I43" s="536">
        <f t="shared" si="12"/>
        <v>8164</v>
      </c>
      <c r="J43" s="536">
        <f t="shared" si="8"/>
        <v>-178</v>
      </c>
      <c r="K43" s="536">
        <f t="shared" si="9"/>
        <v>178</v>
      </c>
      <c r="L43" s="537">
        <f t="shared" si="10"/>
        <v>178</v>
      </c>
      <c r="M43" s="536">
        <v>179</v>
      </c>
      <c r="N43" s="536">
        <f t="shared" si="11"/>
        <v>-115</v>
      </c>
      <c r="O43" s="536">
        <v>207</v>
      </c>
      <c r="P43" s="536">
        <v>322</v>
      </c>
      <c r="Q43" s="536"/>
      <c r="R43" s="536">
        <v>-34</v>
      </c>
      <c r="S43" s="536">
        <v>148</v>
      </c>
    </row>
    <row r="44" spans="1:19" ht="12" customHeight="1">
      <c r="A44" s="722" t="s">
        <v>535</v>
      </c>
      <c r="B44" s="536">
        <v>5124</v>
      </c>
      <c r="C44" s="536">
        <v>6027</v>
      </c>
      <c r="D44" s="536">
        <v>1390</v>
      </c>
      <c r="E44" s="536">
        <f t="shared" si="6"/>
        <v>11151</v>
      </c>
      <c r="F44" s="536">
        <v>9921</v>
      </c>
      <c r="G44" s="536">
        <v>1018</v>
      </c>
      <c r="H44" s="536">
        <v>22</v>
      </c>
      <c r="I44" s="536">
        <f t="shared" si="12"/>
        <v>10939</v>
      </c>
      <c r="J44" s="536">
        <f t="shared" si="8"/>
        <v>212</v>
      </c>
      <c r="K44" s="536">
        <f t="shared" si="9"/>
        <v>-212</v>
      </c>
      <c r="L44" s="537">
        <f t="shared" si="10"/>
        <v>-212</v>
      </c>
      <c r="M44" s="536">
        <v>84</v>
      </c>
      <c r="N44" s="536">
        <f t="shared" si="11"/>
        <v>-358</v>
      </c>
      <c r="O44" s="536">
        <v>365</v>
      </c>
      <c r="P44" s="536">
        <v>723</v>
      </c>
      <c r="Q44" s="536">
        <v>-6</v>
      </c>
      <c r="R44" s="536">
        <v>-11</v>
      </c>
      <c r="S44" s="536">
        <v>79</v>
      </c>
    </row>
    <row r="45" spans="1:19" ht="12" customHeight="1">
      <c r="A45" s="722" t="s">
        <v>536</v>
      </c>
      <c r="B45" s="536">
        <v>3149</v>
      </c>
      <c r="C45" s="536">
        <v>2584</v>
      </c>
      <c r="D45" s="536">
        <v>709</v>
      </c>
      <c r="E45" s="536">
        <f t="shared" si="6"/>
        <v>5733</v>
      </c>
      <c r="F45" s="536">
        <v>5320</v>
      </c>
      <c r="G45" s="536">
        <v>355</v>
      </c>
      <c r="H45" s="536">
        <v>68</v>
      </c>
      <c r="I45" s="536">
        <f t="shared" si="12"/>
        <v>5675</v>
      </c>
      <c r="J45" s="536">
        <f t="shared" si="8"/>
        <v>58</v>
      </c>
      <c r="K45" s="536">
        <f t="shared" si="9"/>
        <v>-58</v>
      </c>
      <c r="L45" s="537">
        <f t="shared" si="10"/>
        <v>-58</v>
      </c>
      <c r="M45" s="536">
        <v>-22</v>
      </c>
      <c r="N45" s="536">
        <f t="shared" si="11"/>
        <v>-277</v>
      </c>
      <c r="O45" s="536">
        <v>75</v>
      </c>
      <c r="P45" s="536">
        <v>352</v>
      </c>
      <c r="Q45" s="536">
        <v>-3</v>
      </c>
      <c r="R45" s="536"/>
      <c r="S45" s="536">
        <v>244</v>
      </c>
    </row>
    <row r="46" spans="1:19" ht="12" customHeight="1">
      <c r="A46" s="722" t="s">
        <v>537</v>
      </c>
      <c r="B46" s="536">
        <v>8337</v>
      </c>
      <c r="C46" s="536">
        <v>5150</v>
      </c>
      <c r="D46" s="536">
        <v>1170</v>
      </c>
      <c r="E46" s="536">
        <f t="shared" si="6"/>
        <v>13487</v>
      </c>
      <c r="F46" s="536">
        <v>12768</v>
      </c>
      <c r="G46" s="536">
        <v>921</v>
      </c>
      <c r="H46" s="536">
        <v>327</v>
      </c>
      <c r="I46" s="536">
        <f t="shared" si="12"/>
        <v>13689</v>
      </c>
      <c r="J46" s="536">
        <f t="shared" si="8"/>
        <v>-202</v>
      </c>
      <c r="K46" s="536">
        <f t="shared" si="9"/>
        <v>202</v>
      </c>
      <c r="L46" s="537">
        <f t="shared" si="10"/>
        <v>202</v>
      </c>
      <c r="M46" s="536">
        <v>-41</v>
      </c>
      <c r="N46" s="536">
        <f t="shared" si="11"/>
        <v>-25</v>
      </c>
      <c r="O46" s="536">
        <v>292</v>
      </c>
      <c r="P46" s="536">
        <v>317</v>
      </c>
      <c r="Q46" s="536">
        <v>-59</v>
      </c>
      <c r="R46" s="536">
        <v>-8</v>
      </c>
      <c r="S46" s="536">
        <v>335</v>
      </c>
    </row>
    <row r="47" spans="1:19" ht="12" customHeight="1">
      <c r="A47" s="722" t="s">
        <v>538</v>
      </c>
      <c r="B47" s="536">
        <v>1471</v>
      </c>
      <c r="C47" s="536">
        <v>1038</v>
      </c>
      <c r="D47" s="536">
        <v>172</v>
      </c>
      <c r="E47" s="724">
        <f t="shared" si="6"/>
        <v>2509</v>
      </c>
      <c r="F47" s="536">
        <v>2809</v>
      </c>
      <c r="G47" s="536">
        <v>117</v>
      </c>
      <c r="H47" s="536">
        <v>28</v>
      </c>
      <c r="I47" s="536">
        <f t="shared" si="12"/>
        <v>2926</v>
      </c>
      <c r="J47" s="536">
        <f t="shared" si="8"/>
        <v>-417</v>
      </c>
      <c r="K47" s="536">
        <f t="shared" si="9"/>
        <v>417</v>
      </c>
      <c r="L47" s="537">
        <f t="shared" si="10"/>
        <v>417</v>
      </c>
      <c r="M47" s="536">
        <v>402</v>
      </c>
      <c r="N47" s="536">
        <f t="shared" si="11"/>
        <v>-149</v>
      </c>
      <c r="O47" s="536">
        <v>60</v>
      </c>
      <c r="P47" s="536">
        <v>209</v>
      </c>
      <c r="Q47" s="536"/>
      <c r="R47" s="536"/>
      <c r="S47" s="536">
        <v>164</v>
      </c>
    </row>
    <row r="48" spans="1:19" ht="12" customHeight="1">
      <c r="A48" s="720" t="s">
        <v>539</v>
      </c>
      <c r="B48" s="536">
        <f aca="true" t="shared" si="13" ref="B48:K48">SUM(B22:B47)</f>
        <v>105773</v>
      </c>
      <c r="C48" s="536">
        <f t="shared" si="13"/>
        <v>103312</v>
      </c>
      <c r="D48" s="536">
        <f t="shared" si="13"/>
        <v>30200</v>
      </c>
      <c r="E48" s="724">
        <f t="shared" si="13"/>
        <v>209085</v>
      </c>
      <c r="F48" s="536">
        <f t="shared" si="13"/>
        <v>197709</v>
      </c>
      <c r="G48" s="536">
        <f t="shared" si="13"/>
        <v>12505</v>
      </c>
      <c r="H48" s="536">
        <f t="shared" si="13"/>
        <v>4042</v>
      </c>
      <c r="I48" s="536">
        <f t="shared" si="13"/>
        <v>210214</v>
      </c>
      <c r="J48" s="536">
        <f t="shared" si="13"/>
        <v>-1129</v>
      </c>
      <c r="K48" s="536">
        <f t="shared" si="13"/>
        <v>1129</v>
      </c>
      <c r="L48" s="537">
        <f t="shared" si="10"/>
        <v>1129</v>
      </c>
      <c r="M48" s="536">
        <f aca="true" t="shared" si="14" ref="M48:S48">SUM(M22:M47)</f>
        <v>2625</v>
      </c>
      <c r="N48" s="536">
        <f t="shared" si="14"/>
        <v>-6173</v>
      </c>
      <c r="O48" s="536">
        <f t="shared" si="14"/>
        <v>5838</v>
      </c>
      <c r="P48" s="536">
        <f t="shared" si="14"/>
        <v>12011</v>
      </c>
      <c r="Q48" s="536">
        <f t="shared" si="14"/>
        <v>-129</v>
      </c>
      <c r="R48" s="536">
        <f t="shared" si="14"/>
        <v>87</v>
      </c>
      <c r="S48" s="536">
        <f t="shared" si="14"/>
        <v>4719</v>
      </c>
    </row>
    <row r="49" spans="1:19" ht="12" customHeight="1">
      <c r="A49" s="725" t="s">
        <v>540</v>
      </c>
      <c r="B49" s="536">
        <f aca="true" t="shared" si="15" ref="B49:K49">B48+B20</f>
        <v>268868</v>
      </c>
      <c r="C49" s="536">
        <f t="shared" si="15"/>
        <v>144159</v>
      </c>
      <c r="D49" s="536">
        <f t="shared" si="15"/>
        <v>31499</v>
      </c>
      <c r="E49" s="536">
        <f t="shared" si="15"/>
        <v>413027</v>
      </c>
      <c r="F49" s="536">
        <f t="shared" si="15"/>
        <v>397050</v>
      </c>
      <c r="G49" s="536">
        <f t="shared" si="15"/>
        <v>33590</v>
      </c>
      <c r="H49" s="536">
        <f t="shared" si="15"/>
        <v>24906</v>
      </c>
      <c r="I49" s="536">
        <f t="shared" si="15"/>
        <v>430640</v>
      </c>
      <c r="J49" s="536">
        <f t="shared" si="15"/>
        <v>-17613</v>
      </c>
      <c r="K49" s="536">
        <f t="shared" si="15"/>
        <v>17613</v>
      </c>
      <c r="L49" s="537">
        <f t="shared" si="10"/>
        <v>17613</v>
      </c>
      <c r="M49" s="536">
        <f>M48+M20</f>
        <v>2009</v>
      </c>
      <c r="N49" s="536">
        <f>O49-P49</f>
        <v>-11662</v>
      </c>
      <c r="O49" s="536">
        <f>O48+O20</f>
        <v>12129</v>
      </c>
      <c r="P49" s="536">
        <f>P48+P20</f>
        <v>23791</v>
      </c>
      <c r="Q49" s="536">
        <f>Q48+Q20</f>
        <v>989</v>
      </c>
      <c r="R49" s="536">
        <f>R48+R20</f>
        <v>21715</v>
      </c>
      <c r="S49" s="536">
        <f>S48+S20</f>
        <v>4562</v>
      </c>
    </row>
    <row r="50" s="726" customFormat="1" ht="12" customHeight="1"/>
    <row r="51" spans="1:9" s="728" customFormat="1" ht="17.25" customHeight="1">
      <c r="A51" s="727" t="s">
        <v>541</v>
      </c>
      <c r="I51" s="728" t="s">
        <v>542</v>
      </c>
    </row>
    <row r="52" s="728" customFormat="1" ht="17.25" customHeight="1">
      <c r="A52" s="727"/>
    </row>
    <row r="54" spans="1:10" ht="17.25" customHeight="1">
      <c r="A54" s="729" t="s">
        <v>733</v>
      </c>
      <c r="B54" s="730"/>
      <c r="C54" s="730"/>
      <c r="D54" s="731"/>
      <c r="E54" s="732"/>
      <c r="F54" s="731"/>
      <c r="G54" s="730"/>
      <c r="H54" s="731"/>
      <c r="J54" s="731" t="s">
        <v>959</v>
      </c>
    </row>
    <row r="55" ht="17.25" customHeight="1">
      <c r="A55" s="733"/>
    </row>
    <row r="58" spans="1:5" ht="17.25" customHeight="1">
      <c r="A58" s="888" t="s">
        <v>543</v>
      </c>
      <c r="B58" s="888"/>
      <c r="C58" s="888"/>
      <c r="D58" s="888"/>
      <c r="E58" s="888"/>
    </row>
    <row r="59" spans="1:3" ht="17.25" customHeight="1">
      <c r="A59" s="888" t="s">
        <v>316</v>
      </c>
      <c r="B59" s="888"/>
      <c r="C59" s="888"/>
    </row>
    <row r="68" s="706" customFormat="1" ht="17.25" customHeight="1">
      <c r="A68" s="733"/>
    </row>
  </sheetData>
  <mergeCells count="16">
    <mergeCell ref="A58:E58"/>
    <mergeCell ref="A59:C59"/>
    <mergeCell ref="F9:F10"/>
    <mergeCell ref="G9:G10"/>
    <mergeCell ref="D9:D10"/>
    <mergeCell ref="E9:E10"/>
    <mergeCell ref="H9:H10"/>
    <mergeCell ref="I9:I10"/>
    <mergeCell ref="A4:S4"/>
    <mergeCell ref="A5:S5"/>
    <mergeCell ref="J8:J10"/>
    <mergeCell ref="K8:K10"/>
    <mergeCell ref="S8:S10"/>
    <mergeCell ref="A8:A10"/>
    <mergeCell ref="B9:B10"/>
    <mergeCell ref="C9:C10"/>
  </mergeCells>
  <printOptions/>
  <pageMargins left="0.47" right="0.17" top="0.64" bottom="0.58" header="0.17" footer="0.28"/>
  <pageSetup firstPageNumber="38" useFirstPageNumber="1" horizontalDpi="300" verticalDpi="300" orientation="landscape" paperSize="9" scale="93" r:id="rId1"/>
  <headerFooter alignWithMargins="0">
    <oddFooter>&amp;R&amp;8&amp;P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R67"/>
  <sheetViews>
    <sheetView workbookViewId="0" topLeftCell="A1">
      <selection activeCell="B6" sqref="B6"/>
    </sheetView>
  </sheetViews>
  <sheetFormatPr defaultColWidth="9.140625" defaultRowHeight="17.25" customHeight="1"/>
  <cols>
    <col min="1" max="1" width="18.57421875" style="462" customWidth="1"/>
    <col min="2" max="2" width="7.00390625" style="38" customWidth="1"/>
    <col min="3" max="3" width="6.28125" style="38" customWidth="1"/>
    <col min="4" max="4" width="5.8515625" style="38" customWidth="1"/>
    <col min="5" max="5" width="5.8515625" style="38" hidden="1" customWidth="1"/>
    <col min="6" max="6" width="5.57421875" style="38" customWidth="1"/>
    <col min="7" max="7" width="9.140625" style="38" customWidth="1"/>
    <col min="8" max="8" width="8.00390625" style="38" customWidth="1"/>
    <col min="9" max="9" width="9.00390625" style="38" customWidth="1"/>
    <col min="10" max="10" width="6.421875" style="38" customWidth="1"/>
    <col min="11" max="11" width="8.140625" style="766" hidden="1" customWidth="1"/>
    <col min="12" max="12" width="8.421875" style="38" customWidth="1"/>
    <col min="13" max="13" width="7.57421875" style="38" customWidth="1"/>
    <col min="14" max="14" width="10.421875" style="38" customWidth="1"/>
    <col min="15" max="15" width="7.57421875" style="38" customWidth="1"/>
    <col min="16" max="16" width="7.421875" style="38" customWidth="1"/>
    <col min="17" max="17" width="9.421875" style="38" customWidth="1"/>
    <col min="18" max="18" width="6.140625" style="38" customWidth="1"/>
  </cols>
  <sheetData>
    <row r="1" spans="1:17" ht="17.25" customHeight="1">
      <c r="A1" s="38"/>
      <c r="B1" s="87"/>
      <c r="C1" s="87"/>
      <c r="D1" s="87"/>
      <c r="E1" s="87"/>
      <c r="F1" s="87"/>
      <c r="G1" s="87"/>
      <c r="H1" s="87"/>
      <c r="I1" s="87"/>
      <c r="J1" s="87"/>
      <c r="K1" s="529"/>
      <c r="L1" s="87"/>
      <c r="M1" s="87"/>
      <c r="N1" s="87"/>
      <c r="O1" s="87"/>
      <c r="P1" s="87"/>
      <c r="Q1" s="234" t="s">
        <v>544</v>
      </c>
    </row>
    <row r="2" spans="1:18" ht="17.25" customHeight="1">
      <c r="A2" s="51" t="s">
        <v>569</v>
      </c>
      <c r="B2" s="87"/>
      <c r="C2" s="87"/>
      <c r="D2" s="87"/>
      <c r="E2" s="87"/>
      <c r="F2" s="87"/>
      <c r="G2" s="87"/>
      <c r="H2" s="87"/>
      <c r="I2" s="87"/>
      <c r="J2" s="87"/>
      <c r="K2" s="529"/>
      <c r="L2" s="87"/>
      <c r="M2" s="87"/>
      <c r="N2" s="87"/>
      <c r="O2" s="87"/>
      <c r="P2" s="87"/>
      <c r="Q2" s="87"/>
      <c r="R2" s="234"/>
    </row>
    <row r="3" spans="1:18" ht="17.2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529"/>
      <c r="L3" s="87"/>
      <c r="M3" s="87"/>
      <c r="N3" s="87"/>
      <c r="O3" s="87"/>
      <c r="P3" s="87"/>
      <c r="Q3" s="87"/>
      <c r="R3" s="234"/>
    </row>
    <row r="4" spans="1:18" ht="16.5" customHeight="1">
      <c r="A4" s="539" t="s">
        <v>570</v>
      </c>
      <c r="B4" s="529"/>
      <c r="C4" s="529"/>
      <c r="D4" s="529"/>
      <c r="E4" s="529"/>
      <c r="F4" s="529"/>
      <c r="G4" s="529"/>
      <c r="H4" s="87"/>
      <c r="I4" s="87"/>
      <c r="J4" s="529"/>
      <c r="K4" s="529"/>
      <c r="L4" s="529"/>
      <c r="M4" s="529"/>
      <c r="N4" s="529"/>
      <c r="O4" s="529"/>
      <c r="P4" s="529"/>
      <c r="Q4" s="529"/>
      <c r="R4" s="529"/>
    </row>
    <row r="5" spans="1:18" ht="15" customHeight="1">
      <c r="A5" s="467" t="s">
        <v>318</v>
      </c>
      <c r="B5" s="529"/>
      <c r="C5" s="529"/>
      <c r="D5" s="529"/>
      <c r="E5" s="529"/>
      <c r="F5" s="529"/>
      <c r="G5" s="529"/>
      <c r="H5" s="529"/>
      <c r="I5" s="529"/>
      <c r="J5" s="529"/>
      <c r="K5" s="529"/>
      <c r="L5" s="529"/>
      <c r="M5" s="529"/>
      <c r="N5" s="529"/>
      <c r="O5" s="529"/>
      <c r="P5" s="529"/>
      <c r="Q5" s="529"/>
      <c r="R5" s="529"/>
    </row>
    <row r="6" spans="1:18" ht="12.75" customHeight="1">
      <c r="A6" s="530"/>
      <c r="B6" s="87"/>
      <c r="C6" s="87"/>
      <c r="D6" s="87"/>
      <c r="E6" s="87"/>
      <c r="F6" s="87"/>
      <c r="G6" s="87"/>
      <c r="H6" s="87"/>
      <c r="I6" s="87"/>
      <c r="J6" s="87"/>
      <c r="K6" s="529"/>
      <c r="L6" s="87"/>
      <c r="M6" s="87"/>
      <c r="N6" s="87"/>
      <c r="O6" s="87"/>
      <c r="P6" s="87"/>
      <c r="R6" s="2" t="s">
        <v>38</v>
      </c>
    </row>
    <row r="7" spans="1:18" ht="17.25" customHeight="1">
      <c r="A7" s="889" t="s">
        <v>571</v>
      </c>
      <c r="B7" s="889" t="s">
        <v>968</v>
      </c>
      <c r="C7" s="892" t="s">
        <v>494</v>
      </c>
      <c r="D7" s="892"/>
      <c r="E7" s="892"/>
      <c r="F7" s="892"/>
      <c r="G7" s="892" t="s">
        <v>572</v>
      </c>
      <c r="H7" s="892" t="s">
        <v>573</v>
      </c>
      <c r="I7" s="889" t="s">
        <v>574</v>
      </c>
      <c r="J7" s="889" t="s">
        <v>575</v>
      </c>
      <c r="K7" s="760"/>
      <c r="L7" s="532" t="s">
        <v>576</v>
      </c>
      <c r="M7" s="531"/>
      <c r="N7" s="531"/>
      <c r="O7" s="533"/>
      <c r="P7" s="531"/>
      <c r="Q7" s="531"/>
      <c r="R7" s="889" t="s">
        <v>577</v>
      </c>
    </row>
    <row r="8" spans="1:18" ht="17.25" customHeight="1">
      <c r="A8" s="890"/>
      <c r="B8" s="890"/>
      <c r="C8" s="893"/>
      <c r="D8" s="893"/>
      <c r="E8" s="893"/>
      <c r="F8" s="893"/>
      <c r="G8" s="892"/>
      <c r="H8" s="892"/>
      <c r="I8" s="890"/>
      <c r="J8" s="890"/>
      <c r="K8" s="761"/>
      <c r="L8" s="896" t="s">
        <v>498</v>
      </c>
      <c r="M8" s="897"/>
      <c r="N8" s="897"/>
      <c r="O8" s="897"/>
      <c r="P8" s="897"/>
      <c r="Q8" s="898"/>
      <c r="R8" s="894"/>
    </row>
    <row r="9" spans="1:18" ht="45">
      <c r="A9" s="891"/>
      <c r="B9" s="891"/>
      <c r="C9" s="9" t="s">
        <v>578</v>
      </c>
      <c r="D9" s="8" t="s">
        <v>579</v>
      </c>
      <c r="E9" s="9" t="s">
        <v>580</v>
      </c>
      <c r="F9" s="8" t="s">
        <v>581</v>
      </c>
      <c r="G9" s="892"/>
      <c r="H9" s="892"/>
      <c r="I9" s="891"/>
      <c r="J9" s="891"/>
      <c r="K9" s="829" t="s">
        <v>706</v>
      </c>
      <c r="L9" s="541" t="s">
        <v>762</v>
      </c>
      <c r="M9" s="541" t="s">
        <v>582</v>
      </c>
      <c r="N9" s="541" t="s">
        <v>500</v>
      </c>
      <c r="O9" s="541" t="s">
        <v>501</v>
      </c>
      <c r="P9" s="9" t="s">
        <v>583</v>
      </c>
      <c r="Q9" s="9" t="s">
        <v>774</v>
      </c>
      <c r="R9" s="895"/>
    </row>
    <row r="10" spans="1:18" ht="12.75">
      <c r="A10" s="9">
        <v>1</v>
      </c>
      <c r="B10" s="8">
        <v>2</v>
      </c>
      <c r="C10" s="8">
        <v>3</v>
      </c>
      <c r="D10" s="8">
        <v>4</v>
      </c>
      <c r="E10" s="8">
        <v>5</v>
      </c>
      <c r="F10" s="8">
        <v>5</v>
      </c>
      <c r="G10" s="8">
        <v>6</v>
      </c>
      <c r="H10" s="8">
        <v>7</v>
      </c>
      <c r="I10" s="8">
        <v>8</v>
      </c>
      <c r="J10" s="8">
        <v>9</v>
      </c>
      <c r="K10" s="762">
        <v>10</v>
      </c>
      <c r="L10" s="8">
        <v>10</v>
      </c>
      <c r="M10" s="8">
        <v>11</v>
      </c>
      <c r="N10" s="8">
        <v>12</v>
      </c>
      <c r="O10" s="8">
        <v>13</v>
      </c>
      <c r="P10" s="8">
        <v>14</v>
      </c>
      <c r="Q10" s="8">
        <v>15</v>
      </c>
      <c r="R10" s="8">
        <v>16</v>
      </c>
    </row>
    <row r="11" spans="1:18" ht="12" customHeight="1">
      <c r="A11" s="542" t="s">
        <v>504</v>
      </c>
      <c r="B11" s="535">
        <v>13230</v>
      </c>
      <c r="C11" s="691">
        <v>4629</v>
      </c>
      <c r="D11" s="691">
        <v>5239</v>
      </c>
      <c r="E11" s="691"/>
      <c r="F11" s="692">
        <f aca="true" t="shared" si="0" ref="F11:F17">SUM(C11:E11)</f>
        <v>9868</v>
      </c>
      <c r="G11" s="692">
        <f aca="true" t="shared" si="1" ref="G11:G45">B11-F11</f>
        <v>3362</v>
      </c>
      <c r="H11" s="692"/>
      <c r="I11" s="692">
        <f>G11-H11</f>
        <v>3362</v>
      </c>
      <c r="J11" s="692">
        <f aca="true" t="shared" si="2" ref="J11:J46">-I11</f>
        <v>-3362</v>
      </c>
      <c r="K11" s="763">
        <f aca="true" t="shared" si="3" ref="K11:K44">L11+M11+P11+Q11+R11</f>
        <v>-3362</v>
      </c>
      <c r="L11" s="692"/>
      <c r="M11" s="692">
        <f aca="true" t="shared" si="4" ref="M11:M44">N11-O11</f>
        <v>-3362</v>
      </c>
      <c r="N11" s="692">
        <v>10514</v>
      </c>
      <c r="O11" s="692">
        <v>13876</v>
      </c>
      <c r="P11" s="535"/>
      <c r="Q11" s="535"/>
      <c r="R11" s="535"/>
    </row>
    <row r="12" spans="1:18" ht="12" customHeight="1">
      <c r="A12" s="542" t="s">
        <v>505</v>
      </c>
      <c r="B12" s="535">
        <v>997</v>
      </c>
      <c r="C12" s="691">
        <v>602</v>
      </c>
      <c r="D12" s="691">
        <v>430</v>
      </c>
      <c r="E12" s="691"/>
      <c r="F12" s="692">
        <f t="shared" si="0"/>
        <v>1032</v>
      </c>
      <c r="G12" s="692">
        <f t="shared" si="1"/>
        <v>-35</v>
      </c>
      <c r="H12" s="692">
        <v>-67</v>
      </c>
      <c r="I12" s="692">
        <f>G12-H12</f>
        <v>32</v>
      </c>
      <c r="J12" s="692">
        <f t="shared" si="2"/>
        <v>-32</v>
      </c>
      <c r="K12" s="763">
        <f t="shared" si="3"/>
        <v>-32</v>
      </c>
      <c r="L12" s="692"/>
      <c r="M12" s="692">
        <f t="shared" si="4"/>
        <v>-32</v>
      </c>
      <c r="N12" s="692">
        <v>98</v>
      </c>
      <c r="O12" s="692">
        <v>130</v>
      </c>
      <c r="P12" s="535"/>
      <c r="Q12" s="535"/>
      <c r="R12" s="535"/>
    </row>
    <row r="13" spans="1:18" ht="12" customHeight="1">
      <c r="A13" s="542" t="s">
        <v>506</v>
      </c>
      <c r="B13" s="535">
        <v>807</v>
      </c>
      <c r="C13" s="691">
        <v>553</v>
      </c>
      <c r="D13" s="691">
        <v>195</v>
      </c>
      <c r="E13" s="691"/>
      <c r="F13" s="692">
        <f t="shared" si="0"/>
        <v>748</v>
      </c>
      <c r="G13" s="692">
        <f t="shared" si="1"/>
        <v>59</v>
      </c>
      <c r="H13" s="692">
        <v>37</v>
      </c>
      <c r="I13" s="692">
        <f>G13-H13</f>
        <v>22</v>
      </c>
      <c r="J13" s="692">
        <f t="shared" si="2"/>
        <v>-22</v>
      </c>
      <c r="K13" s="763">
        <f t="shared" si="3"/>
        <v>-22</v>
      </c>
      <c r="L13" s="692"/>
      <c r="M13" s="692">
        <f t="shared" si="4"/>
        <v>-22</v>
      </c>
      <c r="N13" s="692">
        <v>165</v>
      </c>
      <c r="O13" s="692">
        <v>187</v>
      </c>
      <c r="P13" s="535"/>
      <c r="Q13" s="535"/>
      <c r="R13" s="535"/>
    </row>
    <row r="14" spans="1:18" ht="12" customHeight="1">
      <c r="A14" s="542" t="s">
        <v>507</v>
      </c>
      <c r="B14" s="535">
        <v>1821</v>
      </c>
      <c r="C14" s="691">
        <v>1131</v>
      </c>
      <c r="D14" s="691">
        <v>577</v>
      </c>
      <c r="E14" s="691"/>
      <c r="F14" s="692">
        <f t="shared" si="0"/>
        <v>1708</v>
      </c>
      <c r="G14" s="692">
        <f t="shared" si="1"/>
        <v>113</v>
      </c>
      <c r="H14" s="692"/>
      <c r="I14" s="692">
        <f>G14-H14</f>
        <v>113</v>
      </c>
      <c r="J14" s="692">
        <f t="shared" si="2"/>
        <v>-113</v>
      </c>
      <c r="K14" s="763">
        <f t="shared" si="3"/>
        <v>-113</v>
      </c>
      <c r="L14" s="692"/>
      <c r="M14" s="692">
        <f t="shared" si="4"/>
        <v>-113</v>
      </c>
      <c r="N14" s="692">
        <v>74</v>
      </c>
      <c r="O14" s="692">
        <v>187</v>
      </c>
      <c r="P14" s="535"/>
      <c r="Q14" s="535"/>
      <c r="R14" s="535"/>
    </row>
    <row r="15" spans="1:18" ht="12" customHeight="1">
      <c r="A15" s="542" t="s">
        <v>508</v>
      </c>
      <c r="B15" s="535">
        <v>972</v>
      </c>
      <c r="C15" s="65">
        <v>383</v>
      </c>
      <c r="D15" s="65">
        <v>588</v>
      </c>
      <c r="E15" s="65"/>
      <c r="F15" s="535">
        <f t="shared" si="0"/>
        <v>971</v>
      </c>
      <c r="G15" s="535">
        <f t="shared" si="1"/>
        <v>1</v>
      </c>
      <c r="H15" s="535">
        <v>73</v>
      </c>
      <c r="I15" s="535">
        <f>G15-H15</f>
        <v>-72</v>
      </c>
      <c r="J15" s="535">
        <f t="shared" si="2"/>
        <v>72</v>
      </c>
      <c r="K15" s="405">
        <f t="shared" si="3"/>
        <v>72</v>
      </c>
      <c r="L15" s="535"/>
      <c r="M15" s="535">
        <f t="shared" si="4"/>
        <v>72</v>
      </c>
      <c r="N15" s="535">
        <v>646</v>
      </c>
      <c r="O15" s="535">
        <v>574</v>
      </c>
      <c r="P15" s="535"/>
      <c r="Q15" s="535"/>
      <c r="R15" s="535"/>
    </row>
    <row r="16" spans="1:18" ht="12" customHeight="1">
      <c r="A16" s="542" t="s">
        <v>509</v>
      </c>
      <c r="B16" s="535">
        <v>285</v>
      </c>
      <c r="C16" s="65">
        <v>229</v>
      </c>
      <c r="D16" s="65">
        <v>65</v>
      </c>
      <c r="E16" s="65"/>
      <c r="F16" s="535">
        <f t="shared" si="0"/>
        <v>294</v>
      </c>
      <c r="G16" s="535">
        <f t="shared" si="1"/>
        <v>-9</v>
      </c>
      <c r="H16" s="535"/>
      <c r="I16" s="535">
        <f>G16+H16</f>
        <v>-9</v>
      </c>
      <c r="J16" s="535">
        <f t="shared" si="2"/>
        <v>9</v>
      </c>
      <c r="K16" s="405">
        <f t="shared" si="3"/>
        <v>9</v>
      </c>
      <c r="L16" s="535"/>
      <c r="M16" s="535">
        <f t="shared" si="4"/>
        <v>9</v>
      </c>
      <c r="N16" s="535">
        <v>73</v>
      </c>
      <c r="O16" s="535">
        <v>64</v>
      </c>
      <c r="P16" s="535"/>
      <c r="Q16" s="535"/>
      <c r="R16" s="535"/>
    </row>
    <row r="17" spans="1:18" ht="12" customHeight="1">
      <c r="A17" s="543" t="s">
        <v>510</v>
      </c>
      <c r="B17" s="535">
        <v>2188</v>
      </c>
      <c r="C17" s="65">
        <v>1016</v>
      </c>
      <c r="D17" s="65">
        <v>2086</v>
      </c>
      <c r="E17" s="65"/>
      <c r="F17" s="535">
        <f t="shared" si="0"/>
        <v>3102</v>
      </c>
      <c r="G17" s="535">
        <f t="shared" si="1"/>
        <v>-914</v>
      </c>
      <c r="H17" s="535">
        <v>-2717</v>
      </c>
      <c r="I17" s="535">
        <f>G17-H17</f>
        <v>1803</v>
      </c>
      <c r="J17" s="535">
        <f t="shared" si="2"/>
        <v>-1803</v>
      </c>
      <c r="K17" s="405">
        <f t="shared" si="3"/>
        <v>-1803</v>
      </c>
      <c r="L17" s="535"/>
      <c r="M17" s="535">
        <f t="shared" si="4"/>
        <v>-1803</v>
      </c>
      <c r="N17" s="535">
        <v>1125</v>
      </c>
      <c r="O17" s="535">
        <v>2928</v>
      </c>
      <c r="P17" s="535"/>
      <c r="Q17" s="535"/>
      <c r="R17" s="535"/>
    </row>
    <row r="18" spans="1:18" ht="12" customHeight="1">
      <c r="A18" s="544" t="s">
        <v>511</v>
      </c>
      <c r="B18" s="692">
        <f>SUM(B11:B17)</f>
        <v>20300</v>
      </c>
      <c r="C18" s="692">
        <f>SUM(C11:C17)</f>
        <v>8543</v>
      </c>
      <c r="D18" s="692">
        <f>SUM(D11:D17)</f>
        <v>9180</v>
      </c>
      <c r="E18" s="692">
        <f>SUM(E11:E17)</f>
        <v>0</v>
      </c>
      <c r="F18" s="692">
        <f>SUM(F11:F17)</f>
        <v>17723</v>
      </c>
      <c r="G18" s="692">
        <f t="shared" si="1"/>
        <v>2577</v>
      </c>
      <c r="H18" s="692">
        <f>SUM(H11:H17)</f>
        <v>-2674</v>
      </c>
      <c r="I18" s="692">
        <f>SUM(I11:I17)</f>
        <v>5251</v>
      </c>
      <c r="J18" s="692">
        <f t="shared" si="2"/>
        <v>-5251</v>
      </c>
      <c r="K18" s="763">
        <f t="shared" si="3"/>
        <v>-5251</v>
      </c>
      <c r="L18" s="692">
        <f>SUM(L11:L17)</f>
        <v>0</v>
      </c>
      <c r="M18" s="692">
        <f t="shared" si="4"/>
        <v>-5251</v>
      </c>
      <c r="N18" s="692">
        <f>SUM(N11:N17)</f>
        <v>12695</v>
      </c>
      <c r="O18" s="692">
        <f>SUM(O11:O17)</f>
        <v>17946</v>
      </c>
      <c r="P18" s="535">
        <f>SUM(P11:P17)</f>
        <v>0</v>
      </c>
      <c r="Q18" s="535">
        <f>SUM(Q11:Q17)</f>
        <v>0</v>
      </c>
      <c r="R18" s="535">
        <f>SUM(R11:R17)</f>
        <v>0</v>
      </c>
    </row>
    <row r="19" spans="1:18" ht="12.75">
      <c r="A19" s="545" t="s">
        <v>513</v>
      </c>
      <c r="B19" s="692">
        <v>471</v>
      </c>
      <c r="C19" s="691">
        <v>414</v>
      </c>
      <c r="D19" s="691">
        <v>47</v>
      </c>
      <c r="E19" s="691"/>
      <c r="F19" s="692">
        <f aca="true" t="shared" si="5" ref="F19:F44">SUM(C19:E19)</f>
        <v>461</v>
      </c>
      <c r="G19" s="692">
        <f t="shared" si="1"/>
        <v>10</v>
      </c>
      <c r="H19" s="692"/>
      <c r="I19" s="692">
        <f aca="true" t="shared" si="6" ref="I19:I44">G19-H19</f>
        <v>10</v>
      </c>
      <c r="J19" s="692">
        <f t="shared" si="2"/>
        <v>-10</v>
      </c>
      <c r="K19" s="763">
        <f t="shared" si="3"/>
        <v>-10</v>
      </c>
      <c r="L19" s="692"/>
      <c r="M19" s="692">
        <f t="shared" si="4"/>
        <v>-10</v>
      </c>
      <c r="N19" s="692">
        <v>134</v>
      </c>
      <c r="O19" s="692">
        <v>144</v>
      </c>
      <c r="P19" s="535"/>
      <c r="Q19" s="535"/>
      <c r="R19" s="535"/>
    </row>
    <row r="20" spans="1:18" ht="12" customHeight="1">
      <c r="A20" s="542" t="s">
        <v>514</v>
      </c>
      <c r="B20" s="692">
        <v>384</v>
      </c>
      <c r="C20" s="691">
        <v>371</v>
      </c>
      <c r="D20" s="691">
        <v>3</v>
      </c>
      <c r="E20" s="691"/>
      <c r="F20" s="692">
        <f t="shared" si="5"/>
        <v>374</v>
      </c>
      <c r="G20" s="692">
        <f t="shared" si="1"/>
        <v>10</v>
      </c>
      <c r="H20" s="692">
        <v>-15</v>
      </c>
      <c r="I20" s="692">
        <f t="shared" si="6"/>
        <v>25</v>
      </c>
      <c r="J20" s="692">
        <f t="shared" si="2"/>
        <v>-25</v>
      </c>
      <c r="K20" s="763">
        <f t="shared" si="3"/>
        <v>-25</v>
      </c>
      <c r="L20" s="692">
        <v>-7</v>
      </c>
      <c r="M20" s="692">
        <f t="shared" si="4"/>
        <v>-16</v>
      </c>
      <c r="N20" s="692">
        <v>121</v>
      </c>
      <c r="O20" s="692">
        <v>137</v>
      </c>
      <c r="P20" s="535"/>
      <c r="Q20" s="535">
        <v>-2</v>
      </c>
      <c r="R20" s="535"/>
    </row>
    <row r="21" spans="1:18" ht="12" customHeight="1">
      <c r="A21" s="542" t="s">
        <v>515</v>
      </c>
      <c r="B21" s="692">
        <v>438</v>
      </c>
      <c r="C21" s="691">
        <v>406</v>
      </c>
      <c r="D21" s="691">
        <v>3</v>
      </c>
      <c r="E21" s="691"/>
      <c r="F21" s="692">
        <f t="shared" si="5"/>
        <v>409</v>
      </c>
      <c r="G21" s="692">
        <f t="shared" si="1"/>
        <v>29</v>
      </c>
      <c r="H21" s="692">
        <v>7</v>
      </c>
      <c r="I21" s="692">
        <f t="shared" si="6"/>
        <v>22</v>
      </c>
      <c r="J21" s="692">
        <f t="shared" si="2"/>
        <v>-22</v>
      </c>
      <c r="K21" s="763">
        <f t="shared" si="3"/>
        <v>-22</v>
      </c>
      <c r="L21" s="692"/>
      <c r="M21" s="692">
        <f t="shared" si="4"/>
        <v>-22</v>
      </c>
      <c r="N21" s="692">
        <v>85</v>
      </c>
      <c r="O21" s="692">
        <v>107</v>
      </c>
      <c r="P21" s="535"/>
      <c r="Q21" s="535"/>
      <c r="R21" s="535"/>
    </row>
    <row r="22" spans="1:18" ht="12" customHeight="1">
      <c r="A22" s="542" t="s">
        <v>516</v>
      </c>
      <c r="B22" s="692">
        <v>628</v>
      </c>
      <c r="C22" s="691">
        <v>576</v>
      </c>
      <c r="D22" s="691">
        <v>14</v>
      </c>
      <c r="E22" s="691"/>
      <c r="F22" s="692">
        <f t="shared" si="5"/>
        <v>590</v>
      </c>
      <c r="G22" s="692">
        <f t="shared" si="1"/>
        <v>38</v>
      </c>
      <c r="H22" s="692">
        <v>-9</v>
      </c>
      <c r="I22" s="692">
        <f t="shared" si="6"/>
        <v>47</v>
      </c>
      <c r="J22" s="692">
        <f t="shared" si="2"/>
        <v>-47</v>
      </c>
      <c r="K22" s="763">
        <f t="shared" si="3"/>
        <v>-47</v>
      </c>
      <c r="L22" s="692"/>
      <c r="M22" s="692">
        <f t="shared" si="4"/>
        <v>-47</v>
      </c>
      <c r="N22" s="692">
        <v>174</v>
      </c>
      <c r="O22" s="692">
        <v>221</v>
      </c>
      <c r="P22" s="535"/>
      <c r="Q22" s="535"/>
      <c r="R22" s="535"/>
    </row>
    <row r="23" spans="1:18" ht="12" customHeight="1">
      <c r="A23" s="542" t="s">
        <v>517</v>
      </c>
      <c r="B23" s="692">
        <v>1022</v>
      </c>
      <c r="C23" s="691">
        <v>761</v>
      </c>
      <c r="D23" s="691">
        <v>267</v>
      </c>
      <c r="E23" s="691"/>
      <c r="F23" s="692">
        <f t="shared" si="5"/>
        <v>1028</v>
      </c>
      <c r="G23" s="692">
        <f t="shared" si="1"/>
        <v>-6</v>
      </c>
      <c r="H23" s="692">
        <v>-27</v>
      </c>
      <c r="I23" s="692">
        <f t="shared" si="6"/>
        <v>21</v>
      </c>
      <c r="J23" s="692">
        <f t="shared" si="2"/>
        <v>-21</v>
      </c>
      <c r="K23" s="763">
        <f t="shared" si="3"/>
        <v>-21</v>
      </c>
      <c r="L23" s="692">
        <v>1</v>
      </c>
      <c r="M23" s="692">
        <f t="shared" si="4"/>
        <v>-22</v>
      </c>
      <c r="N23" s="692">
        <v>144</v>
      </c>
      <c r="O23" s="692">
        <v>166</v>
      </c>
      <c r="P23" s="535"/>
      <c r="Q23" s="535"/>
      <c r="R23" s="535"/>
    </row>
    <row r="24" spans="1:18" ht="12.75">
      <c r="A24" s="542" t="s">
        <v>518</v>
      </c>
      <c r="B24" s="692">
        <v>745</v>
      </c>
      <c r="C24" s="691">
        <v>586</v>
      </c>
      <c r="D24" s="691">
        <v>160</v>
      </c>
      <c r="E24" s="691"/>
      <c r="F24" s="692">
        <f t="shared" si="5"/>
        <v>746</v>
      </c>
      <c r="G24" s="692">
        <f t="shared" si="1"/>
        <v>-1</v>
      </c>
      <c r="H24" s="692"/>
      <c r="I24" s="692">
        <f t="shared" si="6"/>
        <v>-1</v>
      </c>
      <c r="J24" s="692">
        <f t="shared" si="2"/>
        <v>1</v>
      </c>
      <c r="K24" s="763">
        <f t="shared" si="3"/>
        <v>1</v>
      </c>
      <c r="L24" s="692"/>
      <c r="M24" s="692">
        <f t="shared" si="4"/>
        <v>1</v>
      </c>
      <c r="N24" s="692">
        <v>99</v>
      </c>
      <c r="O24" s="692">
        <v>98</v>
      </c>
      <c r="P24" s="535"/>
      <c r="Q24" s="535"/>
      <c r="R24" s="535"/>
    </row>
    <row r="25" spans="1:18" ht="12" customHeight="1">
      <c r="A25" s="542" t="s">
        <v>519</v>
      </c>
      <c r="B25" s="692">
        <v>419</v>
      </c>
      <c r="C25" s="691">
        <v>345</v>
      </c>
      <c r="D25" s="691">
        <v>159</v>
      </c>
      <c r="E25" s="691"/>
      <c r="F25" s="692">
        <f t="shared" si="5"/>
        <v>504</v>
      </c>
      <c r="G25" s="692">
        <f t="shared" si="1"/>
        <v>-85</v>
      </c>
      <c r="H25" s="692">
        <v>2</v>
      </c>
      <c r="I25" s="692">
        <f t="shared" si="6"/>
        <v>-87</v>
      </c>
      <c r="J25" s="692">
        <f t="shared" si="2"/>
        <v>87</v>
      </c>
      <c r="K25" s="763">
        <f t="shared" si="3"/>
        <v>87</v>
      </c>
      <c r="L25" s="692"/>
      <c r="M25" s="692">
        <f t="shared" si="4"/>
        <v>87</v>
      </c>
      <c r="N25" s="692">
        <v>227</v>
      </c>
      <c r="O25" s="692">
        <v>140</v>
      </c>
      <c r="P25" s="535"/>
      <c r="Q25" s="535"/>
      <c r="R25" s="535"/>
    </row>
    <row r="26" spans="1:18" ht="12" customHeight="1">
      <c r="A26" s="542" t="s">
        <v>520</v>
      </c>
      <c r="B26" s="692">
        <v>378</v>
      </c>
      <c r="C26" s="691">
        <v>429</v>
      </c>
      <c r="D26" s="691">
        <v>10</v>
      </c>
      <c r="E26" s="691"/>
      <c r="F26" s="692">
        <f t="shared" si="5"/>
        <v>439</v>
      </c>
      <c r="G26" s="692">
        <f t="shared" si="1"/>
        <v>-61</v>
      </c>
      <c r="H26" s="692">
        <v>-3</v>
      </c>
      <c r="I26" s="692">
        <f t="shared" si="6"/>
        <v>-58</v>
      </c>
      <c r="J26" s="692">
        <f t="shared" si="2"/>
        <v>58</v>
      </c>
      <c r="K26" s="763">
        <f t="shared" si="3"/>
        <v>58</v>
      </c>
      <c r="L26" s="692"/>
      <c r="M26" s="692">
        <f t="shared" si="4"/>
        <v>58</v>
      </c>
      <c r="N26" s="692">
        <v>135</v>
      </c>
      <c r="O26" s="692">
        <v>77</v>
      </c>
      <c r="P26" s="535"/>
      <c r="Q26" s="535"/>
      <c r="R26" s="535"/>
    </row>
    <row r="27" spans="1:18" ht="12" customHeight="1">
      <c r="A27" s="542" t="s">
        <v>521</v>
      </c>
      <c r="B27" s="692">
        <v>458</v>
      </c>
      <c r="C27" s="691">
        <v>404</v>
      </c>
      <c r="D27" s="691">
        <v>16</v>
      </c>
      <c r="E27" s="691"/>
      <c r="F27" s="692">
        <f t="shared" si="5"/>
        <v>420</v>
      </c>
      <c r="G27" s="692">
        <f t="shared" si="1"/>
        <v>38</v>
      </c>
      <c r="H27" s="692">
        <v>-16</v>
      </c>
      <c r="I27" s="692">
        <f t="shared" si="6"/>
        <v>54</v>
      </c>
      <c r="J27" s="692">
        <f t="shared" si="2"/>
        <v>-54</v>
      </c>
      <c r="K27" s="763">
        <f t="shared" si="3"/>
        <v>-54</v>
      </c>
      <c r="L27" s="692"/>
      <c r="M27" s="692">
        <f t="shared" si="4"/>
        <v>-34</v>
      </c>
      <c r="N27" s="692">
        <v>112</v>
      </c>
      <c r="O27" s="692">
        <v>146</v>
      </c>
      <c r="P27" s="535">
        <v>-20</v>
      </c>
      <c r="Q27" s="535"/>
      <c r="R27" s="535"/>
    </row>
    <row r="28" spans="1:18" ht="12" customHeight="1">
      <c r="A28" s="542" t="s">
        <v>522</v>
      </c>
      <c r="B28" s="692">
        <v>716</v>
      </c>
      <c r="C28" s="691">
        <v>546</v>
      </c>
      <c r="D28" s="691">
        <v>176</v>
      </c>
      <c r="E28" s="691"/>
      <c r="F28" s="692">
        <f t="shared" si="5"/>
        <v>722</v>
      </c>
      <c r="G28" s="692">
        <f t="shared" si="1"/>
        <v>-6</v>
      </c>
      <c r="H28" s="692">
        <v>-56</v>
      </c>
      <c r="I28" s="692">
        <f t="shared" si="6"/>
        <v>50</v>
      </c>
      <c r="J28" s="692">
        <f t="shared" si="2"/>
        <v>-50</v>
      </c>
      <c r="K28" s="763">
        <f t="shared" si="3"/>
        <v>-50</v>
      </c>
      <c r="L28" s="692">
        <v>2</v>
      </c>
      <c r="M28" s="692">
        <f t="shared" si="4"/>
        <v>-51</v>
      </c>
      <c r="N28" s="692">
        <v>112</v>
      </c>
      <c r="O28" s="692">
        <v>163</v>
      </c>
      <c r="P28" s="535"/>
      <c r="Q28" s="535">
        <v>-1</v>
      </c>
      <c r="R28" s="535"/>
    </row>
    <row r="29" spans="1:18" ht="12.75">
      <c r="A29" s="542" t="s">
        <v>523</v>
      </c>
      <c r="B29" s="692">
        <v>612</v>
      </c>
      <c r="C29" s="691">
        <v>587</v>
      </c>
      <c r="D29" s="691">
        <v>13</v>
      </c>
      <c r="E29" s="691"/>
      <c r="F29" s="692">
        <f t="shared" si="5"/>
        <v>600</v>
      </c>
      <c r="G29" s="692">
        <f t="shared" si="1"/>
        <v>12</v>
      </c>
      <c r="H29" s="692">
        <v>1</v>
      </c>
      <c r="I29" s="692">
        <f t="shared" si="6"/>
        <v>11</v>
      </c>
      <c r="J29" s="692">
        <f t="shared" si="2"/>
        <v>-11</v>
      </c>
      <c r="K29" s="763">
        <f t="shared" si="3"/>
        <v>-11</v>
      </c>
      <c r="L29" s="692">
        <v>-1</v>
      </c>
      <c r="M29" s="692">
        <f t="shared" si="4"/>
        <v>-10</v>
      </c>
      <c r="N29" s="692">
        <v>134</v>
      </c>
      <c r="O29" s="692">
        <v>144</v>
      </c>
      <c r="P29" s="535"/>
      <c r="Q29" s="535"/>
      <c r="R29" s="535"/>
    </row>
    <row r="30" spans="1:18" ht="12" customHeight="1">
      <c r="A30" s="542" t="s">
        <v>524</v>
      </c>
      <c r="B30" s="692">
        <v>584</v>
      </c>
      <c r="C30" s="691">
        <v>567</v>
      </c>
      <c r="D30" s="691">
        <v>156</v>
      </c>
      <c r="E30" s="691"/>
      <c r="F30" s="692">
        <f t="shared" si="5"/>
        <v>723</v>
      </c>
      <c r="G30" s="692">
        <f t="shared" si="1"/>
        <v>-139</v>
      </c>
      <c r="H30" s="692">
        <v>12</v>
      </c>
      <c r="I30" s="692">
        <f t="shared" si="6"/>
        <v>-151</v>
      </c>
      <c r="J30" s="692">
        <f t="shared" si="2"/>
        <v>151</v>
      </c>
      <c r="K30" s="763">
        <f t="shared" si="3"/>
        <v>151</v>
      </c>
      <c r="L30" s="692">
        <v>-3</v>
      </c>
      <c r="M30" s="692">
        <f t="shared" si="4"/>
        <v>154</v>
      </c>
      <c r="N30" s="692">
        <v>287</v>
      </c>
      <c r="O30" s="692">
        <v>133</v>
      </c>
      <c r="P30" s="535"/>
      <c r="Q30" s="535"/>
      <c r="R30" s="535"/>
    </row>
    <row r="31" spans="1:18" ht="12" customHeight="1">
      <c r="A31" s="542" t="s">
        <v>525</v>
      </c>
      <c r="B31" s="692">
        <v>757</v>
      </c>
      <c r="C31" s="691">
        <v>648</v>
      </c>
      <c r="D31" s="691">
        <v>77</v>
      </c>
      <c r="E31" s="691"/>
      <c r="F31" s="692">
        <f t="shared" si="5"/>
        <v>725</v>
      </c>
      <c r="G31" s="692">
        <f t="shared" si="1"/>
        <v>32</v>
      </c>
      <c r="H31" s="692">
        <v>53</v>
      </c>
      <c r="I31" s="692">
        <f t="shared" si="6"/>
        <v>-21</v>
      </c>
      <c r="J31" s="692">
        <f t="shared" si="2"/>
        <v>21</v>
      </c>
      <c r="K31" s="763">
        <f t="shared" si="3"/>
        <v>21</v>
      </c>
      <c r="L31" s="692">
        <v>6</v>
      </c>
      <c r="M31" s="692">
        <f t="shared" si="4"/>
        <v>45</v>
      </c>
      <c r="N31" s="692">
        <v>228</v>
      </c>
      <c r="O31" s="692">
        <v>183</v>
      </c>
      <c r="P31" s="535">
        <v>-30</v>
      </c>
      <c r="Q31" s="535"/>
      <c r="R31" s="535"/>
    </row>
    <row r="32" spans="1:18" ht="12" customHeight="1">
      <c r="A32" s="542" t="s">
        <v>526</v>
      </c>
      <c r="B32" s="692">
        <v>839</v>
      </c>
      <c r="C32" s="691">
        <v>751</v>
      </c>
      <c r="D32" s="691">
        <v>35</v>
      </c>
      <c r="E32" s="691"/>
      <c r="F32" s="692">
        <f t="shared" si="5"/>
        <v>786</v>
      </c>
      <c r="G32" s="692">
        <f t="shared" si="1"/>
        <v>53</v>
      </c>
      <c r="H32" s="692">
        <v>7</v>
      </c>
      <c r="I32" s="692">
        <f t="shared" si="6"/>
        <v>46</v>
      </c>
      <c r="J32" s="692">
        <f t="shared" si="2"/>
        <v>-46</v>
      </c>
      <c r="K32" s="763">
        <f t="shared" si="3"/>
        <v>-46</v>
      </c>
      <c r="L32" s="692"/>
      <c r="M32" s="692">
        <f t="shared" si="4"/>
        <v>-46</v>
      </c>
      <c r="N32" s="692">
        <v>145</v>
      </c>
      <c r="O32" s="692">
        <v>191</v>
      </c>
      <c r="P32" s="535"/>
      <c r="Q32" s="535"/>
      <c r="R32" s="535"/>
    </row>
    <row r="33" spans="1:18" ht="12" customHeight="1">
      <c r="A33" s="542" t="s">
        <v>527</v>
      </c>
      <c r="B33" s="692">
        <v>524</v>
      </c>
      <c r="C33" s="691">
        <v>473</v>
      </c>
      <c r="D33" s="691">
        <v>63</v>
      </c>
      <c r="E33" s="691"/>
      <c r="F33" s="692">
        <f t="shared" si="5"/>
        <v>536</v>
      </c>
      <c r="G33" s="692">
        <f t="shared" si="1"/>
        <v>-12</v>
      </c>
      <c r="H33" s="692">
        <v>3</v>
      </c>
      <c r="I33" s="692">
        <f t="shared" si="6"/>
        <v>-15</v>
      </c>
      <c r="J33" s="692">
        <f t="shared" si="2"/>
        <v>15</v>
      </c>
      <c r="K33" s="763">
        <f t="shared" si="3"/>
        <v>15</v>
      </c>
      <c r="L33" s="692">
        <v>1</v>
      </c>
      <c r="M33" s="692">
        <f t="shared" si="4"/>
        <v>14</v>
      </c>
      <c r="N33" s="692">
        <v>134</v>
      </c>
      <c r="O33" s="692">
        <v>120</v>
      </c>
      <c r="P33" s="535"/>
      <c r="Q33" s="535"/>
      <c r="R33" s="535"/>
    </row>
    <row r="34" spans="1:18" ht="12" customHeight="1">
      <c r="A34" s="542" t="s">
        <v>528</v>
      </c>
      <c r="B34" s="535">
        <v>725</v>
      </c>
      <c r="C34" s="691">
        <v>662</v>
      </c>
      <c r="D34" s="691">
        <v>37</v>
      </c>
      <c r="E34" s="691"/>
      <c r="F34" s="692">
        <f t="shared" si="5"/>
        <v>699</v>
      </c>
      <c r="G34" s="692">
        <f t="shared" si="1"/>
        <v>26</v>
      </c>
      <c r="H34" s="692">
        <v>1</v>
      </c>
      <c r="I34" s="692">
        <f t="shared" si="6"/>
        <v>25</v>
      </c>
      <c r="J34" s="692">
        <f t="shared" si="2"/>
        <v>-25</v>
      </c>
      <c r="K34" s="763">
        <f t="shared" si="3"/>
        <v>-25</v>
      </c>
      <c r="L34" s="692"/>
      <c r="M34" s="692">
        <f t="shared" si="4"/>
        <v>-25</v>
      </c>
      <c r="N34" s="692">
        <v>130</v>
      </c>
      <c r="O34" s="692">
        <v>155</v>
      </c>
      <c r="P34" s="535"/>
      <c r="Q34" s="535"/>
      <c r="R34" s="535"/>
    </row>
    <row r="35" spans="1:18" ht="12" customHeight="1">
      <c r="A35" s="542" t="s">
        <v>529</v>
      </c>
      <c r="B35" s="535">
        <v>619</v>
      </c>
      <c r="C35" s="691">
        <v>577</v>
      </c>
      <c r="D35" s="691">
        <v>40</v>
      </c>
      <c r="E35" s="691"/>
      <c r="F35" s="692">
        <f t="shared" si="5"/>
        <v>617</v>
      </c>
      <c r="G35" s="692">
        <f t="shared" si="1"/>
        <v>2</v>
      </c>
      <c r="H35" s="692">
        <v>1</v>
      </c>
      <c r="I35" s="692">
        <f t="shared" si="6"/>
        <v>1</v>
      </c>
      <c r="J35" s="692">
        <f t="shared" si="2"/>
        <v>-1</v>
      </c>
      <c r="K35" s="763">
        <f t="shared" si="3"/>
        <v>-1</v>
      </c>
      <c r="L35" s="692"/>
      <c r="M35" s="692">
        <f t="shared" si="4"/>
        <v>-6</v>
      </c>
      <c r="N35" s="692">
        <v>219</v>
      </c>
      <c r="O35" s="692">
        <v>225</v>
      </c>
      <c r="P35" s="535"/>
      <c r="Q35" s="535">
        <v>5</v>
      </c>
      <c r="R35" s="535"/>
    </row>
    <row r="36" spans="1:18" ht="12" customHeight="1">
      <c r="A36" s="542" t="s">
        <v>530</v>
      </c>
      <c r="B36" s="535">
        <v>1011</v>
      </c>
      <c r="C36" s="691">
        <v>962</v>
      </c>
      <c r="D36" s="691">
        <v>123</v>
      </c>
      <c r="E36" s="691"/>
      <c r="F36" s="692">
        <f t="shared" si="5"/>
        <v>1085</v>
      </c>
      <c r="G36" s="692">
        <f t="shared" si="1"/>
        <v>-74</v>
      </c>
      <c r="H36" s="692">
        <v>-3</v>
      </c>
      <c r="I36" s="692">
        <f t="shared" si="6"/>
        <v>-71</v>
      </c>
      <c r="J36" s="692">
        <f t="shared" si="2"/>
        <v>71</v>
      </c>
      <c r="K36" s="763">
        <f t="shared" si="3"/>
        <v>71</v>
      </c>
      <c r="L36" s="692">
        <v>-16</v>
      </c>
      <c r="M36" s="692">
        <f t="shared" si="4"/>
        <v>87</v>
      </c>
      <c r="N36" s="692">
        <v>191</v>
      </c>
      <c r="O36" s="692">
        <v>104</v>
      </c>
      <c r="P36" s="535"/>
      <c r="Q36" s="535"/>
      <c r="R36" s="535"/>
    </row>
    <row r="37" spans="1:18" ht="12" customHeight="1">
      <c r="A37" s="542" t="s">
        <v>531</v>
      </c>
      <c r="B37" s="535">
        <v>596</v>
      </c>
      <c r="C37" s="691">
        <v>520</v>
      </c>
      <c r="D37" s="691">
        <v>48</v>
      </c>
      <c r="E37" s="691"/>
      <c r="F37" s="692">
        <f t="shared" si="5"/>
        <v>568</v>
      </c>
      <c r="G37" s="692">
        <f t="shared" si="1"/>
        <v>28</v>
      </c>
      <c r="H37" s="692"/>
      <c r="I37" s="692">
        <f t="shared" si="6"/>
        <v>28</v>
      </c>
      <c r="J37" s="692">
        <f t="shared" si="2"/>
        <v>-28</v>
      </c>
      <c r="K37" s="763">
        <f t="shared" si="3"/>
        <v>-28</v>
      </c>
      <c r="L37" s="692"/>
      <c r="M37" s="692">
        <f t="shared" si="4"/>
        <v>-28</v>
      </c>
      <c r="N37" s="692">
        <v>128</v>
      </c>
      <c r="O37" s="692">
        <v>156</v>
      </c>
      <c r="P37" s="535"/>
      <c r="Q37" s="535"/>
      <c r="R37" s="535"/>
    </row>
    <row r="38" spans="1:18" ht="12" customHeight="1">
      <c r="A38" s="542" t="s">
        <v>532</v>
      </c>
      <c r="B38" s="535">
        <v>1884</v>
      </c>
      <c r="C38" s="691">
        <v>1606</v>
      </c>
      <c r="D38" s="691">
        <v>134</v>
      </c>
      <c r="E38" s="691"/>
      <c r="F38" s="692">
        <f t="shared" si="5"/>
        <v>1740</v>
      </c>
      <c r="G38" s="692">
        <f t="shared" si="1"/>
        <v>144</v>
      </c>
      <c r="H38" s="692">
        <v>-17</v>
      </c>
      <c r="I38" s="692">
        <f t="shared" si="6"/>
        <v>161</v>
      </c>
      <c r="J38" s="692">
        <f t="shared" si="2"/>
        <v>-161</v>
      </c>
      <c r="K38" s="763">
        <f t="shared" si="3"/>
        <v>-161</v>
      </c>
      <c r="L38" s="692"/>
      <c r="M38" s="692">
        <f t="shared" si="4"/>
        <v>-161</v>
      </c>
      <c r="N38" s="692">
        <v>371</v>
      </c>
      <c r="O38" s="692">
        <v>532</v>
      </c>
      <c r="P38" s="535"/>
      <c r="Q38" s="535"/>
      <c r="R38" s="535"/>
    </row>
    <row r="39" spans="1:18" ht="12" customHeight="1">
      <c r="A39" s="542" t="s">
        <v>533</v>
      </c>
      <c r="B39" s="535">
        <v>380</v>
      </c>
      <c r="C39" s="691">
        <v>311</v>
      </c>
      <c r="D39" s="691">
        <v>65</v>
      </c>
      <c r="E39" s="691"/>
      <c r="F39" s="692">
        <f t="shared" si="5"/>
        <v>376</v>
      </c>
      <c r="G39" s="692">
        <f t="shared" si="1"/>
        <v>4</v>
      </c>
      <c r="H39" s="692">
        <v>-7</v>
      </c>
      <c r="I39" s="692">
        <f t="shared" si="6"/>
        <v>11</v>
      </c>
      <c r="J39" s="692">
        <f t="shared" si="2"/>
        <v>-11</v>
      </c>
      <c r="K39" s="763">
        <f t="shared" si="3"/>
        <v>-11</v>
      </c>
      <c r="L39" s="692">
        <v>3</v>
      </c>
      <c r="M39" s="692">
        <f t="shared" si="4"/>
        <v>-14</v>
      </c>
      <c r="N39" s="692">
        <v>155</v>
      </c>
      <c r="O39" s="692">
        <v>169</v>
      </c>
      <c r="P39" s="535"/>
      <c r="Q39" s="535"/>
      <c r="R39" s="535"/>
    </row>
    <row r="40" spans="1:18" ht="12" customHeight="1">
      <c r="A40" s="542" t="s">
        <v>534</v>
      </c>
      <c r="B40" s="535">
        <v>553</v>
      </c>
      <c r="C40" s="691">
        <v>428</v>
      </c>
      <c r="D40" s="691">
        <v>197</v>
      </c>
      <c r="E40" s="691"/>
      <c r="F40" s="692">
        <f t="shared" si="5"/>
        <v>625</v>
      </c>
      <c r="G40" s="692">
        <f t="shared" si="1"/>
        <v>-72</v>
      </c>
      <c r="H40" s="692">
        <v>27</v>
      </c>
      <c r="I40" s="692">
        <f t="shared" si="6"/>
        <v>-99</v>
      </c>
      <c r="J40" s="692">
        <f t="shared" si="2"/>
        <v>99</v>
      </c>
      <c r="K40" s="763">
        <f t="shared" si="3"/>
        <v>99</v>
      </c>
      <c r="L40" s="692"/>
      <c r="M40" s="692">
        <f t="shared" si="4"/>
        <v>99</v>
      </c>
      <c r="N40" s="692">
        <v>350</v>
      </c>
      <c r="O40" s="692">
        <v>251</v>
      </c>
      <c r="P40" s="535"/>
      <c r="Q40" s="535"/>
      <c r="R40" s="535"/>
    </row>
    <row r="41" spans="1:18" ht="12" customHeight="1">
      <c r="A41" s="542" t="s">
        <v>535</v>
      </c>
      <c r="B41" s="535">
        <v>564</v>
      </c>
      <c r="C41" s="65">
        <v>755</v>
      </c>
      <c r="D41" s="65">
        <v>99</v>
      </c>
      <c r="E41" s="65"/>
      <c r="F41" s="535">
        <f t="shared" si="5"/>
        <v>854</v>
      </c>
      <c r="G41" s="535">
        <f t="shared" si="1"/>
        <v>-290</v>
      </c>
      <c r="H41" s="535">
        <v>3</v>
      </c>
      <c r="I41" s="535">
        <f t="shared" si="6"/>
        <v>-293</v>
      </c>
      <c r="J41" s="535">
        <f t="shared" si="2"/>
        <v>293</v>
      </c>
      <c r="K41" s="405">
        <f t="shared" si="3"/>
        <v>293</v>
      </c>
      <c r="L41" s="535">
        <v>1</v>
      </c>
      <c r="M41" s="692">
        <f t="shared" si="4"/>
        <v>286</v>
      </c>
      <c r="N41" s="535">
        <v>448</v>
      </c>
      <c r="O41" s="535">
        <v>162</v>
      </c>
      <c r="P41" s="535"/>
      <c r="Q41" s="535">
        <v>6</v>
      </c>
      <c r="R41" s="535"/>
    </row>
    <row r="42" spans="1:18" ht="12" customHeight="1">
      <c r="A42" s="542" t="s">
        <v>536</v>
      </c>
      <c r="B42" s="535">
        <v>384</v>
      </c>
      <c r="C42" s="65">
        <v>359</v>
      </c>
      <c r="D42" s="65">
        <v>7</v>
      </c>
      <c r="E42" s="65"/>
      <c r="F42" s="535">
        <f t="shared" si="5"/>
        <v>366</v>
      </c>
      <c r="G42" s="535">
        <f t="shared" si="1"/>
        <v>18</v>
      </c>
      <c r="H42" s="535">
        <v>-5</v>
      </c>
      <c r="I42" s="535">
        <f t="shared" si="6"/>
        <v>23</v>
      </c>
      <c r="J42" s="535">
        <f t="shared" si="2"/>
        <v>-23</v>
      </c>
      <c r="K42" s="405">
        <f t="shared" si="3"/>
        <v>-23</v>
      </c>
      <c r="L42" s="535"/>
      <c r="M42" s="692">
        <f t="shared" si="4"/>
        <v>-23</v>
      </c>
      <c r="N42" s="535">
        <v>82</v>
      </c>
      <c r="O42" s="535">
        <v>105</v>
      </c>
      <c r="P42" s="535"/>
      <c r="Q42" s="535"/>
      <c r="R42" s="535"/>
    </row>
    <row r="43" spans="1:18" ht="12" customHeight="1">
      <c r="A43" s="542" t="s">
        <v>537</v>
      </c>
      <c r="B43" s="535">
        <v>596</v>
      </c>
      <c r="C43" s="65">
        <v>407</v>
      </c>
      <c r="D43" s="65">
        <v>123</v>
      </c>
      <c r="E43" s="65"/>
      <c r="F43" s="535">
        <f t="shared" si="5"/>
        <v>530</v>
      </c>
      <c r="G43" s="535">
        <f t="shared" si="1"/>
        <v>66</v>
      </c>
      <c r="H43" s="535">
        <v>-13</v>
      </c>
      <c r="I43" s="535">
        <f t="shared" si="6"/>
        <v>79</v>
      </c>
      <c r="J43" s="535">
        <f t="shared" si="2"/>
        <v>-79</v>
      </c>
      <c r="K43" s="405">
        <f t="shared" si="3"/>
        <v>-79</v>
      </c>
      <c r="L43" s="535"/>
      <c r="M43" s="692">
        <f t="shared" si="4"/>
        <v>-79</v>
      </c>
      <c r="N43" s="535">
        <v>239</v>
      </c>
      <c r="O43" s="535">
        <v>318</v>
      </c>
      <c r="P43" s="535"/>
      <c r="Q43" s="535"/>
      <c r="R43" s="535"/>
    </row>
    <row r="44" spans="1:18" ht="12" customHeight="1">
      <c r="A44" s="542" t="s">
        <v>538</v>
      </c>
      <c r="B44" s="535">
        <v>386</v>
      </c>
      <c r="C44" s="65">
        <v>337</v>
      </c>
      <c r="D44" s="65">
        <v>33</v>
      </c>
      <c r="E44" s="65"/>
      <c r="F44" s="535">
        <f t="shared" si="5"/>
        <v>370</v>
      </c>
      <c r="G44" s="535">
        <f t="shared" si="1"/>
        <v>16</v>
      </c>
      <c r="H44" s="535">
        <v>12</v>
      </c>
      <c r="I44" s="535">
        <f t="shared" si="6"/>
        <v>4</v>
      </c>
      <c r="J44" s="535">
        <f t="shared" si="2"/>
        <v>-4</v>
      </c>
      <c r="K44" s="405">
        <f t="shared" si="3"/>
        <v>-4</v>
      </c>
      <c r="L44" s="535"/>
      <c r="M44" s="535">
        <f t="shared" si="4"/>
        <v>-4</v>
      </c>
      <c r="N44" s="692">
        <v>149</v>
      </c>
      <c r="O44" s="535">
        <v>153</v>
      </c>
      <c r="P44" s="535"/>
      <c r="Q44" s="535"/>
      <c r="R44" s="535"/>
    </row>
    <row r="45" spans="1:18" ht="12" customHeight="1">
      <c r="A45" s="544" t="s">
        <v>539</v>
      </c>
      <c r="B45" s="535">
        <f>SUM(B19:B44)</f>
        <v>16673</v>
      </c>
      <c r="C45" s="535">
        <f>SUM(C19:C44)</f>
        <v>14788</v>
      </c>
      <c r="D45" s="535">
        <f>SUM(D19:D44)</f>
        <v>2105</v>
      </c>
      <c r="E45" s="535">
        <f>SUM(E19:E44)</f>
        <v>0</v>
      </c>
      <c r="F45" s="535">
        <f>SUM(C45:D45)</f>
        <v>16893</v>
      </c>
      <c r="G45" s="535">
        <f t="shared" si="1"/>
        <v>-220</v>
      </c>
      <c r="H45" s="535">
        <f>SUM(H19:H44)</f>
        <v>-42</v>
      </c>
      <c r="I45" s="535">
        <f>SUM(I19:I44)</f>
        <v>-178</v>
      </c>
      <c r="J45" s="535">
        <f t="shared" si="2"/>
        <v>178</v>
      </c>
      <c r="K45" s="405">
        <f aca="true" t="shared" si="7" ref="K45:R45">SUM(K19:K44)</f>
        <v>178</v>
      </c>
      <c r="L45" s="535">
        <f t="shared" si="7"/>
        <v>-13</v>
      </c>
      <c r="M45" s="535">
        <f t="shared" si="7"/>
        <v>233</v>
      </c>
      <c r="N45" s="535">
        <f t="shared" si="7"/>
        <v>4733</v>
      </c>
      <c r="O45" s="535">
        <f t="shared" si="7"/>
        <v>4500</v>
      </c>
      <c r="P45" s="535">
        <f t="shared" si="7"/>
        <v>-50</v>
      </c>
      <c r="Q45" s="535">
        <f t="shared" si="7"/>
        <v>8</v>
      </c>
      <c r="R45" s="535">
        <f t="shared" si="7"/>
        <v>0</v>
      </c>
    </row>
    <row r="46" spans="1:18" ht="12" customHeight="1">
      <c r="A46" s="544" t="s">
        <v>540</v>
      </c>
      <c r="B46" s="535">
        <f aca="true" t="shared" si="8" ref="B46:H46">SUM(B18,B45)</f>
        <v>36973</v>
      </c>
      <c r="C46" s="535">
        <f t="shared" si="8"/>
        <v>23331</v>
      </c>
      <c r="D46" s="535">
        <f t="shared" si="8"/>
        <v>11285</v>
      </c>
      <c r="E46" s="535">
        <f t="shared" si="8"/>
        <v>0</v>
      </c>
      <c r="F46" s="535">
        <f t="shared" si="8"/>
        <v>34616</v>
      </c>
      <c r="G46" s="535">
        <f t="shared" si="8"/>
        <v>2357</v>
      </c>
      <c r="H46" s="535">
        <f t="shared" si="8"/>
        <v>-2716</v>
      </c>
      <c r="I46" s="535">
        <f>G46-H46</f>
        <v>5073</v>
      </c>
      <c r="J46" s="535">
        <f t="shared" si="2"/>
        <v>-5073</v>
      </c>
      <c r="K46" s="405">
        <f>SUM(K18,K45)</f>
        <v>-5073</v>
      </c>
      <c r="L46" s="535">
        <f>SUM(L18,L45)</f>
        <v>-13</v>
      </c>
      <c r="M46" s="535">
        <f>N46-O46</f>
        <v>-5018</v>
      </c>
      <c r="N46" s="535">
        <f>SUM(N18,N45)</f>
        <v>17428</v>
      </c>
      <c r="O46" s="535">
        <f>SUM(O18,O45)</f>
        <v>22446</v>
      </c>
      <c r="P46" s="535">
        <f>SUM(P18,P45)</f>
        <v>-50</v>
      </c>
      <c r="Q46" s="535">
        <f>SUM(Q18,Q45)</f>
        <v>8</v>
      </c>
      <c r="R46" s="535">
        <f>SUM(R18,R45)</f>
        <v>0</v>
      </c>
    </row>
    <row r="47" spans="1:18" ht="17.25" customHeight="1">
      <c r="A47" s="546"/>
      <c r="B47" s="547"/>
      <c r="C47" s="547"/>
      <c r="D47" s="547"/>
      <c r="E47" s="547"/>
      <c r="F47" s="547"/>
      <c r="G47" s="547"/>
      <c r="H47" s="547"/>
      <c r="I47" s="547"/>
      <c r="J47" s="547"/>
      <c r="K47" s="764"/>
      <c r="L47" s="547"/>
      <c r="M47" s="547"/>
      <c r="N47" s="547"/>
      <c r="O47" s="547"/>
      <c r="P47" s="547"/>
      <c r="Q47" s="547"/>
      <c r="R47" s="547"/>
    </row>
    <row r="48" spans="1:18" ht="17.25" customHeight="1">
      <c r="A48" s="538"/>
      <c r="B48" s="447"/>
      <c r="C48" s="447"/>
      <c r="D48" s="447"/>
      <c r="E48" s="447"/>
      <c r="F48" s="447"/>
      <c r="G48" s="447"/>
      <c r="H48" s="447"/>
      <c r="I48" s="447"/>
      <c r="J48" s="447"/>
      <c r="K48" s="765"/>
      <c r="L48" s="447"/>
      <c r="M48" s="447"/>
      <c r="N48" s="447"/>
      <c r="O48" s="447"/>
      <c r="P48" s="447"/>
      <c r="Q48" s="447"/>
      <c r="R48" s="447"/>
    </row>
    <row r="50" spans="1:12" ht="17.25" customHeight="1">
      <c r="A50" s="41" t="s">
        <v>733</v>
      </c>
      <c r="B50" s="3"/>
      <c r="C50" s="3"/>
      <c r="F50" s="548"/>
      <c r="H50" s="447"/>
      <c r="J50" s="447"/>
      <c r="K50" s="765"/>
      <c r="L50" s="39" t="s">
        <v>959</v>
      </c>
    </row>
    <row r="53" spans="1:18" ht="17.25" customHeight="1">
      <c r="A53" s="549"/>
      <c r="B53" s="447"/>
      <c r="C53" s="447"/>
      <c r="D53" s="447"/>
      <c r="E53" s="447"/>
      <c r="F53" s="447"/>
      <c r="G53" s="447"/>
      <c r="H53" s="447"/>
      <c r="I53" s="447"/>
      <c r="J53" s="447"/>
      <c r="K53" s="765"/>
      <c r="L53" s="447"/>
      <c r="M53" s="447"/>
      <c r="N53" s="447"/>
      <c r="O53" s="447"/>
      <c r="P53" s="447"/>
      <c r="Q53" s="447"/>
      <c r="R53" s="447"/>
    </row>
    <row r="54" spans="2:18" ht="17.25" customHeight="1">
      <c r="B54" s="550"/>
      <c r="H54" s="550"/>
      <c r="I54" s="550"/>
      <c r="J54" s="550"/>
      <c r="K54" s="767"/>
      <c r="L54" s="550"/>
      <c r="N54" s="551"/>
      <c r="O54" s="550"/>
      <c r="P54" s="550"/>
      <c r="Q54" s="550"/>
      <c r="R54" s="550"/>
    </row>
    <row r="55" spans="1:18" ht="17.25" customHeight="1">
      <c r="A55" s="472"/>
      <c r="B55" s="552"/>
      <c r="H55" s="551"/>
      <c r="I55" s="551"/>
      <c r="L55" s="551"/>
      <c r="M55" s="551"/>
      <c r="O55" s="447"/>
      <c r="P55" s="447"/>
      <c r="Q55" s="447"/>
      <c r="R55" s="447"/>
    </row>
    <row r="56" spans="1:18" ht="17.25" customHeight="1">
      <c r="A56" s="538"/>
      <c r="B56" s="552"/>
      <c r="H56" s="447"/>
      <c r="I56" s="447"/>
      <c r="J56" s="447"/>
      <c r="K56" s="765"/>
      <c r="L56" s="447"/>
      <c r="M56" s="550"/>
      <c r="N56" s="447"/>
      <c r="O56" s="447"/>
      <c r="P56" s="447"/>
      <c r="Q56" s="447"/>
      <c r="R56" s="447"/>
    </row>
    <row r="57" spans="1:18" ht="12.75">
      <c r="A57" s="234" t="s">
        <v>134</v>
      </c>
      <c r="B57" s="553"/>
      <c r="C57" s="553"/>
      <c r="D57" s="553"/>
      <c r="E57" s="447"/>
      <c r="F57" s="447"/>
      <c r="G57" s="447"/>
      <c r="H57" s="447"/>
      <c r="I57" s="447"/>
      <c r="J57" s="447"/>
      <c r="K57" s="765"/>
      <c r="L57" s="447"/>
      <c r="M57" s="447"/>
      <c r="N57" s="447"/>
      <c r="O57" s="447"/>
      <c r="P57" s="447"/>
      <c r="Q57" s="447"/>
      <c r="R57" s="447"/>
    </row>
    <row r="58" spans="1:18" ht="12.75">
      <c r="A58" s="234" t="s">
        <v>316</v>
      </c>
      <c r="M58" s="447"/>
      <c r="N58" s="447"/>
      <c r="O58" s="447"/>
      <c r="P58" s="447"/>
      <c r="Q58" s="447"/>
      <c r="R58" s="447"/>
    </row>
    <row r="60" ht="17.25" customHeight="1">
      <c r="E60" s="553"/>
    </row>
    <row r="67" spans="2:18" ht="17.25" customHeight="1">
      <c r="B67" s="234"/>
      <c r="C67" s="234"/>
      <c r="D67" s="234"/>
      <c r="E67" s="234"/>
      <c r="F67" s="234"/>
      <c r="G67" s="234"/>
      <c r="H67" s="234"/>
      <c r="I67" s="234"/>
      <c r="J67" s="234"/>
      <c r="K67" s="768"/>
      <c r="L67" s="234"/>
      <c r="M67" s="234"/>
      <c r="N67" s="234"/>
      <c r="O67" s="234"/>
      <c r="P67" s="234"/>
      <c r="Q67" s="234"/>
      <c r="R67" s="234"/>
    </row>
  </sheetData>
  <mergeCells count="9">
    <mergeCell ref="H7:H9"/>
    <mergeCell ref="I7:I9"/>
    <mergeCell ref="J7:J9"/>
    <mergeCell ref="R7:R9"/>
    <mergeCell ref="L8:Q8"/>
    <mergeCell ref="A7:A9"/>
    <mergeCell ref="B7:B9"/>
    <mergeCell ref="C7:F8"/>
    <mergeCell ref="G7:G9"/>
  </mergeCells>
  <printOptions/>
  <pageMargins left="0.75" right="0.25" top="1" bottom="1" header="0.5" footer="0.5"/>
  <pageSetup firstPageNumber="40" useFirstPageNumber="1" horizontalDpi="600" verticalDpi="600" orientation="landscape" paperSize="9" scale="93" r:id="rId1"/>
  <headerFooter alignWithMargins="0">
    <oddFooter>&amp;R&amp;9&amp;P</oddFooter>
  </headerFooter>
  <rowBreaks count="1" manualBreakCount="1">
    <brk id="30" max="17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P69"/>
  <sheetViews>
    <sheetView workbookViewId="0" topLeftCell="B1">
      <selection activeCell="D3" sqref="D3"/>
    </sheetView>
  </sheetViews>
  <sheetFormatPr defaultColWidth="9.140625" defaultRowHeight="17.25" customHeight="1"/>
  <cols>
    <col min="1" max="1" width="18.421875" style="464" customWidth="1"/>
    <col min="2" max="2" width="7.28125" style="443" customWidth="1"/>
    <col min="3" max="3" width="10.00390625" style="443" customWidth="1"/>
    <col min="4" max="4" width="6.7109375" style="443" customWidth="1"/>
    <col min="5" max="5" width="6.140625" style="443" customWidth="1"/>
    <col min="6" max="6" width="13.57421875" style="443" customWidth="1"/>
    <col min="7" max="7" width="7.8515625" style="443" customWidth="1"/>
    <col min="8" max="8" width="9.00390625" style="443" customWidth="1"/>
    <col min="9" max="9" width="7.28125" style="443" customWidth="1"/>
    <col min="10" max="10" width="10.57421875" style="443" customWidth="1"/>
    <col min="11" max="11" width="7.57421875" style="443" customWidth="1"/>
    <col min="12" max="13" width="7.28125" style="443" customWidth="1"/>
    <col min="14" max="14" width="8.00390625" style="443" customWidth="1"/>
    <col min="15" max="15" width="7.28125" style="443" customWidth="1"/>
    <col min="16" max="16" width="9.28125" style="443" customWidth="1"/>
    <col min="17" max="16384" width="9.140625" style="443" customWidth="1"/>
  </cols>
  <sheetData>
    <row r="1" spans="2:15" s="38" customFormat="1" ht="17.25" customHeight="1">
      <c r="B1" s="51"/>
      <c r="C1" s="51"/>
      <c r="D1" s="51"/>
      <c r="E1" s="51"/>
      <c r="F1" s="51"/>
      <c r="G1" s="51"/>
      <c r="H1" s="51"/>
      <c r="I1" s="51"/>
      <c r="J1" s="51"/>
      <c r="K1" s="87"/>
      <c r="O1" s="229" t="s">
        <v>584</v>
      </c>
    </row>
    <row r="2" spans="1:16" s="38" customFormat="1" ht="17.25" customHeight="1">
      <c r="A2" s="855" t="s">
        <v>569</v>
      </c>
      <c r="B2" s="855"/>
      <c r="C2" s="855"/>
      <c r="D2" s="855"/>
      <c r="E2" s="855"/>
      <c r="F2" s="855"/>
      <c r="G2" s="855"/>
      <c r="H2" s="855"/>
      <c r="I2" s="855"/>
      <c r="J2" s="855"/>
      <c r="K2" s="855"/>
      <c r="L2" s="855"/>
      <c r="M2" s="855"/>
      <c r="N2" s="855"/>
      <c r="O2" s="855"/>
      <c r="P2" s="855"/>
    </row>
    <row r="3" spans="1:12" s="49" customFormat="1" ht="17.2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229"/>
    </row>
    <row r="4" spans="1:16" s="528" customFormat="1" ht="17.25" customHeight="1">
      <c r="A4" s="856" t="s">
        <v>585</v>
      </c>
      <c r="B4" s="856"/>
      <c r="C4" s="856"/>
      <c r="D4" s="856"/>
      <c r="E4" s="856"/>
      <c r="F4" s="856"/>
      <c r="G4" s="856"/>
      <c r="H4" s="856"/>
      <c r="I4" s="856"/>
      <c r="J4" s="856"/>
      <c r="K4" s="856"/>
      <c r="L4" s="856"/>
      <c r="M4" s="856"/>
      <c r="N4" s="856"/>
      <c r="O4" s="856"/>
      <c r="P4" s="856"/>
    </row>
    <row r="5" spans="1:16" s="528" customFormat="1" ht="14.25" customHeight="1">
      <c r="A5" s="876" t="s">
        <v>318</v>
      </c>
      <c r="B5" s="876"/>
      <c r="C5" s="876"/>
      <c r="D5" s="876"/>
      <c r="E5" s="876"/>
      <c r="F5" s="876"/>
      <c r="G5" s="876"/>
      <c r="H5" s="876"/>
      <c r="I5" s="876"/>
      <c r="J5" s="876"/>
      <c r="K5" s="876"/>
      <c r="L5" s="876"/>
      <c r="M5" s="876"/>
      <c r="N5" s="876"/>
      <c r="O5" s="876"/>
      <c r="P5" s="876"/>
    </row>
    <row r="6" spans="1:16" ht="17.25" customHeight="1">
      <c r="A6" s="554"/>
      <c r="B6" s="513"/>
      <c r="C6" s="513"/>
      <c r="D6" s="513"/>
      <c r="E6" s="513"/>
      <c r="F6" s="513"/>
      <c r="G6" s="513"/>
      <c r="H6" s="513"/>
      <c r="I6" s="513"/>
      <c r="J6" s="513"/>
      <c r="K6" s="513"/>
      <c r="L6" s="513"/>
      <c r="M6" s="513"/>
      <c r="N6" s="513"/>
      <c r="O6" s="513"/>
      <c r="P6" s="513" t="s">
        <v>133</v>
      </c>
    </row>
    <row r="7" spans="1:16" s="38" customFormat="1" ht="17.25" customHeight="1">
      <c r="A7" s="889" t="s">
        <v>571</v>
      </c>
      <c r="B7" s="889" t="s">
        <v>968</v>
      </c>
      <c r="C7" s="892" t="s">
        <v>494</v>
      </c>
      <c r="D7" s="893"/>
      <c r="E7" s="893"/>
      <c r="F7" s="889" t="s">
        <v>187</v>
      </c>
      <c r="G7" s="889" t="s">
        <v>586</v>
      </c>
      <c r="H7" s="889" t="s">
        <v>587</v>
      </c>
      <c r="I7" s="889" t="s">
        <v>588</v>
      </c>
      <c r="J7" s="555" t="s">
        <v>576</v>
      </c>
      <c r="K7" s="534"/>
      <c r="L7" s="534"/>
      <c r="M7" s="556"/>
      <c r="N7" s="534"/>
      <c r="O7" s="534"/>
      <c r="P7" s="889" t="s">
        <v>577</v>
      </c>
    </row>
    <row r="8" spans="1:16" s="49" customFormat="1" ht="17.25" customHeight="1">
      <c r="A8" s="899"/>
      <c r="B8" s="899"/>
      <c r="C8" s="893"/>
      <c r="D8" s="893"/>
      <c r="E8" s="893"/>
      <c r="F8" s="899"/>
      <c r="G8" s="899"/>
      <c r="H8" s="899"/>
      <c r="I8" s="899"/>
      <c r="J8" s="896" t="s">
        <v>498</v>
      </c>
      <c r="K8" s="897"/>
      <c r="L8" s="897"/>
      <c r="M8" s="897"/>
      <c r="N8" s="897"/>
      <c r="O8" s="898"/>
      <c r="P8" s="901"/>
    </row>
    <row r="9" spans="1:16" s="494" customFormat="1" ht="45">
      <c r="A9" s="900"/>
      <c r="B9" s="900"/>
      <c r="C9" s="9" t="s">
        <v>589</v>
      </c>
      <c r="D9" s="9" t="s">
        <v>579</v>
      </c>
      <c r="E9" s="9" t="s">
        <v>581</v>
      </c>
      <c r="F9" s="900"/>
      <c r="G9" s="900"/>
      <c r="H9" s="900"/>
      <c r="I9" s="900"/>
      <c r="J9" s="541" t="s">
        <v>762</v>
      </c>
      <c r="K9" s="541" t="s">
        <v>582</v>
      </c>
      <c r="L9" s="541" t="s">
        <v>500</v>
      </c>
      <c r="M9" s="541" t="s">
        <v>501</v>
      </c>
      <c r="N9" s="9" t="s">
        <v>590</v>
      </c>
      <c r="O9" s="9" t="s">
        <v>774</v>
      </c>
      <c r="P9" s="902"/>
    </row>
    <row r="10" spans="1:16" ht="12" customHeight="1">
      <c r="A10" s="9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  <c r="J10" s="8">
        <v>10</v>
      </c>
      <c r="K10" s="8">
        <v>11</v>
      </c>
      <c r="L10" s="8">
        <v>12</v>
      </c>
      <c r="M10" s="8">
        <v>13</v>
      </c>
      <c r="N10" s="8">
        <v>14</v>
      </c>
      <c r="O10" s="8">
        <v>15</v>
      </c>
      <c r="P10" s="8">
        <v>16</v>
      </c>
    </row>
    <row r="11" spans="1:16" s="38" customFormat="1" ht="12" customHeight="1">
      <c r="A11" s="542" t="s">
        <v>504</v>
      </c>
      <c r="B11" s="179">
        <v>898</v>
      </c>
      <c r="C11" s="179">
        <v>850</v>
      </c>
      <c r="D11" s="179">
        <v>54</v>
      </c>
      <c r="E11" s="179">
        <f aca="true" t="shared" si="0" ref="E11:E17">C11+D11</f>
        <v>904</v>
      </c>
      <c r="F11" s="179">
        <f aca="true" t="shared" si="1" ref="F11:F44">B11-E11</f>
        <v>-6</v>
      </c>
      <c r="G11" s="179"/>
      <c r="H11" s="179">
        <f aca="true" t="shared" si="2" ref="H11:H45">F11-G11</f>
        <v>-6</v>
      </c>
      <c r="I11" s="179">
        <f aca="true" t="shared" si="3" ref="I11:I45">J11+K11+N11+O11</f>
        <v>6</v>
      </c>
      <c r="J11" s="179"/>
      <c r="K11" s="179">
        <f aca="true" t="shared" si="4" ref="K11:K17">L11-M11</f>
        <v>6</v>
      </c>
      <c r="L11" s="179">
        <v>277</v>
      </c>
      <c r="M11" s="179">
        <v>271</v>
      </c>
      <c r="N11" s="179"/>
      <c r="O11" s="179"/>
      <c r="P11" s="179"/>
    </row>
    <row r="12" spans="1:16" ht="12" customHeight="1">
      <c r="A12" s="542" t="s">
        <v>505</v>
      </c>
      <c r="B12" s="179">
        <v>27</v>
      </c>
      <c r="C12" s="179">
        <v>33</v>
      </c>
      <c r="D12" s="179">
        <v>1</v>
      </c>
      <c r="E12" s="179">
        <f t="shared" si="0"/>
        <v>34</v>
      </c>
      <c r="F12" s="179">
        <f t="shared" si="1"/>
        <v>-7</v>
      </c>
      <c r="G12" s="179"/>
      <c r="H12" s="179">
        <f t="shared" si="2"/>
        <v>-7</v>
      </c>
      <c r="I12" s="179">
        <f t="shared" si="3"/>
        <v>7</v>
      </c>
      <c r="J12" s="179"/>
      <c r="K12" s="179">
        <f t="shared" si="4"/>
        <v>7</v>
      </c>
      <c r="L12" s="179">
        <v>16</v>
      </c>
      <c r="M12" s="179">
        <v>9</v>
      </c>
      <c r="N12" s="179"/>
      <c r="O12" s="179"/>
      <c r="P12" s="179"/>
    </row>
    <row r="13" spans="1:16" ht="12" customHeight="1">
      <c r="A13" s="542" t="s">
        <v>506</v>
      </c>
      <c r="B13" s="179">
        <v>85</v>
      </c>
      <c r="C13" s="179">
        <v>24</v>
      </c>
      <c r="D13" s="179">
        <v>94</v>
      </c>
      <c r="E13" s="179">
        <f t="shared" si="0"/>
        <v>118</v>
      </c>
      <c r="F13" s="179">
        <f t="shared" si="1"/>
        <v>-33</v>
      </c>
      <c r="G13" s="179"/>
      <c r="H13" s="179">
        <f t="shared" si="2"/>
        <v>-33</v>
      </c>
      <c r="I13" s="179">
        <f t="shared" si="3"/>
        <v>33</v>
      </c>
      <c r="J13" s="179"/>
      <c r="K13" s="179">
        <f t="shared" si="4"/>
        <v>33</v>
      </c>
      <c r="L13" s="179">
        <v>53</v>
      </c>
      <c r="M13" s="179">
        <v>20</v>
      </c>
      <c r="N13" s="179"/>
      <c r="O13" s="179"/>
      <c r="P13" s="179"/>
    </row>
    <row r="14" spans="1:16" ht="12" customHeight="1">
      <c r="A14" s="542" t="s">
        <v>507</v>
      </c>
      <c r="B14" s="179">
        <v>153</v>
      </c>
      <c r="C14" s="179">
        <v>41</v>
      </c>
      <c r="D14" s="179">
        <v>64</v>
      </c>
      <c r="E14" s="179">
        <f t="shared" si="0"/>
        <v>105</v>
      </c>
      <c r="F14" s="179">
        <f t="shared" si="1"/>
        <v>48</v>
      </c>
      <c r="G14" s="179"/>
      <c r="H14" s="179">
        <f t="shared" si="2"/>
        <v>48</v>
      </c>
      <c r="I14" s="179">
        <f t="shared" si="3"/>
        <v>-48</v>
      </c>
      <c r="J14" s="179"/>
      <c r="K14" s="179">
        <f t="shared" si="4"/>
        <v>-48</v>
      </c>
      <c r="L14" s="179">
        <v>65</v>
      </c>
      <c r="M14" s="179">
        <v>113</v>
      </c>
      <c r="N14" s="179"/>
      <c r="O14" s="179"/>
      <c r="P14" s="179"/>
    </row>
    <row r="15" spans="1:16" ht="12" customHeight="1">
      <c r="A15" s="542" t="s">
        <v>508</v>
      </c>
      <c r="B15" s="179">
        <v>45</v>
      </c>
      <c r="C15" s="179">
        <v>40</v>
      </c>
      <c r="D15" s="179">
        <v>1</v>
      </c>
      <c r="E15" s="179">
        <f t="shared" si="0"/>
        <v>41</v>
      </c>
      <c r="F15" s="179">
        <f t="shared" si="1"/>
        <v>4</v>
      </c>
      <c r="G15" s="179"/>
      <c r="H15" s="179">
        <f t="shared" si="2"/>
        <v>4</v>
      </c>
      <c r="I15" s="179">
        <f t="shared" si="3"/>
        <v>-4</v>
      </c>
      <c r="J15" s="179"/>
      <c r="K15" s="179">
        <f t="shared" si="4"/>
        <v>-4</v>
      </c>
      <c r="L15" s="179">
        <v>30</v>
      </c>
      <c r="M15" s="179">
        <v>34</v>
      </c>
      <c r="N15" s="179"/>
      <c r="O15" s="179"/>
      <c r="P15" s="179"/>
    </row>
    <row r="16" spans="1:16" ht="12" customHeight="1">
      <c r="A16" s="543" t="s">
        <v>509</v>
      </c>
      <c r="B16" s="179">
        <v>7</v>
      </c>
      <c r="C16" s="179">
        <v>6</v>
      </c>
      <c r="D16" s="179">
        <v>2</v>
      </c>
      <c r="E16" s="179">
        <f t="shared" si="0"/>
        <v>8</v>
      </c>
      <c r="F16" s="179">
        <f t="shared" si="1"/>
        <v>-1</v>
      </c>
      <c r="G16" s="179"/>
      <c r="H16" s="179">
        <f t="shared" si="2"/>
        <v>-1</v>
      </c>
      <c r="I16" s="179">
        <f t="shared" si="3"/>
        <v>1</v>
      </c>
      <c r="J16" s="179"/>
      <c r="K16" s="179">
        <f t="shared" si="4"/>
        <v>1</v>
      </c>
      <c r="L16" s="179">
        <v>4</v>
      </c>
      <c r="M16" s="179">
        <v>3</v>
      </c>
      <c r="N16" s="179"/>
      <c r="O16" s="179"/>
      <c r="P16" s="179"/>
    </row>
    <row r="17" spans="1:16" ht="12" customHeight="1">
      <c r="A17" s="542" t="s">
        <v>510</v>
      </c>
      <c r="B17" s="179">
        <v>3024</v>
      </c>
      <c r="C17" s="179">
        <v>1152</v>
      </c>
      <c r="D17" s="179">
        <v>2209</v>
      </c>
      <c r="E17" s="179">
        <f t="shared" si="0"/>
        <v>3361</v>
      </c>
      <c r="F17" s="179">
        <f t="shared" si="1"/>
        <v>-337</v>
      </c>
      <c r="G17" s="179">
        <v>-891</v>
      </c>
      <c r="H17" s="179">
        <f t="shared" si="2"/>
        <v>554</v>
      </c>
      <c r="I17" s="179">
        <f t="shared" si="3"/>
        <v>-554</v>
      </c>
      <c r="J17" s="179"/>
      <c r="K17" s="179">
        <f t="shared" si="4"/>
        <v>-554</v>
      </c>
      <c r="L17" s="179">
        <v>1168</v>
      </c>
      <c r="M17" s="179">
        <v>1722</v>
      </c>
      <c r="N17" s="179"/>
      <c r="O17" s="179"/>
      <c r="P17" s="179"/>
    </row>
    <row r="18" spans="1:16" ht="12" customHeight="1">
      <c r="A18" s="377" t="s">
        <v>511</v>
      </c>
      <c r="B18" s="179">
        <f>SUM(B11:B17)</f>
        <v>4239</v>
      </c>
      <c r="C18" s="179">
        <f>SUM(C11:C17)</f>
        <v>2146</v>
      </c>
      <c r="D18" s="179">
        <f>SUM(D11:D17)</f>
        <v>2425</v>
      </c>
      <c r="E18" s="179">
        <f>SUM(E11:E17)</f>
        <v>4571</v>
      </c>
      <c r="F18" s="179">
        <f t="shared" si="1"/>
        <v>-332</v>
      </c>
      <c r="G18" s="179">
        <f>SUM(G11:G17)</f>
        <v>-891</v>
      </c>
      <c r="H18" s="179">
        <f t="shared" si="2"/>
        <v>559</v>
      </c>
      <c r="I18" s="179">
        <f t="shared" si="3"/>
        <v>-559</v>
      </c>
      <c r="J18" s="179">
        <f aca="true" t="shared" si="5" ref="J18:P18">SUM(J11:J17)</f>
        <v>0</v>
      </c>
      <c r="K18" s="179">
        <f t="shared" si="5"/>
        <v>-559</v>
      </c>
      <c r="L18" s="179">
        <f t="shared" si="5"/>
        <v>1613</v>
      </c>
      <c r="M18" s="179">
        <f t="shared" si="5"/>
        <v>2172</v>
      </c>
      <c r="N18" s="179">
        <f t="shared" si="5"/>
        <v>0</v>
      </c>
      <c r="O18" s="179">
        <f t="shared" si="5"/>
        <v>0</v>
      </c>
      <c r="P18" s="179">
        <f t="shared" si="5"/>
        <v>0</v>
      </c>
    </row>
    <row r="19" spans="1:16" s="557" customFormat="1" ht="12" customHeight="1">
      <c r="A19" s="542" t="s">
        <v>513</v>
      </c>
      <c r="B19" s="179">
        <v>17</v>
      </c>
      <c r="C19" s="179">
        <v>17</v>
      </c>
      <c r="D19" s="179">
        <v>11</v>
      </c>
      <c r="E19" s="179">
        <f aca="true" t="shared" si="6" ref="E19:E44">C19+D19</f>
        <v>28</v>
      </c>
      <c r="F19" s="179">
        <f t="shared" si="1"/>
        <v>-11</v>
      </c>
      <c r="G19" s="179"/>
      <c r="H19" s="179">
        <f t="shared" si="2"/>
        <v>-11</v>
      </c>
      <c r="I19" s="179">
        <f t="shared" si="3"/>
        <v>11</v>
      </c>
      <c r="J19" s="179"/>
      <c r="K19" s="179">
        <f aca="true" t="shared" si="7" ref="K19:K44">L19-M19</f>
        <v>11</v>
      </c>
      <c r="L19" s="179">
        <v>15</v>
      </c>
      <c r="M19" s="179">
        <v>4</v>
      </c>
      <c r="N19" s="179"/>
      <c r="O19" s="179"/>
      <c r="P19" s="179"/>
    </row>
    <row r="20" spans="1:16" ht="12" customHeight="1">
      <c r="A20" s="542" t="s">
        <v>514</v>
      </c>
      <c r="B20" s="179">
        <v>11</v>
      </c>
      <c r="C20" s="179">
        <v>18</v>
      </c>
      <c r="D20" s="179">
        <v>6</v>
      </c>
      <c r="E20" s="179">
        <f t="shared" si="6"/>
        <v>24</v>
      </c>
      <c r="F20" s="179">
        <f t="shared" si="1"/>
        <v>-13</v>
      </c>
      <c r="G20" s="179"/>
      <c r="H20" s="179">
        <f t="shared" si="2"/>
        <v>-13</v>
      </c>
      <c r="I20" s="179">
        <f t="shared" si="3"/>
        <v>13</v>
      </c>
      <c r="J20" s="179"/>
      <c r="K20" s="179">
        <f t="shared" si="7"/>
        <v>13</v>
      </c>
      <c r="L20" s="179">
        <v>24</v>
      </c>
      <c r="M20" s="179">
        <v>11</v>
      </c>
      <c r="N20" s="179"/>
      <c r="O20" s="179"/>
      <c r="P20" s="179"/>
    </row>
    <row r="21" spans="1:16" ht="12" customHeight="1">
      <c r="A21" s="542" t="s">
        <v>515</v>
      </c>
      <c r="B21" s="179">
        <v>7</v>
      </c>
      <c r="C21" s="179">
        <v>2</v>
      </c>
      <c r="D21" s="179">
        <v>2</v>
      </c>
      <c r="E21" s="179">
        <f t="shared" si="6"/>
        <v>4</v>
      </c>
      <c r="F21" s="179">
        <f t="shared" si="1"/>
        <v>3</v>
      </c>
      <c r="G21" s="179"/>
      <c r="H21" s="179">
        <f t="shared" si="2"/>
        <v>3</v>
      </c>
      <c r="I21" s="179">
        <f t="shared" si="3"/>
        <v>-3</v>
      </c>
      <c r="J21" s="179"/>
      <c r="K21" s="179">
        <f t="shared" si="7"/>
        <v>-3</v>
      </c>
      <c r="L21" s="179">
        <v>0</v>
      </c>
      <c r="M21" s="179">
        <v>3</v>
      </c>
      <c r="N21" s="179"/>
      <c r="O21" s="179"/>
      <c r="P21" s="179"/>
    </row>
    <row r="22" spans="1:16" ht="12" customHeight="1">
      <c r="A22" s="542" t="s">
        <v>516</v>
      </c>
      <c r="B22" s="179">
        <v>8</v>
      </c>
      <c r="C22" s="179">
        <v>9</v>
      </c>
      <c r="D22" s="179">
        <v>3</v>
      </c>
      <c r="E22" s="179">
        <f t="shared" si="6"/>
        <v>12</v>
      </c>
      <c r="F22" s="179">
        <f t="shared" si="1"/>
        <v>-4</v>
      </c>
      <c r="G22" s="179"/>
      <c r="H22" s="179">
        <f t="shared" si="2"/>
        <v>-4</v>
      </c>
      <c r="I22" s="179">
        <f t="shared" si="3"/>
        <v>4</v>
      </c>
      <c r="J22" s="179"/>
      <c r="K22" s="179">
        <f t="shared" si="7"/>
        <v>4</v>
      </c>
      <c r="L22" s="179">
        <v>21</v>
      </c>
      <c r="M22" s="179">
        <v>17</v>
      </c>
      <c r="N22" s="179"/>
      <c r="O22" s="179"/>
      <c r="P22" s="179"/>
    </row>
    <row r="23" spans="1:16" ht="12" customHeight="1">
      <c r="A23" s="542" t="s">
        <v>517</v>
      </c>
      <c r="B23" s="179">
        <v>136</v>
      </c>
      <c r="C23" s="179">
        <v>106</v>
      </c>
      <c r="D23" s="179">
        <v>30</v>
      </c>
      <c r="E23" s="179">
        <f t="shared" si="6"/>
        <v>136</v>
      </c>
      <c r="F23" s="179">
        <f t="shared" si="1"/>
        <v>0</v>
      </c>
      <c r="G23" s="179"/>
      <c r="H23" s="179">
        <f t="shared" si="2"/>
        <v>0</v>
      </c>
      <c r="I23" s="179">
        <f t="shared" si="3"/>
        <v>0</v>
      </c>
      <c r="J23" s="179"/>
      <c r="K23" s="179">
        <f t="shared" si="7"/>
        <v>0</v>
      </c>
      <c r="L23" s="179">
        <v>31</v>
      </c>
      <c r="M23" s="179">
        <v>31</v>
      </c>
      <c r="N23" s="179"/>
      <c r="O23" s="179"/>
      <c r="P23" s="179"/>
    </row>
    <row r="24" spans="1:16" ht="12" customHeight="1">
      <c r="A24" s="542" t="s">
        <v>518</v>
      </c>
      <c r="B24" s="179">
        <v>16</v>
      </c>
      <c r="C24" s="179">
        <v>14</v>
      </c>
      <c r="D24" s="179">
        <v>4</v>
      </c>
      <c r="E24" s="179">
        <f t="shared" si="6"/>
        <v>18</v>
      </c>
      <c r="F24" s="179">
        <f t="shared" si="1"/>
        <v>-2</v>
      </c>
      <c r="G24" s="179"/>
      <c r="H24" s="179">
        <f t="shared" si="2"/>
        <v>-2</v>
      </c>
      <c r="I24" s="179">
        <f t="shared" si="3"/>
        <v>2</v>
      </c>
      <c r="J24" s="179"/>
      <c r="K24" s="179">
        <f t="shared" si="7"/>
        <v>2</v>
      </c>
      <c r="L24" s="179">
        <v>5</v>
      </c>
      <c r="M24" s="179">
        <v>3</v>
      </c>
      <c r="N24" s="179"/>
      <c r="O24" s="179"/>
      <c r="P24" s="179"/>
    </row>
    <row r="25" spans="1:16" ht="12" customHeight="1">
      <c r="A25" s="542" t="s">
        <v>519</v>
      </c>
      <c r="B25" s="179">
        <v>57</v>
      </c>
      <c r="C25" s="179">
        <v>53</v>
      </c>
      <c r="D25" s="179">
        <v>2</v>
      </c>
      <c r="E25" s="179">
        <f t="shared" si="6"/>
        <v>55</v>
      </c>
      <c r="F25" s="179">
        <f t="shared" si="1"/>
        <v>2</v>
      </c>
      <c r="G25" s="179"/>
      <c r="H25" s="179">
        <f t="shared" si="2"/>
        <v>2</v>
      </c>
      <c r="I25" s="179">
        <f t="shared" si="3"/>
        <v>-2</v>
      </c>
      <c r="J25" s="179"/>
      <c r="K25" s="179">
        <f t="shared" si="7"/>
        <v>-2</v>
      </c>
      <c r="L25" s="179">
        <v>7</v>
      </c>
      <c r="M25" s="179">
        <v>9</v>
      </c>
      <c r="N25" s="179"/>
      <c r="O25" s="179"/>
      <c r="P25" s="179"/>
    </row>
    <row r="26" spans="1:16" ht="12" customHeight="1">
      <c r="A26" s="542" t="s">
        <v>520</v>
      </c>
      <c r="B26" s="179">
        <v>16</v>
      </c>
      <c r="C26" s="179">
        <v>11</v>
      </c>
      <c r="D26" s="179">
        <v>1</v>
      </c>
      <c r="E26" s="179">
        <f t="shared" si="6"/>
        <v>12</v>
      </c>
      <c r="F26" s="179">
        <f t="shared" si="1"/>
        <v>4</v>
      </c>
      <c r="G26" s="179"/>
      <c r="H26" s="179">
        <f t="shared" si="2"/>
        <v>4</v>
      </c>
      <c r="I26" s="179">
        <f t="shared" si="3"/>
        <v>-4</v>
      </c>
      <c r="J26" s="179"/>
      <c r="K26" s="179">
        <f t="shared" si="7"/>
        <v>-4</v>
      </c>
      <c r="L26" s="179">
        <v>1</v>
      </c>
      <c r="M26" s="179">
        <v>5</v>
      </c>
      <c r="N26" s="179"/>
      <c r="O26" s="179"/>
      <c r="P26" s="179"/>
    </row>
    <row r="27" spans="1:16" ht="12" customHeight="1">
      <c r="A27" s="542" t="s">
        <v>521</v>
      </c>
      <c r="B27" s="179">
        <v>42</v>
      </c>
      <c r="C27" s="179">
        <v>27</v>
      </c>
      <c r="D27" s="179">
        <v>6</v>
      </c>
      <c r="E27" s="179">
        <f t="shared" si="6"/>
        <v>33</v>
      </c>
      <c r="F27" s="179">
        <f t="shared" si="1"/>
        <v>9</v>
      </c>
      <c r="G27" s="179"/>
      <c r="H27" s="179">
        <f t="shared" si="2"/>
        <v>9</v>
      </c>
      <c r="I27" s="179">
        <f t="shared" si="3"/>
        <v>-9</v>
      </c>
      <c r="J27" s="179"/>
      <c r="K27" s="179">
        <f t="shared" si="7"/>
        <v>-9</v>
      </c>
      <c r="L27" s="179">
        <v>2</v>
      </c>
      <c r="M27" s="179">
        <v>11</v>
      </c>
      <c r="N27" s="179"/>
      <c r="O27" s="179"/>
      <c r="P27" s="179"/>
    </row>
    <row r="28" spans="1:16" ht="12" customHeight="1">
      <c r="A28" s="542" t="s">
        <v>522</v>
      </c>
      <c r="B28" s="179">
        <v>35</v>
      </c>
      <c r="C28" s="179">
        <v>15</v>
      </c>
      <c r="D28" s="179">
        <v>14</v>
      </c>
      <c r="E28" s="179">
        <f t="shared" si="6"/>
        <v>29</v>
      </c>
      <c r="F28" s="179">
        <f t="shared" si="1"/>
        <v>6</v>
      </c>
      <c r="G28" s="179"/>
      <c r="H28" s="179">
        <f t="shared" si="2"/>
        <v>6</v>
      </c>
      <c r="I28" s="179">
        <f t="shared" si="3"/>
        <v>-6</v>
      </c>
      <c r="J28" s="179"/>
      <c r="K28" s="179">
        <f t="shared" si="7"/>
        <v>-6</v>
      </c>
      <c r="L28" s="179">
        <v>17</v>
      </c>
      <c r="M28" s="179">
        <v>23</v>
      </c>
      <c r="N28" s="179"/>
      <c r="O28" s="179"/>
      <c r="P28" s="179"/>
    </row>
    <row r="29" spans="1:16" ht="12" customHeight="1">
      <c r="A29" s="542" t="s">
        <v>523</v>
      </c>
      <c r="B29" s="179">
        <v>25</v>
      </c>
      <c r="C29" s="179">
        <v>22</v>
      </c>
      <c r="D29" s="179">
        <v>3</v>
      </c>
      <c r="E29" s="179">
        <f t="shared" si="6"/>
        <v>25</v>
      </c>
      <c r="F29" s="179">
        <f t="shared" si="1"/>
        <v>0</v>
      </c>
      <c r="G29" s="179"/>
      <c r="H29" s="179">
        <f t="shared" si="2"/>
        <v>0</v>
      </c>
      <c r="I29" s="179">
        <f t="shared" si="3"/>
        <v>0</v>
      </c>
      <c r="J29" s="179"/>
      <c r="K29" s="179">
        <f t="shared" si="7"/>
        <v>0</v>
      </c>
      <c r="L29" s="179">
        <v>1</v>
      </c>
      <c r="M29" s="179">
        <v>1</v>
      </c>
      <c r="N29" s="179"/>
      <c r="O29" s="179"/>
      <c r="P29" s="179"/>
    </row>
    <row r="30" spans="1:16" ht="12" customHeight="1">
      <c r="A30" s="542" t="s">
        <v>524</v>
      </c>
      <c r="B30" s="179">
        <v>16</v>
      </c>
      <c r="C30" s="179">
        <v>18</v>
      </c>
      <c r="D30" s="179"/>
      <c r="E30" s="179">
        <f t="shared" si="6"/>
        <v>18</v>
      </c>
      <c r="F30" s="179">
        <f t="shared" si="1"/>
        <v>-2</v>
      </c>
      <c r="G30" s="179"/>
      <c r="H30" s="179">
        <f t="shared" si="2"/>
        <v>-2</v>
      </c>
      <c r="I30" s="179">
        <f t="shared" si="3"/>
        <v>2</v>
      </c>
      <c r="J30" s="179"/>
      <c r="K30" s="179">
        <f t="shared" si="7"/>
        <v>2</v>
      </c>
      <c r="L30" s="179">
        <v>8</v>
      </c>
      <c r="M30" s="179">
        <v>6</v>
      </c>
      <c r="N30" s="179"/>
      <c r="O30" s="179"/>
      <c r="P30" s="179"/>
    </row>
    <row r="31" spans="1:16" ht="12" customHeight="1">
      <c r="A31" s="542" t="s">
        <v>525</v>
      </c>
      <c r="B31" s="179">
        <v>14</v>
      </c>
      <c r="C31" s="179">
        <v>5</v>
      </c>
      <c r="D31" s="179">
        <v>1</v>
      </c>
      <c r="E31" s="179">
        <f t="shared" si="6"/>
        <v>6</v>
      </c>
      <c r="F31" s="179">
        <f t="shared" si="1"/>
        <v>8</v>
      </c>
      <c r="G31" s="179"/>
      <c r="H31" s="179">
        <f t="shared" si="2"/>
        <v>8</v>
      </c>
      <c r="I31" s="179">
        <f t="shared" si="3"/>
        <v>-8</v>
      </c>
      <c r="J31" s="179"/>
      <c r="K31" s="179">
        <f t="shared" si="7"/>
        <v>-8</v>
      </c>
      <c r="L31" s="179">
        <v>2</v>
      </c>
      <c r="M31" s="179">
        <v>10</v>
      </c>
      <c r="N31" s="179"/>
      <c r="O31" s="179"/>
      <c r="P31" s="179"/>
    </row>
    <row r="32" spans="1:16" ht="12" customHeight="1">
      <c r="A32" s="542" t="s">
        <v>526</v>
      </c>
      <c r="B32" s="179">
        <v>19</v>
      </c>
      <c r="C32" s="179">
        <v>11</v>
      </c>
      <c r="D32" s="179">
        <v>4</v>
      </c>
      <c r="E32" s="179">
        <f t="shared" si="6"/>
        <v>15</v>
      </c>
      <c r="F32" s="179">
        <f t="shared" si="1"/>
        <v>4</v>
      </c>
      <c r="G32" s="179"/>
      <c r="H32" s="179">
        <f t="shared" si="2"/>
        <v>4</v>
      </c>
      <c r="I32" s="179">
        <f t="shared" si="3"/>
        <v>-4</v>
      </c>
      <c r="J32" s="179"/>
      <c r="K32" s="179">
        <f t="shared" si="7"/>
        <v>-4</v>
      </c>
      <c r="L32" s="179">
        <v>4</v>
      </c>
      <c r="M32" s="179">
        <v>8</v>
      </c>
      <c r="N32" s="179"/>
      <c r="O32" s="179"/>
      <c r="P32" s="179"/>
    </row>
    <row r="33" spans="1:16" ht="12" customHeight="1">
      <c r="A33" s="542" t="s">
        <v>527</v>
      </c>
      <c r="B33" s="179">
        <v>3</v>
      </c>
      <c r="C33" s="179">
        <v>2</v>
      </c>
      <c r="D33" s="179">
        <v>1</v>
      </c>
      <c r="E33" s="179">
        <f t="shared" si="6"/>
        <v>3</v>
      </c>
      <c r="F33" s="179">
        <f t="shared" si="1"/>
        <v>0</v>
      </c>
      <c r="G33" s="179"/>
      <c r="H33" s="179">
        <f t="shared" si="2"/>
        <v>0</v>
      </c>
      <c r="I33" s="179">
        <f t="shared" si="3"/>
        <v>0</v>
      </c>
      <c r="J33" s="179"/>
      <c r="K33" s="179">
        <f t="shared" si="7"/>
        <v>0</v>
      </c>
      <c r="L33" s="179">
        <v>3</v>
      </c>
      <c r="M33" s="179">
        <v>3</v>
      </c>
      <c r="N33" s="179"/>
      <c r="O33" s="179"/>
      <c r="P33" s="179"/>
    </row>
    <row r="34" spans="1:16" ht="12" customHeight="1">
      <c r="A34" s="542" t="s">
        <v>528</v>
      </c>
      <c r="B34" s="179">
        <v>30</v>
      </c>
      <c r="C34" s="179">
        <v>23</v>
      </c>
      <c r="D34" s="179">
        <v>7</v>
      </c>
      <c r="E34" s="179">
        <f t="shared" si="6"/>
        <v>30</v>
      </c>
      <c r="F34" s="179">
        <f t="shared" si="1"/>
        <v>0</v>
      </c>
      <c r="G34" s="179"/>
      <c r="H34" s="179">
        <f t="shared" si="2"/>
        <v>0</v>
      </c>
      <c r="I34" s="179">
        <f t="shared" si="3"/>
        <v>0</v>
      </c>
      <c r="J34" s="179"/>
      <c r="K34" s="179">
        <f t="shared" si="7"/>
        <v>0</v>
      </c>
      <c r="L34" s="179">
        <v>4</v>
      </c>
      <c r="M34" s="179">
        <v>4</v>
      </c>
      <c r="N34" s="179"/>
      <c r="O34" s="179"/>
      <c r="P34" s="179"/>
    </row>
    <row r="35" spans="1:16" ht="12" customHeight="1">
      <c r="A35" s="542" t="s">
        <v>529</v>
      </c>
      <c r="B35" s="179">
        <v>28</v>
      </c>
      <c r="C35" s="179">
        <v>21</v>
      </c>
      <c r="D35" s="179">
        <v>8</v>
      </c>
      <c r="E35" s="179">
        <f t="shared" si="6"/>
        <v>29</v>
      </c>
      <c r="F35" s="179">
        <f t="shared" si="1"/>
        <v>-1</v>
      </c>
      <c r="G35" s="179"/>
      <c r="H35" s="179">
        <f t="shared" si="2"/>
        <v>-1</v>
      </c>
      <c r="I35" s="179">
        <f t="shared" si="3"/>
        <v>1</v>
      </c>
      <c r="J35" s="179"/>
      <c r="K35" s="179">
        <f t="shared" si="7"/>
        <v>1</v>
      </c>
      <c r="L35" s="179">
        <v>4</v>
      </c>
      <c r="M35" s="179">
        <v>3</v>
      </c>
      <c r="N35" s="179"/>
      <c r="O35" s="179"/>
      <c r="P35" s="179"/>
    </row>
    <row r="36" spans="1:16" ht="12" customHeight="1">
      <c r="A36" s="542" t="s">
        <v>530</v>
      </c>
      <c r="B36" s="179">
        <v>23</v>
      </c>
      <c r="C36" s="179">
        <v>20</v>
      </c>
      <c r="D36" s="179">
        <v>11</v>
      </c>
      <c r="E36" s="179">
        <f t="shared" si="6"/>
        <v>31</v>
      </c>
      <c r="F36" s="179">
        <f t="shared" si="1"/>
        <v>-8</v>
      </c>
      <c r="G36" s="179"/>
      <c r="H36" s="179">
        <f t="shared" si="2"/>
        <v>-8</v>
      </c>
      <c r="I36" s="179">
        <f t="shared" si="3"/>
        <v>8</v>
      </c>
      <c r="J36" s="179"/>
      <c r="K36" s="179">
        <f t="shared" si="7"/>
        <v>8</v>
      </c>
      <c r="L36" s="179">
        <v>15</v>
      </c>
      <c r="M36" s="179">
        <v>7</v>
      </c>
      <c r="N36" s="179"/>
      <c r="O36" s="179"/>
      <c r="P36" s="179"/>
    </row>
    <row r="37" spans="1:16" ht="12" customHeight="1">
      <c r="A37" s="542" t="s">
        <v>531</v>
      </c>
      <c r="B37" s="179">
        <v>6</v>
      </c>
      <c r="C37" s="179">
        <v>6</v>
      </c>
      <c r="D37" s="179">
        <v>1</v>
      </c>
      <c r="E37" s="179">
        <f t="shared" si="6"/>
        <v>7</v>
      </c>
      <c r="F37" s="179">
        <f t="shared" si="1"/>
        <v>-1</v>
      </c>
      <c r="G37" s="179"/>
      <c r="H37" s="179">
        <f t="shared" si="2"/>
        <v>-1</v>
      </c>
      <c r="I37" s="179">
        <f t="shared" si="3"/>
        <v>1</v>
      </c>
      <c r="J37" s="179"/>
      <c r="K37" s="179">
        <f t="shared" si="7"/>
        <v>1</v>
      </c>
      <c r="L37" s="179">
        <v>1</v>
      </c>
      <c r="M37" s="179"/>
      <c r="N37" s="179"/>
      <c r="O37" s="179"/>
      <c r="P37" s="179"/>
    </row>
    <row r="38" spans="1:16" ht="12" customHeight="1">
      <c r="A38" s="542" t="s">
        <v>532</v>
      </c>
      <c r="B38" s="179">
        <v>113</v>
      </c>
      <c r="C38" s="179">
        <v>75</v>
      </c>
      <c r="D38" s="179">
        <v>14</v>
      </c>
      <c r="E38" s="179">
        <f t="shared" si="6"/>
        <v>89</v>
      </c>
      <c r="F38" s="179">
        <f t="shared" si="1"/>
        <v>24</v>
      </c>
      <c r="G38" s="179"/>
      <c r="H38" s="179">
        <f t="shared" si="2"/>
        <v>24</v>
      </c>
      <c r="I38" s="179">
        <f t="shared" si="3"/>
        <v>-24</v>
      </c>
      <c r="J38" s="179"/>
      <c r="K38" s="179">
        <f t="shared" si="7"/>
        <v>-24</v>
      </c>
      <c r="L38" s="179">
        <v>17</v>
      </c>
      <c r="M38" s="179">
        <v>41</v>
      </c>
      <c r="N38" s="179"/>
      <c r="O38" s="179"/>
      <c r="P38" s="179"/>
    </row>
    <row r="39" spans="1:16" ht="12" customHeight="1">
      <c r="A39" s="542" t="s">
        <v>533</v>
      </c>
      <c r="B39" s="179">
        <v>32</v>
      </c>
      <c r="C39" s="179">
        <v>27</v>
      </c>
      <c r="D39" s="179">
        <v>6</v>
      </c>
      <c r="E39" s="179">
        <f t="shared" si="6"/>
        <v>33</v>
      </c>
      <c r="F39" s="179">
        <f t="shared" si="1"/>
        <v>-1</v>
      </c>
      <c r="G39" s="179"/>
      <c r="H39" s="179">
        <f t="shared" si="2"/>
        <v>-1</v>
      </c>
      <c r="I39" s="179">
        <f t="shared" si="3"/>
        <v>1</v>
      </c>
      <c r="J39" s="179"/>
      <c r="K39" s="179">
        <f t="shared" si="7"/>
        <v>1</v>
      </c>
      <c r="L39" s="179">
        <v>3</v>
      </c>
      <c r="M39" s="179">
        <v>2</v>
      </c>
      <c r="N39" s="179"/>
      <c r="O39" s="179"/>
      <c r="P39" s="179"/>
    </row>
    <row r="40" spans="1:16" ht="12" customHeight="1">
      <c r="A40" s="542" t="s">
        <v>534</v>
      </c>
      <c r="B40" s="179">
        <v>85</v>
      </c>
      <c r="C40" s="179">
        <v>66</v>
      </c>
      <c r="D40" s="179">
        <v>11</v>
      </c>
      <c r="E40" s="179">
        <f t="shared" si="6"/>
        <v>77</v>
      </c>
      <c r="F40" s="179">
        <f t="shared" si="1"/>
        <v>8</v>
      </c>
      <c r="G40" s="179"/>
      <c r="H40" s="179">
        <f t="shared" si="2"/>
        <v>8</v>
      </c>
      <c r="I40" s="179">
        <f t="shared" si="3"/>
        <v>-8</v>
      </c>
      <c r="J40" s="179"/>
      <c r="K40" s="179">
        <f t="shared" si="7"/>
        <v>-8</v>
      </c>
      <c r="L40" s="179">
        <v>19</v>
      </c>
      <c r="M40" s="179">
        <v>27</v>
      </c>
      <c r="N40" s="179"/>
      <c r="O40" s="179"/>
      <c r="P40" s="179"/>
    </row>
    <row r="41" spans="1:16" ht="12" customHeight="1">
      <c r="A41" s="542" t="s">
        <v>535</v>
      </c>
      <c r="B41" s="179">
        <v>23</v>
      </c>
      <c r="C41" s="179">
        <v>29</v>
      </c>
      <c r="D41" s="179">
        <v>4</v>
      </c>
      <c r="E41" s="179">
        <f t="shared" si="6"/>
        <v>33</v>
      </c>
      <c r="F41" s="179">
        <f t="shared" si="1"/>
        <v>-10</v>
      </c>
      <c r="G41" s="179"/>
      <c r="H41" s="179">
        <f t="shared" si="2"/>
        <v>-10</v>
      </c>
      <c r="I41" s="179">
        <f t="shared" si="3"/>
        <v>10</v>
      </c>
      <c r="J41" s="179"/>
      <c r="K41" s="179">
        <f t="shared" si="7"/>
        <v>10</v>
      </c>
      <c r="L41" s="179">
        <v>11</v>
      </c>
      <c r="M41" s="179">
        <v>1</v>
      </c>
      <c r="N41" s="179"/>
      <c r="O41" s="179"/>
      <c r="P41" s="179"/>
    </row>
    <row r="42" spans="1:16" ht="12" customHeight="1">
      <c r="A42" s="542" t="s">
        <v>536</v>
      </c>
      <c r="B42" s="179">
        <v>7</v>
      </c>
      <c r="C42" s="179">
        <v>7</v>
      </c>
      <c r="D42" s="179">
        <v>3</v>
      </c>
      <c r="E42" s="179">
        <f t="shared" si="6"/>
        <v>10</v>
      </c>
      <c r="F42" s="179">
        <f t="shared" si="1"/>
        <v>-3</v>
      </c>
      <c r="G42" s="179"/>
      <c r="H42" s="179">
        <f t="shared" si="2"/>
        <v>-3</v>
      </c>
      <c r="I42" s="179">
        <f t="shared" si="3"/>
        <v>3</v>
      </c>
      <c r="J42" s="179"/>
      <c r="K42" s="179">
        <f t="shared" si="7"/>
        <v>3</v>
      </c>
      <c r="L42" s="179">
        <v>7</v>
      </c>
      <c r="M42" s="179">
        <v>4</v>
      </c>
      <c r="N42" s="179"/>
      <c r="O42" s="179"/>
      <c r="P42" s="179"/>
    </row>
    <row r="43" spans="1:16" ht="12" customHeight="1">
      <c r="A43" s="542" t="s">
        <v>537</v>
      </c>
      <c r="B43" s="179">
        <v>79</v>
      </c>
      <c r="C43" s="179">
        <v>35</v>
      </c>
      <c r="D43" s="179">
        <v>35</v>
      </c>
      <c r="E43" s="179">
        <f t="shared" si="6"/>
        <v>70</v>
      </c>
      <c r="F43" s="179">
        <f t="shared" si="1"/>
        <v>9</v>
      </c>
      <c r="G43" s="179"/>
      <c r="H43" s="179">
        <f t="shared" si="2"/>
        <v>9</v>
      </c>
      <c r="I43" s="179">
        <f t="shared" si="3"/>
        <v>-9</v>
      </c>
      <c r="J43" s="179"/>
      <c r="K43" s="179">
        <f t="shared" si="7"/>
        <v>-9</v>
      </c>
      <c r="L43" s="179">
        <v>6</v>
      </c>
      <c r="M43" s="179">
        <v>15</v>
      </c>
      <c r="N43" s="179"/>
      <c r="O43" s="179"/>
      <c r="P43" s="179"/>
    </row>
    <row r="44" spans="1:16" ht="12" customHeight="1">
      <c r="A44" s="542" t="s">
        <v>538</v>
      </c>
      <c r="B44" s="179">
        <v>4</v>
      </c>
      <c r="C44" s="179">
        <v>4</v>
      </c>
      <c r="D44" s="179"/>
      <c r="E44" s="179">
        <f t="shared" si="6"/>
        <v>4</v>
      </c>
      <c r="F44" s="179">
        <f t="shared" si="1"/>
        <v>0</v>
      </c>
      <c r="G44" s="179"/>
      <c r="H44" s="179">
        <f t="shared" si="2"/>
        <v>0</v>
      </c>
      <c r="I44" s="179">
        <f t="shared" si="3"/>
        <v>0</v>
      </c>
      <c r="J44" s="179"/>
      <c r="K44" s="179">
        <f t="shared" si="7"/>
        <v>0</v>
      </c>
      <c r="L44" s="179">
        <v>3</v>
      </c>
      <c r="M44" s="179">
        <v>3</v>
      </c>
      <c r="N44" s="179"/>
      <c r="O44" s="179"/>
      <c r="P44" s="179"/>
    </row>
    <row r="45" spans="1:16" ht="12" customHeight="1">
      <c r="A45" s="377" t="s">
        <v>539</v>
      </c>
      <c r="B45" s="179">
        <f aca="true" t="shared" si="8" ref="B45:G45">SUM(B19:B44)</f>
        <v>852</v>
      </c>
      <c r="C45" s="179">
        <f t="shared" si="8"/>
        <v>643</v>
      </c>
      <c r="D45" s="179">
        <f t="shared" si="8"/>
        <v>188</v>
      </c>
      <c r="E45" s="179">
        <f t="shared" si="8"/>
        <v>831</v>
      </c>
      <c r="F45" s="179">
        <f t="shared" si="8"/>
        <v>21</v>
      </c>
      <c r="G45" s="179">
        <f t="shared" si="8"/>
        <v>0</v>
      </c>
      <c r="H45" s="179">
        <f t="shared" si="2"/>
        <v>21</v>
      </c>
      <c r="I45" s="179">
        <f t="shared" si="3"/>
        <v>-21</v>
      </c>
      <c r="J45" s="179"/>
      <c r="K45" s="179">
        <f aca="true" t="shared" si="9" ref="K45:P45">SUM(K19:K44)</f>
        <v>-21</v>
      </c>
      <c r="L45" s="179">
        <f t="shared" si="9"/>
        <v>231</v>
      </c>
      <c r="M45" s="179">
        <f t="shared" si="9"/>
        <v>252</v>
      </c>
      <c r="N45" s="179">
        <f t="shared" si="9"/>
        <v>0</v>
      </c>
      <c r="O45" s="179">
        <f t="shared" si="9"/>
        <v>0</v>
      </c>
      <c r="P45" s="179">
        <f t="shared" si="9"/>
        <v>0</v>
      </c>
    </row>
    <row r="46" spans="1:16" ht="12" customHeight="1">
      <c r="A46" s="377" t="s">
        <v>540</v>
      </c>
      <c r="B46" s="179">
        <f aca="true" t="shared" si="10" ref="B46:P46">SUM(B18,B45)</f>
        <v>5091</v>
      </c>
      <c r="C46" s="179">
        <f t="shared" si="10"/>
        <v>2789</v>
      </c>
      <c r="D46" s="179">
        <f t="shared" si="10"/>
        <v>2613</v>
      </c>
      <c r="E46" s="179">
        <f t="shared" si="10"/>
        <v>5402</v>
      </c>
      <c r="F46" s="179">
        <f t="shared" si="10"/>
        <v>-311</v>
      </c>
      <c r="G46" s="179">
        <f t="shared" si="10"/>
        <v>-891</v>
      </c>
      <c r="H46" s="179">
        <f t="shared" si="10"/>
        <v>580</v>
      </c>
      <c r="I46" s="179">
        <f t="shared" si="10"/>
        <v>-580</v>
      </c>
      <c r="J46" s="179">
        <f t="shared" si="10"/>
        <v>0</v>
      </c>
      <c r="K46" s="179">
        <f t="shared" si="10"/>
        <v>-580</v>
      </c>
      <c r="L46" s="179">
        <f t="shared" si="10"/>
        <v>1844</v>
      </c>
      <c r="M46" s="179">
        <f t="shared" si="10"/>
        <v>2424</v>
      </c>
      <c r="N46" s="179">
        <f t="shared" si="10"/>
        <v>0</v>
      </c>
      <c r="O46" s="179">
        <f t="shared" si="10"/>
        <v>0</v>
      </c>
      <c r="P46" s="179">
        <f t="shared" si="10"/>
        <v>0</v>
      </c>
    </row>
    <row r="47" ht="17.25" customHeight="1"/>
    <row r="48" ht="17.25" customHeight="1"/>
    <row r="49" s="448" customFormat="1" ht="17.25" customHeight="1">
      <c r="A49" s="538"/>
    </row>
    <row r="54" spans="1:11" s="558" customFormat="1" ht="17.25" customHeight="1">
      <c r="A54" s="41" t="s">
        <v>733</v>
      </c>
      <c r="B54" s="39"/>
      <c r="C54" s="39"/>
      <c r="D54" s="443"/>
      <c r="E54" s="527"/>
      <c r="F54" s="443"/>
      <c r="H54" s="443"/>
      <c r="I54" s="448"/>
      <c r="K54" s="39" t="s">
        <v>959</v>
      </c>
    </row>
    <row r="56" spans="1:8" s="447" customFormat="1" ht="17.25" customHeight="1">
      <c r="A56" s="472"/>
      <c r="B56" s="552"/>
      <c r="C56" s="443"/>
      <c r="D56" s="551"/>
      <c r="E56" s="443"/>
      <c r="F56" s="551"/>
      <c r="G56" s="551"/>
      <c r="H56" s="443"/>
    </row>
    <row r="58" spans="1:16" s="448" customFormat="1" ht="17.25" customHeight="1">
      <c r="A58" s="494" t="s">
        <v>134</v>
      </c>
      <c r="B58" s="132"/>
      <c r="C58" s="1"/>
      <c r="D58" s="132"/>
      <c r="E58" s="132"/>
      <c r="F58" s="132"/>
      <c r="G58" s="1"/>
      <c r="H58" s="559"/>
      <c r="I58" s="132"/>
      <c r="J58" s="132"/>
      <c r="K58" s="132"/>
      <c r="L58" s="132"/>
      <c r="M58" s="132"/>
      <c r="N58" s="132"/>
      <c r="O58" s="132"/>
      <c r="P58" s="132"/>
    </row>
    <row r="59" s="558" customFormat="1" ht="17.25" customHeight="1">
      <c r="A59" s="464" t="s">
        <v>316</v>
      </c>
    </row>
    <row r="60" spans="1:6" s="558" customFormat="1" ht="17.25" customHeight="1">
      <c r="A60" s="560"/>
      <c r="B60" s="443"/>
      <c r="C60" s="443"/>
      <c r="D60" s="443"/>
      <c r="E60" s="443"/>
      <c r="F60" s="443"/>
    </row>
    <row r="61" ht="24" customHeight="1"/>
    <row r="67" ht="17.25" customHeight="1">
      <c r="A67" s="234"/>
    </row>
    <row r="68" s="234" customFormat="1" ht="17.25" customHeight="1">
      <c r="A68" s="462"/>
    </row>
    <row r="69" ht="17.25" customHeight="1">
      <c r="A69" s="462"/>
    </row>
  </sheetData>
  <mergeCells count="12">
    <mergeCell ref="P7:P9"/>
    <mergeCell ref="J8:O8"/>
    <mergeCell ref="A2:P2"/>
    <mergeCell ref="A4:P4"/>
    <mergeCell ref="A5:P5"/>
    <mergeCell ref="A7:A9"/>
    <mergeCell ref="B7:B9"/>
    <mergeCell ref="C7:E8"/>
    <mergeCell ref="F7:F9"/>
    <mergeCell ref="G7:G9"/>
    <mergeCell ref="H7:H9"/>
    <mergeCell ref="I7:I9"/>
  </mergeCells>
  <printOptions/>
  <pageMargins left="0.25" right="0.25" top="1" bottom="1" header="0.5" footer="0.5"/>
  <pageSetup firstPageNumber="42" useFirstPageNumber="1" horizontalDpi="600" verticalDpi="600" orientation="landscape" paperSize="9" scale="92" r:id="rId1"/>
  <headerFooter alignWithMargins="0">
    <oddFooter>&amp;R&amp;9&amp;P</oddFooter>
  </headerFooter>
  <rowBreaks count="1" manualBreakCount="1">
    <brk id="32" max="1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F53"/>
  <sheetViews>
    <sheetView workbookViewId="0" topLeftCell="A1">
      <selection activeCell="A3" sqref="A3"/>
    </sheetView>
  </sheetViews>
  <sheetFormatPr defaultColWidth="9.140625" defaultRowHeight="17.25" customHeight="1"/>
  <cols>
    <col min="1" max="1" width="36.28125" style="229" customWidth="1"/>
    <col min="2" max="2" width="14.421875" style="229" customWidth="1"/>
    <col min="3" max="3" width="11.00390625" style="42" customWidth="1"/>
    <col min="4" max="4" width="12.7109375" style="39" customWidth="1"/>
    <col min="5" max="5" width="9.8515625" style="42" customWidth="1"/>
  </cols>
  <sheetData>
    <row r="1" spans="2:5" ht="17.25" customHeight="1">
      <c r="B1" s="51"/>
      <c r="C1" s="371"/>
      <c r="E1" s="370" t="s">
        <v>591</v>
      </c>
    </row>
    <row r="2" ht="17.25" customHeight="1">
      <c r="A2" s="229" t="s">
        <v>219</v>
      </c>
    </row>
    <row r="4" spans="1:5" ht="30" customHeight="1">
      <c r="A4" s="842" t="s">
        <v>592</v>
      </c>
      <c r="B4" s="842"/>
      <c r="C4" s="842"/>
      <c r="D4" s="842"/>
      <c r="E4" s="842"/>
    </row>
    <row r="5" spans="1:5" ht="17.25" customHeight="1">
      <c r="A5" s="903" t="s">
        <v>318</v>
      </c>
      <c r="B5" s="903"/>
      <c r="C5" s="903"/>
      <c r="D5" s="903"/>
      <c r="E5" s="903"/>
    </row>
    <row r="6" ht="17.25" customHeight="1">
      <c r="E6" s="370" t="s">
        <v>842</v>
      </c>
    </row>
    <row r="7" spans="1:5" ht="38.25">
      <c r="A7" s="274" t="s">
        <v>738</v>
      </c>
      <c r="B7" s="499" t="s">
        <v>271</v>
      </c>
      <c r="C7" s="275" t="s">
        <v>221</v>
      </c>
      <c r="D7" s="274" t="s">
        <v>593</v>
      </c>
      <c r="E7" s="9" t="s">
        <v>312</v>
      </c>
    </row>
    <row r="8" spans="1:5" ht="17.25" customHeight="1">
      <c r="A8" s="240">
        <v>1</v>
      </c>
      <c r="B8" s="240">
        <v>2</v>
      </c>
      <c r="C8" s="319">
        <v>3</v>
      </c>
      <c r="D8" s="240">
        <v>4</v>
      </c>
      <c r="E8" s="319">
        <v>5</v>
      </c>
    </row>
    <row r="9" spans="1:5" ht="25.5">
      <c r="A9" s="92" t="s">
        <v>223</v>
      </c>
      <c r="B9" s="240" t="s">
        <v>744</v>
      </c>
      <c r="C9" s="375">
        <f>SUM(C10:C11)</f>
        <v>5091</v>
      </c>
      <c r="D9" s="240" t="s">
        <v>744</v>
      </c>
      <c r="E9" s="375">
        <f>C9-'[24]Oktobris'!C9</f>
        <v>879</v>
      </c>
    </row>
    <row r="10" spans="1:5" ht="25.5">
      <c r="A10" s="69" t="s">
        <v>224</v>
      </c>
      <c r="B10" s="240" t="s">
        <v>744</v>
      </c>
      <c r="C10" s="374">
        <v>4103</v>
      </c>
      <c r="D10" s="240" t="s">
        <v>744</v>
      </c>
      <c r="E10" s="374">
        <f>C10-'[24]Oktobris'!C10</f>
        <v>771</v>
      </c>
    </row>
    <row r="11" spans="1:5" ht="25.5">
      <c r="A11" s="69" t="s">
        <v>225</v>
      </c>
      <c r="B11" s="240" t="s">
        <v>744</v>
      </c>
      <c r="C11" s="374">
        <v>988</v>
      </c>
      <c r="D11" s="240" t="s">
        <v>744</v>
      </c>
      <c r="E11" s="374">
        <f>C11-'[24]Oktobris'!C11</f>
        <v>108</v>
      </c>
    </row>
    <row r="12" spans="1:5" ht="25.5">
      <c r="A12" s="69" t="s">
        <v>226</v>
      </c>
      <c r="B12" s="240" t="s">
        <v>744</v>
      </c>
      <c r="C12" s="374">
        <v>0</v>
      </c>
      <c r="D12" s="240" t="s">
        <v>744</v>
      </c>
      <c r="E12" s="374">
        <v>0</v>
      </c>
    </row>
    <row r="13" spans="1:5" ht="17.25" customHeight="1">
      <c r="A13" s="92" t="s">
        <v>227</v>
      </c>
      <c r="B13" s="96">
        <f>SUM(B14,B31,)</f>
        <v>7268</v>
      </c>
      <c r="C13" s="96">
        <f>SUM(C14,C31,)</f>
        <v>5402</v>
      </c>
      <c r="D13" s="686">
        <f>C13/B13*100</f>
        <v>74.32581177765547</v>
      </c>
      <c r="E13" s="96">
        <f>C13-'[24]Oktobris'!C13</f>
        <v>504</v>
      </c>
    </row>
    <row r="14" spans="1:5" ht="17.25" customHeight="1">
      <c r="A14" s="98" t="s">
        <v>143</v>
      </c>
      <c r="B14" s="96">
        <v>4139</v>
      </c>
      <c r="C14" s="96">
        <f>SUM(C15,C22,C25)</f>
        <v>2789</v>
      </c>
      <c r="D14" s="686">
        <f>C14/B14*100</f>
        <v>67.38342594829669</v>
      </c>
      <c r="E14" s="96">
        <f>C14-'[24]Oktobris'!C14</f>
        <v>250</v>
      </c>
    </row>
    <row r="15" spans="1:5" ht="17.25" customHeight="1">
      <c r="A15" s="98" t="s">
        <v>1055</v>
      </c>
      <c r="B15" s="334">
        <v>3626</v>
      </c>
      <c r="C15" s="334">
        <f>SUM(C17,C16,C18)</f>
        <v>2478</v>
      </c>
      <c r="D15" s="687">
        <f>C15/B15*100</f>
        <v>68.33976833976834</v>
      </c>
      <c r="E15" s="334">
        <f>C15-'[24]Oktobris'!C15</f>
        <v>183</v>
      </c>
    </row>
    <row r="16" spans="1:5" ht="17.25" customHeight="1">
      <c r="A16" s="215" t="s">
        <v>1056</v>
      </c>
      <c r="B16" s="380">
        <v>358</v>
      </c>
      <c r="C16" s="374">
        <v>286</v>
      </c>
      <c r="D16" s="688">
        <f>C16/B16*100</f>
        <v>79.88826815642457</v>
      </c>
      <c r="E16" s="374">
        <f>C16-'[24]Oktobris'!C16</f>
        <v>32</v>
      </c>
    </row>
    <row r="17" spans="1:5" ht="25.5">
      <c r="A17" s="69" t="s">
        <v>228</v>
      </c>
      <c r="B17" s="303" t="s">
        <v>744</v>
      </c>
      <c r="C17" s="374">
        <v>70</v>
      </c>
      <c r="D17" s="303" t="s">
        <v>744</v>
      </c>
      <c r="E17" s="374">
        <f>C17-'[24]Oktobris'!C17</f>
        <v>9</v>
      </c>
    </row>
    <row r="18" spans="1:5" ht="17.25" customHeight="1">
      <c r="A18" s="69" t="s">
        <v>1058</v>
      </c>
      <c r="B18" s="303" t="s">
        <v>744</v>
      </c>
      <c r="C18" s="253">
        <v>2122</v>
      </c>
      <c r="D18" s="303" t="s">
        <v>744</v>
      </c>
      <c r="E18" s="253">
        <f>C18-'[24]Oktobris'!C18</f>
        <v>142</v>
      </c>
    </row>
    <row r="19" spans="1:5" ht="17.25" customHeight="1">
      <c r="A19" s="304" t="s">
        <v>229</v>
      </c>
      <c r="B19" s="383" t="s">
        <v>744</v>
      </c>
      <c r="C19" s="374">
        <f>324+1672</f>
        <v>1996</v>
      </c>
      <c r="D19" s="383" t="s">
        <v>744</v>
      </c>
      <c r="E19" s="374">
        <f>C19-'[24]Oktobris'!C19</f>
        <v>131</v>
      </c>
    </row>
    <row r="20" spans="1:5" ht="17.25" customHeight="1">
      <c r="A20" s="304" t="s">
        <v>230</v>
      </c>
      <c r="B20" s="383" t="s">
        <v>744</v>
      </c>
      <c r="C20" s="374">
        <v>126</v>
      </c>
      <c r="D20" s="383" t="s">
        <v>744</v>
      </c>
      <c r="E20" s="374">
        <f>C20-'[24]Oktobris'!C20</f>
        <v>11</v>
      </c>
    </row>
    <row r="21" spans="1:5" ht="17.25" customHeight="1">
      <c r="A21" s="69" t="s">
        <v>231</v>
      </c>
      <c r="B21" s="303" t="s">
        <v>744</v>
      </c>
      <c r="C21" s="374"/>
      <c r="D21" s="303" t="s">
        <v>744</v>
      </c>
      <c r="E21" s="374"/>
    </row>
    <row r="22" spans="1:5" ht="25.5">
      <c r="A22" s="76" t="s">
        <v>1059</v>
      </c>
      <c r="B22" s="303" t="s">
        <v>744</v>
      </c>
      <c r="C22" s="334">
        <v>5</v>
      </c>
      <c r="D22" s="561" t="str">
        <f>IF(ISERROR(ROUND(C22,0)/ROUND(g,0))," ",(ROUND(C22,)/ROUND(B22,)))</f>
        <v> </v>
      </c>
      <c r="E22" s="375">
        <f>C22-'[24]Oktobris'!C22</f>
        <v>0</v>
      </c>
    </row>
    <row r="23" spans="1:5" ht="25.5">
      <c r="A23" s="69" t="s">
        <v>232</v>
      </c>
      <c r="B23" s="303" t="s">
        <v>744</v>
      </c>
      <c r="C23" s="374">
        <v>5</v>
      </c>
      <c r="D23" s="303" t="s">
        <v>744</v>
      </c>
      <c r="E23" s="374">
        <f>C23-'[24]Oktobris'!C23</f>
        <v>0</v>
      </c>
    </row>
    <row r="24" spans="1:5" ht="25.5">
      <c r="A24" s="69" t="s">
        <v>233</v>
      </c>
      <c r="B24" s="303" t="s">
        <v>744</v>
      </c>
      <c r="C24" s="374"/>
      <c r="D24" s="303" t="s">
        <v>744</v>
      </c>
      <c r="E24" s="374"/>
    </row>
    <row r="25" spans="1:6" ht="17.25" customHeight="1">
      <c r="A25" s="32" t="s">
        <v>3</v>
      </c>
      <c r="B25" s="377">
        <v>512</v>
      </c>
      <c r="C25" s="334">
        <f>SUM(C26:C30)</f>
        <v>306</v>
      </c>
      <c r="D25" s="689">
        <f>C25/B25*100</f>
        <v>59.765625</v>
      </c>
      <c r="E25" s="334">
        <f>C25-'[24]Oktobris'!C25</f>
        <v>67</v>
      </c>
      <c r="F25" s="426"/>
    </row>
    <row r="26" spans="1:5" ht="17.25" customHeight="1">
      <c r="A26" s="215" t="s">
        <v>4</v>
      </c>
      <c r="B26" s="303" t="s">
        <v>744</v>
      </c>
      <c r="C26" s="374">
        <v>34</v>
      </c>
      <c r="D26" s="303" t="s">
        <v>744</v>
      </c>
      <c r="E26" s="334"/>
    </row>
    <row r="27" spans="1:5" ht="17.25" customHeight="1">
      <c r="A27" s="215" t="s">
        <v>5</v>
      </c>
      <c r="B27" s="303" t="s">
        <v>744</v>
      </c>
      <c r="C27" s="374">
        <v>10</v>
      </c>
      <c r="D27" s="303" t="s">
        <v>744</v>
      </c>
      <c r="E27" s="253">
        <f>C27-'[24]Oktobris'!C27</f>
        <v>0</v>
      </c>
    </row>
    <row r="28" spans="1:5" ht="17.25" customHeight="1">
      <c r="A28" s="69" t="s">
        <v>6</v>
      </c>
      <c r="B28" s="303" t="s">
        <v>744</v>
      </c>
      <c r="C28" s="374"/>
      <c r="D28" s="303" t="s">
        <v>744</v>
      </c>
      <c r="E28" s="253"/>
    </row>
    <row r="29" spans="1:5" ht="17.25" customHeight="1">
      <c r="A29" s="69" t="s">
        <v>234</v>
      </c>
      <c r="B29" s="303" t="s">
        <v>744</v>
      </c>
      <c r="C29" s="374">
        <v>222</v>
      </c>
      <c r="D29" s="303" t="s">
        <v>744</v>
      </c>
      <c r="E29" s="253">
        <f>C29-'[24]Oktobris'!C29</f>
        <v>62</v>
      </c>
    </row>
    <row r="30" spans="1:5" ht="17.25" customHeight="1">
      <c r="A30" s="69" t="s">
        <v>9</v>
      </c>
      <c r="B30" s="303" t="s">
        <v>744</v>
      </c>
      <c r="C30" s="374">
        <v>40</v>
      </c>
      <c r="D30" s="303" t="s">
        <v>744</v>
      </c>
      <c r="E30" s="374">
        <f>C30-'[24]Oktobris'!C30</f>
        <v>4</v>
      </c>
    </row>
    <row r="31" spans="1:5" ht="17.25" customHeight="1">
      <c r="A31" s="126" t="s">
        <v>235</v>
      </c>
      <c r="B31" s="334">
        <f>SUM(B32:B33)</f>
        <v>3129</v>
      </c>
      <c r="C31" s="334">
        <f>SUM(C32:C33)</f>
        <v>2613</v>
      </c>
      <c r="D31" s="689">
        <f>C31/B31*100</f>
        <v>83.5091083413231</v>
      </c>
      <c r="E31" s="334">
        <f>C31-'[24]Oktobris'!C31</f>
        <v>254</v>
      </c>
    </row>
    <row r="32" spans="1:5" ht="17.25" customHeight="1">
      <c r="A32" s="69" t="s">
        <v>236</v>
      </c>
      <c r="B32" s="380">
        <f>2516+35</f>
        <v>2551</v>
      </c>
      <c r="C32" s="374">
        <v>2085</v>
      </c>
      <c r="D32" s="690">
        <f>C32/B32*100</f>
        <v>81.73265386123089</v>
      </c>
      <c r="E32" s="374">
        <f>C32-'[24]Oktobris'!C32</f>
        <v>214</v>
      </c>
    </row>
    <row r="33" spans="1:5" ht="17.25" customHeight="1">
      <c r="A33" s="69" t="s">
        <v>237</v>
      </c>
      <c r="B33" s="380">
        <v>578</v>
      </c>
      <c r="C33" s="374">
        <v>528</v>
      </c>
      <c r="D33" s="690">
        <f>C33/B33*100</f>
        <v>91.34948096885813</v>
      </c>
      <c r="E33" s="374">
        <f>C33-'[24]Oktobris'!C33</f>
        <v>40</v>
      </c>
    </row>
    <row r="34" spans="1:5" ht="17.25" customHeight="1">
      <c r="A34" s="500" t="s">
        <v>450</v>
      </c>
      <c r="B34" s="375">
        <f>B35-B36</f>
        <v>-921</v>
      </c>
      <c r="C34" s="375">
        <f>C35-C36</f>
        <v>-891</v>
      </c>
      <c r="D34" s="689">
        <f>C34/B34*100</f>
        <v>96.74267100977198</v>
      </c>
      <c r="E34" s="375">
        <f>C34-'[24]Oktobris'!C34</f>
        <v>-11</v>
      </c>
    </row>
    <row r="35" spans="1:5" ht="17.25" customHeight="1">
      <c r="A35" s="501" t="s">
        <v>451</v>
      </c>
      <c r="B35" s="380"/>
      <c r="C35" s="374"/>
      <c r="D35" s="690"/>
      <c r="E35" s="374">
        <v>0</v>
      </c>
    </row>
    <row r="36" spans="1:5" ht="25.5">
      <c r="A36" s="501" t="s">
        <v>452</v>
      </c>
      <c r="B36" s="380">
        <v>921</v>
      </c>
      <c r="C36" s="374">
        <v>891</v>
      </c>
      <c r="D36" s="690">
        <f>C36/B36*100</f>
        <v>96.74267100977198</v>
      </c>
      <c r="E36" s="374">
        <f>C36-'[24]Oktobris'!C36</f>
        <v>11</v>
      </c>
    </row>
    <row r="37" spans="1:5" ht="17.25" customHeight="1">
      <c r="A37" s="126" t="s">
        <v>594</v>
      </c>
      <c r="B37" s="303" t="s">
        <v>744</v>
      </c>
      <c r="C37" s="334">
        <f>C9-C13-C34</f>
        <v>580</v>
      </c>
      <c r="D37" s="562" t="s">
        <v>744</v>
      </c>
      <c r="E37" s="563" t="s">
        <v>744</v>
      </c>
    </row>
    <row r="38" spans="1:5" ht="17.25" customHeight="1">
      <c r="A38" s="126" t="s">
        <v>29</v>
      </c>
      <c r="B38" s="303" t="s">
        <v>744</v>
      </c>
      <c r="C38" s="334">
        <f>-C37</f>
        <v>-580</v>
      </c>
      <c r="D38" s="562" t="s">
        <v>744</v>
      </c>
      <c r="E38" s="563" t="s">
        <v>744</v>
      </c>
    </row>
    <row r="39" spans="1:5" ht="25.5">
      <c r="A39" s="129" t="s">
        <v>239</v>
      </c>
      <c r="B39" s="303" t="s">
        <v>744</v>
      </c>
      <c r="C39" s="334">
        <f>C38</f>
        <v>-580</v>
      </c>
      <c r="D39" s="303" t="s">
        <v>744</v>
      </c>
      <c r="E39" s="319" t="s">
        <v>744</v>
      </c>
    </row>
    <row r="40" spans="1:5" ht="17.25" customHeight="1">
      <c r="A40" s="904"/>
      <c r="B40" s="904"/>
      <c r="C40" s="904"/>
      <c r="D40" s="904"/>
      <c r="E40" s="904"/>
    </row>
    <row r="42" spans="1:5" ht="17.25" customHeight="1">
      <c r="A42" s="84"/>
      <c r="B42" s="386"/>
      <c r="C42" s="388"/>
      <c r="D42" s="314"/>
      <c r="E42" s="388"/>
    </row>
    <row r="43" spans="1:5" ht="17.25" customHeight="1">
      <c r="A43" s="84"/>
      <c r="B43" s="84"/>
      <c r="C43" s="389"/>
      <c r="D43" s="344"/>
      <c r="E43" s="388"/>
    </row>
    <row r="44" spans="1:4" ht="17.25" customHeight="1">
      <c r="A44" s="41" t="s">
        <v>733</v>
      </c>
      <c r="B44" s="39"/>
      <c r="C44" s="39"/>
      <c r="D44" s="39" t="s">
        <v>959</v>
      </c>
    </row>
    <row r="45" spans="1:4" ht="17.25" customHeight="1">
      <c r="A45" s="84"/>
      <c r="B45" s="386"/>
      <c r="C45" s="388"/>
      <c r="D45" s="314"/>
    </row>
    <row r="46" spans="2:5" ht="17.25" customHeight="1">
      <c r="B46" s="390"/>
      <c r="C46" s="371"/>
      <c r="D46" s="391"/>
      <c r="E46" s="371"/>
    </row>
    <row r="47" spans="2:4" ht="17.25" customHeight="1">
      <c r="B47" s="42"/>
      <c r="D47" s="391"/>
    </row>
    <row r="48" spans="2:4" ht="17.25" customHeight="1">
      <c r="B48" s="42"/>
      <c r="D48" s="391"/>
    </row>
    <row r="49" spans="1:4" ht="17.25" customHeight="1">
      <c r="A49" s="49" t="s">
        <v>838</v>
      </c>
      <c r="B49" s="42"/>
      <c r="D49" s="391"/>
    </row>
    <row r="50" spans="1:4" ht="17.25" customHeight="1">
      <c r="A50" s="49" t="s">
        <v>316</v>
      </c>
      <c r="B50" s="42"/>
      <c r="D50" s="391"/>
    </row>
    <row r="51" ht="17.25" customHeight="1">
      <c r="A51" s="1"/>
    </row>
    <row r="52" ht="17.25" customHeight="1">
      <c r="A52" s="264"/>
    </row>
    <row r="53" spans="2:4" ht="17.25" customHeight="1">
      <c r="B53" s="42"/>
      <c r="D53" s="391"/>
    </row>
  </sheetData>
  <mergeCells count="3">
    <mergeCell ref="A4:E4"/>
    <mergeCell ref="A5:E5"/>
    <mergeCell ref="A40:E40"/>
  </mergeCells>
  <printOptions/>
  <pageMargins left="0.75" right="0.75" top="1" bottom="1" header="0.5" footer="0.5"/>
  <pageSetup firstPageNumber="44" useFirstPageNumber="1" horizontalDpi="600" verticalDpi="600" orientation="portrait" paperSize="9" r:id="rId1"/>
  <headerFooter alignWithMargins="0">
    <oddFooter>&amp;R&amp;9&amp;P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BT39"/>
  <sheetViews>
    <sheetView workbookViewId="0" topLeftCell="A1">
      <selection activeCell="A2" sqref="A2:E2"/>
    </sheetView>
  </sheetViews>
  <sheetFormatPr defaultColWidth="9.140625" defaultRowHeight="17.25" customHeight="1"/>
  <cols>
    <col min="1" max="1" width="36.7109375" style="465" customWidth="1"/>
    <col min="2" max="2" width="11.140625" style="510" customWidth="1"/>
    <col min="3" max="3" width="11.421875" style="443" customWidth="1"/>
    <col min="4" max="4" width="14.28125" style="443" customWidth="1"/>
    <col min="5" max="5" width="14.57421875" style="443" customWidth="1"/>
    <col min="6" max="6" width="8.28125" style="0" customWidth="1"/>
    <col min="9" max="9" width="8.421875" style="0" customWidth="1"/>
    <col min="73" max="16384" width="9.140625" style="443" customWidth="1"/>
  </cols>
  <sheetData>
    <row r="1" spans="2:5" ht="17.25" customHeight="1">
      <c r="B1" s="466"/>
      <c r="C1" s="51"/>
      <c r="D1" s="51"/>
      <c r="E1" s="51" t="s">
        <v>595</v>
      </c>
    </row>
    <row r="2" spans="1:5" ht="12.75">
      <c r="A2" s="876" t="s">
        <v>926</v>
      </c>
      <c r="B2" s="876"/>
      <c r="C2" s="876"/>
      <c r="D2" s="876"/>
      <c r="E2" s="876"/>
    </row>
    <row r="3" spans="1:72" s="38" customFormat="1" ht="17.25" customHeight="1">
      <c r="A3" s="466"/>
      <c r="B3" s="496"/>
      <c r="C3" s="87"/>
      <c r="D3" s="87"/>
      <c r="E3" s="87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</row>
    <row r="4" spans="1:5" ht="17.25" customHeight="1">
      <c r="A4" s="875" t="s">
        <v>596</v>
      </c>
      <c r="B4" s="875"/>
      <c r="C4" s="875"/>
      <c r="D4" s="875"/>
      <c r="E4" s="875"/>
    </row>
    <row r="5" spans="1:72" s="469" customFormat="1" ht="17.25" customHeight="1">
      <c r="A5" s="876" t="s">
        <v>318</v>
      </c>
      <c r="B5" s="876"/>
      <c r="C5" s="876"/>
      <c r="D5" s="876"/>
      <c r="E5" s="876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</row>
    <row r="6" spans="2:5" ht="17.25" customHeight="1">
      <c r="B6" s="498"/>
      <c r="C6" s="38"/>
      <c r="E6" s="2" t="s">
        <v>842</v>
      </c>
    </row>
    <row r="7" spans="1:72" s="38" customFormat="1" ht="22.5">
      <c r="A7" s="499" t="s">
        <v>738</v>
      </c>
      <c r="B7" s="476" t="s">
        <v>271</v>
      </c>
      <c r="C7" s="476" t="s">
        <v>844</v>
      </c>
      <c r="D7" s="476" t="s">
        <v>370</v>
      </c>
      <c r="E7" s="9" t="s">
        <v>312</v>
      </c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</row>
    <row r="8" spans="1:5" ht="12.75">
      <c r="A8" s="477" t="s">
        <v>371</v>
      </c>
      <c r="B8" s="478" t="s">
        <v>414</v>
      </c>
      <c r="C8" s="478" t="s">
        <v>415</v>
      </c>
      <c r="D8" s="478" t="s">
        <v>416</v>
      </c>
      <c r="E8" s="478" t="s">
        <v>372</v>
      </c>
    </row>
    <row r="9" spans="1:5" ht="12.75">
      <c r="A9" s="480" t="s">
        <v>597</v>
      </c>
      <c r="B9" s="174">
        <f>B10+B28</f>
        <v>6347</v>
      </c>
      <c r="C9" s="174">
        <f>C10+C28</f>
        <v>4511</v>
      </c>
      <c r="D9" s="198">
        <f>C9/B9*100</f>
        <v>71.07294784937766</v>
      </c>
      <c r="E9" s="174">
        <f>C9-'[25]Oktobris'!C9</f>
        <v>493</v>
      </c>
    </row>
    <row r="10" spans="1:72" s="49" customFormat="1" ht="17.25" customHeight="1">
      <c r="A10" s="500" t="s">
        <v>598</v>
      </c>
      <c r="B10" s="174">
        <f>SUM(B11:B27)</f>
        <v>6340</v>
      </c>
      <c r="C10" s="174">
        <f>SUM(C11:C27)</f>
        <v>4504</v>
      </c>
      <c r="D10" s="198">
        <f>C10/B10*100</f>
        <v>71.04100946372239</v>
      </c>
      <c r="E10" s="174">
        <f>C10-'[25]Oktobris'!C10</f>
        <v>493</v>
      </c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</row>
    <row r="11" spans="1:72" s="1" customFormat="1" ht="25.5">
      <c r="A11" s="484" t="s">
        <v>419</v>
      </c>
      <c r="B11" s="179">
        <v>198</v>
      </c>
      <c r="C11" s="179">
        <v>193</v>
      </c>
      <c r="D11" s="188">
        <f>C11/B11*100</f>
        <v>97.47474747474747</v>
      </c>
      <c r="E11" s="179">
        <f>C11-'[25]Oktobris'!C11</f>
        <v>32</v>
      </c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</row>
    <row r="12" spans="1:72" s="1" customFormat="1" ht="17.25" customHeight="1">
      <c r="A12" s="484" t="s">
        <v>44</v>
      </c>
      <c r="B12" s="179"/>
      <c r="C12" s="179"/>
      <c r="D12" s="188"/>
      <c r="E12" s="179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</row>
    <row r="13" spans="1:72" s="1" customFormat="1" ht="25.5">
      <c r="A13" s="484" t="s">
        <v>45</v>
      </c>
      <c r="B13" s="179">
        <v>49</v>
      </c>
      <c r="C13" s="179">
        <v>39</v>
      </c>
      <c r="D13" s="188">
        <f aca="true" t="shared" si="0" ref="D13:D19">C13/B13*100</f>
        <v>79.59183673469387</v>
      </c>
      <c r="E13" s="179">
        <f>C13-'[25]Oktobris'!C13</f>
        <v>31</v>
      </c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</row>
    <row r="14" spans="1:72" s="1" customFormat="1" ht="12.75">
      <c r="A14" s="484" t="s">
        <v>46</v>
      </c>
      <c r="B14" s="179">
        <v>1093</v>
      </c>
      <c r="C14" s="179">
        <v>755</v>
      </c>
      <c r="D14" s="188">
        <f t="shared" si="0"/>
        <v>69.07593778591034</v>
      </c>
      <c r="E14" s="179">
        <f>C14-'[25]Oktobris'!C14</f>
        <v>69</v>
      </c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</row>
    <row r="15" spans="1:72" s="1" customFormat="1" ht="12.75">
      <c r="A15" s="484" t="s">
        <v>47</v>
      </c>
      <c r="B15" s="179">
        <v>39</v>
      </c>
      <c r="C15" s="179">
        <v>37</v>
      </c>
      <c r="D15" s="188">
        <f t="shared" si="0"/>
        <v>94.87179487179486</v>
      </c>
      <c r="E15" s="179">
        <f>C15-'[25]Oktobris'!C15</f>
        <v>4</v>
      </c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</row>
    <row r="16" spans="1:72" s="1" customFormat="1" ht="25.5">
      <c r="A16" s="484" t="s">
        <v>48</v>
      </c>
      <c r="B16" s="179">
        <v>202</v>
      </c>
      <c r="C16" s="179">
        <v>166</v>
      </c>
      <c r="D16" s="188">
        <f t="shared" si="0"/>
        <v>82.17821782178217</v>
      </c>
      <c r="E16" s="179">
        <f>C16-'[25]Oktobris'!C16</f>
        <v>16</v>
      </c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</row>
    <row r="17" spans="1:72" s="1" customFormat="1" ht="25.5">
      <c r="A17" s="484" t="s">
        <v>49</v>
      </c>
      <c r="B17" s="179">
        <v>3790</v>
      </c>
      <c r="C17" s="179">
        <v>2863</v>
      </c>
      <c r="D17" s="188">
        <f t="shared" si="0"/>
        <v>75.54089709762533</v>
      </c>
      <c r="E17" s="179">
        <f>C17-'[25]Oktobris'!C17</f>
        <v>249</v>
      </c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</row>
    <row r="18" spans="1:72" s="1" customFormat="1" ht="12.75">
      <c r="A18" s="484" t="s">
        <v>247</v>
      </c>
      <c r="B18" s="179">
        <v>1148</v>
      </c>
      <c r="C18" s="179">
        <v>975</v>
      </c>
      <c r="D18" s="188">
        <f t="shared" si="0"/>
        <v>84.93031358885017</v>
      </c>
      <c r="E18" s="179">
        <f>C18-'[25]Oktobris'!C18</f>
        <v>71</v>
      </c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</row>
    <row r="19" spans="1:72" s="1" customFormat="1" ht="25.5">
      <c r="A19" s="484" t="s">
        <v>51</v>
      </c>
      <c r="B19" s="179">
        <v>1</v>
      </c>
      <c r="C19" s="179">
        <v>7</v>
      </c>
      <c r="D19" s="188">
        <f t="shared" si="0"/>
        <v>700</v>
      </c>
      <c r="E19" s="179">
        <f>C19-'[25]Oktobris'!C19</f>
        <v>25</v>
      </c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</row>
    <row r="20" spans="1:72" s="1" customFormat="1" ht="25.5">
      <c r="A20" s="484" t="s">
        <v>248</v>
      </c>
      <c r="D20" s="188"/>
      <c r="E20" s="179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</row>
    <row r="21" spans="1:72" s="1" customFormat="1" ht="25.5">
      <c r="A21" s="484" t="s">
        <v>53</v>
      </c>
      <c r="B21" s="179"/>
      <c r="C21" s="179"/>
      <c r="D21" s="188"/>
      <c r="E21" s="179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</row>
    <row r="22" spans="1:72" s="1" customFormat="1" ht="12.75">
      <c r="A22" s="484" t="s">
        <v>420</v>
      </c>
      <c r="B22" s="179">
        <v>-730</v>
      </c>
      <c r="C22" s="179">
        <v>-730</v>
      </c>
      <c r="D22" s="188">
        <f>C22/B22*100</f>
        <v>100</v>
      </c>
      <c r="E22" s="179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</row>
    <row r="23" spans="1:72" s="1" customFormat="1" ht="12.75">
      <c r="A23" s="484" t="s">
        <v>55</v>
      </c>
      <c r="B23" s="179">
        <v>479</v>
      </c>
      <c r="C23" s="179">
        <v>195</v>
      </c>
      <c r="D23" s="188">
        <f>C23/B23*100</f>
        <v>40.709812108559504</v>
      </c>
      <c r="E23" s="179">
        <f>C23-'[25]Oktobris'!C23</f>
        <v>0</v>
      </c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</row>
    <row r="24" spans="1:72" s="1" customFormat="1" ht="25.5">
      <c r="A24" s="484" t="s">
        <v>421</v>
      </c>
      <c r="B24" s="179"/>
      <c r="C24" s="179"/>
      <c r="D24" s="188"/>
      <c r="E24" s="179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</row>
    <row r="25" spans="1:72" s="1" customFormat="1" ht="25.5">
      <c r="A25" s="484" t="s">
        <v>422</v>
      </c>
      <c r="B25" s="179"/>
      <c r="C25" s="179"/>
      <c r="D25" s="188"/>
      <c r="E25" s="179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</row>
    <row r="26" spans="1:72" s="1" customFormat="1" ht="12.75">
      <c r="A26" s="484" t="s">
        <v>423</v>
      </c>
      <c r="B26" s="179"/>
      <c r="C26" s="179"/>
      <c r="D26" s="188"/>
      <c r="E26" s="179">
        <f>C26-'[25]Oktobris'!C26</f>
        <v>0</v>
      </c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</row>
    <row r="27" spans="1:72" s="1" customFormat="1" ht="25.5">
      <c r="A27" s="484" t="s">
        <v>599</v>
      </c>
      <c r="B27" s="179">
        <v>71</v>
      </c>
      <c r="C27" s="179">
        <v>4</v>
      </c>
      <c r="D27" s="188">
        <f>C27/B27*100</f>
        <v>5.633802816901409</v>
      </c>
      <c r="E27" s="179">
        <f>C27-'[25]Oktobris'!C27</f>
        <v>-4</v>
      </c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</row>
    <row r="28" spans="1:72" s="1" customFormat="1" ht="12.75">
      <c r="A28" s="480" t="s">
        <v>394</v>
      </c>
      <c r="B28" s="174">
        <v>7</v>
      </c>
      <c r="C28" s="174">
        <v>7</v>
      </c>
      <c r="D28" s="198">
        <f>C28/B28*100</f>
        <v>100</v>
      </c>
      <c r="E28" s="179">
        <f>C28-'[25]Oktobris'!C28</f>
        <v>0</v>
      </c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</row>
    <row r="29" spans="1:72" s="86" customFormat="1" ht="17.25" customHeight="1">
      <c r="A29" s="504"/>
      <c r="B29" s="132"/>
      <c r="C29" s="132"/>
      <c r="D29" s="132"/>
      <c r="E29" s="132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</row>
    <row r="30" spans="1:72" s="1" customFormat="1" ht="17.25" customHeight="1">
      <c r="A30" s="506"/>
      <c r="B30" s="507"/>
      <c r="C30" s="505"/>
      <c r="D30" s="132"/>
      <c r="E30" s="443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</row>
    <row r="31" spans="1:72" s="1" customFormat="1" ht="17.25" customHeight="1">
      <c r="A31" s="506"/>
      <c r="B31" s="507"/>
      <c r="C31" s="505"/>
      <c r="D31" s="132"/>
      <c r="E31" s="443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</row>
    <row r="32" spans="1:72" s="1" customFormat="1" ht="17.25" customHeight="1">
      <c r="A32" s="41" t="s">
        <v>733</v>
      </c>
      <c r="B32" s="39"/>
      <c r="C32" s="39"/>
      <c r="D32" s="39" t="s">
        <v>959</v>
      </c>
      <c r="E32" s="527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</row>
    <row r="33" spans="1:72" s="448" customFormat="1" ht="17.25" customHeight="1">
      <c r="A33" s="471"/>
      <c r="B33" s="564"/>
      <c r="C33" s="463"/>
      <c r="D33" s="463"/>
      <c r="E33" s="46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</row>
    <row r="34" spans="1:72" s="448" customFormat="1" ht="17.25" customHeight="1">
      <c r="A34" s="471"/>
      <c r="B34" s="564"/>
      <c r="C34" s="565"/>
      <c r="D34" s="565"/>
      <c r="E34" s="558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</row>
    <row r="35" spans="1:72" s="448" customFormat="1" ht="17.25" customHeight="1">
      <c r="A35" s="471"/>
      <c r="B35" s="685"/>
      <c r="E35" s="558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</row>
    <row r="36" spans="1:72" s="448" customFormat="1" ht="17.25" customHeight="1">
      <c r="A36" s="471"/>
      <c r="B36" s="564"/>
      <c r="C36" s="565"/>
      <c r="D36" s="565"/>
      <c r="E36" s="558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</row>
    <row r="37" spans="1:72" s="448" customFormat="1" ht="17.25" customHeight="1">
      <c r="A37" s="471"/>
      <c r="B37" s="564"/>
      <c r="C37" s="565"/>
      <c r="E37" s="558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</row>
    <row r="38" spans="1:4" ht="17.25" customHeight="1">
      <c r="A38" s="465" t="s">
        <v>134</v>
      </c>
      <c r="B38" s="509"/>
      <c r="C38" s="494"/>
      <c r="D38" s="264"/>
    </row>
    <row r="39" ht="17.25" customHeight="1">
      <c r="A39" s="465" t="s">
        <v>316</v>
      </c>
    </row>
  </sheetData>
  <mergeCells count="3">
    <mergeCell ref="A2:E2"/>
    <mergeCell ref="A4:E4"/>
    <mergeCell ref="A5:E5"/>
  </mergeCells>
  <printOptions/>
  <pageMargins left="0.75" right="0.27" top="1" bottom="1" header="0.5" footer="0.5"/>
  <pageSetup firstPageNumber="46" useFirstPageNumber="1" horizontalDpi="600" verticalDpi="600" orientation="portrait" paperSize="9" r:id="rId1"/>
  <headerFooter alignWithMargins="0">
    <oddFooter>&amp;R&amp;9&amp;P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B53"/>
  <sheetViews>
    <sheetView workbookViewId="0" topLeftCell="A1">
      <selection activeCell="A7" sqref="A7"/>
    </sheetView>
  </sheetViews>
  <sheetFormatPr defaultColWidth="9.140625" defaultRowHeight="17.25" customHeight="1"/>
  <cols>
    <col min="1" max="1" width="51.7109375" style="443" customWidth="1"/>
    <col min="2" max="2" width="19.140625" style="443" customWidth="1"/>
  </cols>
  <sheetData>
    <row r="1" spans="1:2" ht="17.25" customHeight="1">
      <c r="A1" s="38"/>
      <c r="B1" s="49" t="s">
        <v>600</v>
      </c>
    </row>
    <row r="2" spans="1:2" ht="17.25" customHeight="1">
      <c r="A2" s="855" t="s">
        <v>926</v>
      </c>
      <c r="B2" s="855"/>
    </row>
    <row r="3" spans="1:2" ht="17.25" customHeight="1">
      <c r="A3" s="1"/>
      <c r="B3" s="1"/>
    </row>
    <row r="4" spans="1:2" ht="17.25" customHeight="1">
      <c r="A4" s="856" t="s">
        <v>601</v>
      </c>
      <c r="B4" s="856"/>
    </row>
    <row r="5" spans="1:2" ht="16.5" customHeight="1">
      <c r="A5" s="905" t="s">
        <v>345</v>
      </c>
      <c r="B5" s="905"/>
    </row>
    <row r="6" spans="1:2" ht="17.25" customHeight="1">
      <c r="A6" s="447"/>
      <c r="B6" s="447"/>
    </row>
    <row r="7" spans="1:2" ht="17.25" customHeight="1">
      <c r="A7" s="448"/>
      <c r="B7" s="329" t="s">
        <v>252</v>
      </c>
    </row>
    <row r="8" spans="1:2" ht="17.25" customHeight="1">
      <c r="A8" s="240" t="s">
        <v>738</v>
      </c>
      <c r="B8" s="187" t="s">
        <v>602</v>
      </c>
    </row>
    <row r="9" spans="1:2" ht="12.75">
      <c r="A9" s="240">
        <v>1</v>
      </c>
      <c r="B9" s="187">
        <v>2</v>
      </c>
    </row>
    <row r="10" spans="1:2" ht="18.75" customHeight="1">
      <c r="A10" s="76" t="s">
        <v>603</v>
      </c>
      <c r="B10" s="175">
        <f>SUM(B12:B14)</f>
        <v>31510096</v>
      </c>
    </row>
    <row r="11" spans="1:2" ht="25.5">
      <c r="A11" s="566" t="s">
        <v>604</v>
      </c>
      <c r="B11" s="567"/>
    </row>
    <row r="12" spans="1:2" ht="19.5" customHeight="1">
      <c r="A12" s="568" t="s">
        <v>605</v>
      </c>
      <c r="B12" s="567">
        <v>6604509</v>
      </c>
    </row>
    <row r="13" spans="1:2" ht="19.5" customHeight="1">
      <c r="A13" s="69" t="s">
        <v>606</v>
      </c>
      <c r="B13" s="569">
        <v>24905587</v>
      </c>
    </row>
    <row r="14" spans="1:2" ht="19.5" customHeight="1">
      <c r="A14" s="69" t="s">
        <v>607</v>
      </c>
      <c r="B14" s="569"/>
    </row>
    <row r="15" spans="1:2" ht="19.5" customHeight="1">
      <c r="A15" s="98" t="s">
        <v>608</v>
      </c>
      <c r="B15" s="175">
        <f>B16</f>
        <v>31498602</v>
      </c>
    </row>
    <row r="16" spans="1:2" ht="19.5" customHeight="1">
      <c r="A16" s="69" t="s">
        <v>609</v>
      </c>
      <c r="B16" s="569">
        <v>31498602</v>
      </c>
    </row>
    <row r="17" spans="1:2" ht="19.5" customHeight="1">
      <c r="A17" s="98" t="s">
        <v>610</v>
      </c>
      <c r="B17" s="175">
        <f>B18+B10-B15</f>
        <v>20676</v>
      </c>
    </row>
    <row r="18" spans="1:2" ht="19.5" customHeight="1">
      <c r="A18" s="69" t="s">
        <v>611</v>
      </c>
      <c r="B18" s="569">
        <v>9182</v>
      </c>
    </row>
    <row r="19" spans="1:2" ht="17.25" customHeight="1">
      <c r="A19" s="83"/>
      <c r="B19" s="83"/>
    </row>
    <row r="20" spans="1:2" ht="17.25" customHeight="1">
      <c r="A20" s="83"/>
      <c r="B20" s="83"/>
    </row>
    <row r="21" spans="1:2" ht="17.25" customHeight="1">
      <c r="A21" s="83"/>
      <c r="B21" s="83"/>
    </row>
    <row r="22" spans="1:2" ht="17.25" customHeight="1">
      <c r="A22" s="41" t="s">
        <v>733</v>
      </c>
      <c r="B22" s="39" t="s">
        <v>959</v>
      </c>
    </row>
    <row r="23" spans="1:2" ht="17.25" customHeight="1">
      <c r="A23" s="1"/>
      <c r="B23" s="83"/>
    </row>
    <row r="24" spans="1:2" ht="17.25" customHeight="1">
      <c r="A24" s="1"/>
      <c r="B24" s="1"/>
    </row>
    <row r="25" spans="1:2" ht="17.25" customHeight="1">
      <c r="A25" s="5"/>
      <c r="B25" s="570"/>
    </row>
    <row r="26" spans="1:2" ht="17.25" customHeight="1">
      <c r="A26" s="5"/>
      <c r="B26" s="570"/>
    </row>
    <row r="27" spans="1:2" ht="17.25" customHeight="1">
      <c r="A27" s="5"/>
      <c r="B27" s="571"/>
    </row>
    <row r="28" spans="1:2" ht="17.25" customHeight="1">
      <c r="A28" s="5"/>
      <c r="B28" s="1"/>
    </row>
    <row r="29" spans="1:2" ht="17.25" customHeight="1">
      <c r="A29" s="5"/>
      <c r="B29" s="1"/>
    </row>
    <row r="30" spans="1:2" ht="17.25" customHeight="1">
      <c r="A30" s="5"/>
      <c r="B30" s="1"/>
    </row>
    <row r="31" spans="1:2" ht="17.25" customHeight="1">
      <c r="A31" s="5"/>
      <c r="B31" s="1"/>
    </row>
    <row r="32" spans="1:2" ht="17.25" customHeight="1">
      <c r="A32" s="1"/>
      <c r="B32" s="1"/>
    </row>
    <row r="33" spans="1:2" ht="17.25" customHeight="1">
      <c r="A33" s="1"/>
      <c r="B33" s="1"/>
    </row>
    <row r="34" spans="1:2" ht="17.25" customHeight="1">
      <c r="A34" s="5"/>
      <c r="B34" s="1"/>
    </row>
    <row r="35" spans="1:2" ht="17.25" customHeight="1">
      <c r="A35" s="5"/>
      <c r="B35" s="1"/>
    </row>
    <row r="36" spans="1:2" ht="17.25" customHeight="1">
      <c r="A36" s="5"/>
      <c r="B36" s="1"/>
    </row>
    <row r="38" ht="17.25" customHeight="1">
      <c r="A38" s="49" t="s">
        <v>838</v>
      </c>
    </row>
    <row r="39" ht="17.25" customHeight="1">
      <c r="A39" s="49" t="s">
        <v>316</v>
      </c>
    </row>
    <row r="42" ht="17.25" customHeight="1">
      <c r="A42" s="5"/>
    </row>
    <row r="43" ht="17.25" customHeight="1">
      <c r="A43" s="5"/>
    </row>
    <row r="46" ht="17.25" customHeight="1">
      <c r="A46" s="5"/>
    </row>
    <row r="47" ht="17.25" customHeight="1">
      <c r="A47" s="5"/>
    </row>
    <row r="48" ht="17.25" customHeight="1">
      <c r="A48" s="5"/>
    </row>
    <row r="49" ht="17.25" customHeight="1">
      <c r="A49" s="5"/>
    </row>
    <row r="50" ht="17.25" customHeight="1">
      <c r="A50" s="5"/>
    </row>
    <row r="51" ht="17.25" customHeight="1">
      <c r="A51" s="5"/>
    </row>
    <row r="52" ht="17.25" customHeight="1">
      <c r="A52" s="5"/>
    </row>
    <row r="53" ht="17.25" customHeight="1">
      <c r="A53" s="5"/>
    </row>
  </sheetData>
  <mergeCells count="3">
    <mergeCell ref="A2:B2"/>
    <mergeCell ref="A4:B4"/>
    <mergeCell ref="A5:B5"/>
  </mergeCells>
  <printOptions/>
  <pageMargins left="0.75" right="0.75" top="1" bottom="1" header="0.5" footer="0.5"/>
  <pageSetup firstPageNumber="47" useFirstPageNumber="1" horizontalDpi="600" verticalDpi="600" orientation="portrait" paperSize="9" r:id="rId1"/>
  <headerFooter alignWithMargins="0">
    <oddFooter>&amp;R&amp;9&amp;P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J62"/>
  <sheetViews>
    <sheetView workbookViewId="0" topLeftCell="A1">
      <selection activeCell="A5" sqref="A5:I5"/>
    </sheetView>
  </sheetViews>
  <sheetFormatPr defaultColWidth="9.140625" defaultRowHeight="17.25" customHeight="1"/>
  <cols>
    <col min="1" max="1" width="19.8515625" style="443" customWidth="1"/>
    <col min="2" max="2" width="11.00390625" style="443" customWidth="1"/>
    <col min="3" max="4" width="12.7109375" style="443" customWidth="1"/>
    <col min="5" max="5" width="12.140625" style="443" customWidth="1"/>
    <col min="6" max="6" width="10.7109375" style="443" customWidth="1"/>
    <col min="7" max="7" width="12.7109375" style="443" customWidth="1"/>
    <col min="8" max="8" width="11.140625" style="443" customWidth="1"/>
    <col min="9" max="9" width="14.00390625" style="443" customWidth="1"/>
    <col min="10" max="16384" width="12.7109375" style="443" customWidth="1"/>
  </cols>
  <sheetData>
    <row r="1" spans="2:10" ht="17.25" customHeight="1">
      <c r="B1" s="49"/>
      <c r="C1" s="49"/>
      <c r="D1" s="49"/>
      <c r="E1" s="49"/>
      <c r="F1" s="49"/>
      <c r="G1" s="49"/>
      <c r="H1" s="49"/>
      <c r="I1" s="39" t="s">
        <v>612</v>
      </c>
      <c r="J1" s="572"/>
    </row>
    <row r="2" spans="1:9" ht="17.25" customHeight="1">
      <c r="A2" s="855" t="s">
        <v>926</v>
      </c>
      <c r="B2" s="855"/>
      <c r="C2" s="855"/>
      <c r="D2" s="855"/>
      <c r="E2" s="855"/>
      <c r="F2" s="855"/>
      <c r="G2" s="855"/>
      <c r="H2" s="855"/>
      <c r="I2" s="855"/>
    </row>
    <row r="3" spans="1:9" ht="17.25" customHeight="1">
      <c r="A3" s="1"/>
      <c r="B3" s="1"/>
      <c r="C3" s="1"/>
      <c r="D3" s="1"/>
      <c r="E3" s="1"/>
      <c r="F3" s="1"/>
      <c r="G3" s="1"/>
      <c r="H3" s="1"/>
      <c r="I3" s="1"/>
    </row>
    <row r="4" spans="1:9" ht="21" customHeight="1">
      <c r="A4" s="856" t="s">
        <v>613</v>
      </c>
      <c r="B4" s="856"/>
      <c r="C4" s="856"/>
      <c r="D4" s="856"/>
      <c r="E4" s="856"/>
      <c r="F4" s="856"/>
      <c r="G4" s="856"/>
      <c r="H4" s="856"/>
      <c r="I4" s="856"/>
    </row>
    <row r="5" spans="1:9" ht="12" customHeight="1">
      <c r="A5" s="906" t="s">
        <v>341</v>
      </c>
      <c r="B5" s="906"/>
      <c r="C5" s="906"/>
      <c r="D5" s="906"/>
      <c r="E5" s="906"/>
      <c r="F5" s="906"/>
      <c r="G5" s="906"/>
      <c r="H5" s="906"/>
      <c r="I5" s="906"/>
    </row>
    <row r="6" spans="1:9" ht="17.25" customHeight="1">
      <c r="A6" s="528"/>
      <c r="B6" s="1"/>
      <c r="C6" s="1"/>
      <c r="D6" s="1"/>
      <c r="E6" s="1"/>
      <c r="F6" s="1"/>
      <c r="G6" s="1"/>
      <c r="H6" s="1"/>
      <c r="I6" s="1"/>
    </row>
    <row r="7" spans="1:9" ht="17.25" customHeight="1">
      <c r="A7" s="447"/>
      <c r="B7" s="447"/>
      <c r="C7" s="447"/>
      <c r="D7" s="447"/>
      <c r="E7" s="447"/>
      <c r="F7" s="447"/>
      <c r="G7" s="447"/>
      <c r="H7" s="447"/>
      <c r="I7" s="447" t="s">
        <v>614</v>
      </c>
    </row>
    <row r="8" spans="1:9" ht="17.25" customHeight="1">
      <c r="A8" s="889" t="s">
        <v>615</v>
      </c>
      <c r="B8" s="889" t="s">
        <v>616</v>
      </c>
      <c r="C8" s="889" t="s">
        <v>617</v>
      </c>
      <c r="D8" s="889" t="s">
        <v>618</v>
      </c>
      <c r="E8" s="889" t="s">
        <v>619</v>
      </c>
      <c r="F8" s="889" t="s">
        <v>620</v>
      </c>
      <c r="G8" s="533" t="s">
        <v>621</v>
      </c>
      <c r="H8" s="573"/>
      <c r="I8" s="889" t="s">
        <v>622</v>
      </c>
    </row>
    <row r="9" spans="1:9" ht="39.75" customHeight="1">
      <c r="A9" s="891"/>
      <c r="B9" s="891"/>
      <c r="C9" s="891"/>
      <c r="D9" s="891"/>
      <c r="E9" s="891"/>
      <c r="F9" s="891"/>
      <c r="G9" s="9" t="s">
        <v>623</v>
      </c>
      <c r="H9" s="9" t="s">
        <v>624</v>
      </c>
      <c r="I9" s="891"/>
    </row>
    <row r="10" spans="1:9" ht="11.25">
      <c r="A10" s="22">
        <v>1</v>
      </c>
      <c r="B10" s="22">
        <v>2</v>
      </c>
      <c r="C10" s="22">
        <v>3</v>
      </c>
      <c r="D10" s="22">
        <v>4</v>
      </c>
      <c r="E10" s="22">
        <v>5</v>
      </c>
      <c r="F10" s="22">
        <v>6</v>
      </c>
      <c r="G10" s="22">
        <v>7</v>
      </c>
      <c r="H10" s="22">
        <v>8</v>
      </c>
      <c r="I10" s="22">
        <v>9</v>
      </c>
    </row>
    <row r="11" spans="1:9" ht="12.75">
      <c r="A11" s="542" t="s">
        <v>504</v>
      </c>
      <c r="B11" s="569">
        <v>271250</v>
      </c>
      <c r="C11" s="569">
        <v>3823605</v>
      </c>
      <c r="D11" s="684">
        <v>50138</v>
      </c>
      <c r="E11" s="569">
        <v>19204791</v>
      </c>
      <c r="F11" s="358"/>
      <c r="G11" s="358"/>
      <c r="H11" s="358"/>
      <c r="I11" s="569">
        <f aca="true" t="shared" si="0" ref="I11:I43">SUM(B11:H11)</f>
        <v>23349784</v>
      </c>
    </row>
    <row r="12" spans="1:9" ht="12">
      <c r="A12" s="542" t="s">
        <v>505</v>
      </c>
      <c r="B12" s="358">
        <v>395000</v>
      </c>
      <c r="C12" s="358">
        <v>531097</v>
      </c>
      <c r="D12" s="179">
        <v>4925</v>
      </c>
      <c r="E12" s="569">
        <v>3225967</v>
      </c>
      <c r="F12" s="358"/>
      <c r="G12" s="358">
        <v>11250</v>
      </c>
      <c r="H12" s="358"/>
      <c r="I12" s="569">
        <f t="shared" si="0"/>
        <v>4168239</v>
      </c>
    </row>
    <row r="13" spans="1:9" ht="12" customHeight="1">
      <c r="A13" s="542" t="s">
        <v>506</v>
      </c>
      <c r="B13" s="358">
        <v>896000</v>
      </c>
      <c r="C13" s="358">
        <v>420479</v>
      </c>
      <c r="D13" s="179">
        <v>13953</v>
      </c>
      <c r="E13" s="569">
        <v>1983493</v>
      </c>
      <c r="F13" s="358">
        <v>16300</v>
      </c>
      <c r="G13" s="358">
        <v>6092</v>
      </c>
      <c r="H13" s="358"/>
      <c r="I13" s="569">
        <f t="shared" si="0"/>
        <v>3336317</v>
      </c>
    </row>
    <row r="14" spans="1:9" ht="12" customHeight="1">
      <c r="A14" s="542" t="s">
        <v>507</v>
      </c>
      <c r="B14" s="358">
        <v>13000</v>
      </c>
      <c r="C14" s="358">
        <v>113025</v>
      </c>
      <c r="D14" s="179">
        <v>875</v>
      </c>
      <c r="E14" s="569">
        <v>1520448</v>
      </c>
      <c r="F14" s="358"/>
      <c r="G14" s="358"/>
      <c r="H14" s="358"/>
      <c r="I14" s="569">
        <f t="shared" si="0"/>
        <v>1647348</v>
      </c>
    </row>
    <row r="15" spans="1:9" ht="12" customHeight="1">
      <c r="A15" s="542" t="s">
        <v>508</v>
      </c>
      <c r="B15" s="358">
        <v>531000</v>
      </c>
      <c r="C15" s="358">
        <v>606985</v>
      </c>
      <c r="D15" s="179">
        <v>4925</v>
      </c>
      <c r="E15" s="569">
        <v>2297750</v>
      </c>
      <c r="F15" s="358">
        <v>45833</v>
      </c>
      <c r="G15" s="358"/>
      <c r="H15" s="358"/>
      <c r="I15" s="569">
        <f t="shared" si="0"/>
        <v>3486493</v>
      </c>
    </row>
    <row r="16" spans="1:9" ht="12" customHeight="1">
      <c r="A16" s="542" t="s">
        <v>509</v>
      </c>
      <c r="B16" s="358">
        <v>49300</v>
      </c>
      <c r="C16" s="358">
        <v>434636</v>
      </c>
      <c r="D16" s="179">
        <v>4103</v>
      </c>
      <c r="E16" s="358">
        <v>1099301</v>
      </c>
      <c r="F16" s="358"/>
      <c r="G16" s="358">
        <v>7500</v>
      </c>
      <c r="H16" s="358"/>
      <c r="I16" s="569">
        <f t="shared" si="0"/>
        <v>1594840</v>
      </c>
    </row>
    <row r="17" spans="1:9" ht="12" customHeight="1">
      <c r="A17" s="542" t="s">
        <v>510</v>
      </c>
      <c r="B17" s="358"/>
      <c r="C17" s="179">
        <v>42601</v>
      </c>
      <c r="D17" s="179">
        <v>3283</v>
      </c>
      <c r="E17" s="569">
        <v>1178046</v>
      </c>
      <c r="F17" s="179"/>
      <c r="G17" s="179">
        <v>11250</v>
      </c>
      <c r="H17" s="179"/>
      <c r="I17" s="569">
        <f t="shared" si="0"/>
        <v>1235180</v>
      </c>
    </row>
    <row r="18" spans="1:9" ht="12" customHeight="1">
      <c r="A18" s="542" t="s">
        <v>513</v>
      </c>
      <c r="B18" s="570">
        <v>273800</v>
      </c>
      <c r="C18" s="358">
        <v>408486</v>
      </c>
      <c r="D18" s="179">
        <v>3283</v>
      </c>
      <c r="E18" s="569">
        <v>1639018</v>
      </c>
      <c r="F18" s="358"/>
      <c r="G18" s="358">
        <v>15750</v>
      </c>
      <c r="H18" s="358">
        <v>21016</v>
      </c>
      <c r="I18" s="569">
        <f t="shared" si="0"/>
        <v>2361353</v>
      </c>
    </row>
    <row r="19" spans="1:9" ht="12" customHeight="1">
      <c r="A19" s="542" t="s">
        <v>514</v>
      </c>
      <c r="B19" s="358">
        <v>13800</v>
      </c>
      <c r="C19" s="358">
        <v>445255</v>
      </c>
      <c r="D19" s="179">
        <v>4105</v>
      </c>
      <c r="E19" s="358">
        <v>1028891</v>
      </c>
      <c r="F19" s="358"/>
      <c r="G19" s="358"/>
      <c r="H19" s="358"/>
      <c r="I19" s="569">
        <f t="shared" si="0"/>
        <v>1492051</v>
      </c>
    </row>
    <row r="20" spans="1:9" ht="12" customHeight="1">
      <c r="A20" s="542" t="s">
        <v>515</v>
      </c>
      <c r="B20" s="358">
        <v>312500</v>
      </c>
      <c r="C20" s="358">
        <v>370932</v>
      </c>
      <c r="D20" s="179">
        <v>6566</v>
      </c>
      <c r="E20" s="358">
        <v>1163534</v>
      </c>
      <c r="F20" s="358"/>
      <c r="G20" s="358"/>
      <c r="H20" s="358">
        <v>3675</v>
      </c>
      <c r="I20" s="569">
        <f t="shared" si="0"/>
        <v>1857207</v>
      </c>
    </row>
    <row r="21" spans="1:9" ht="12" customHeight="1">
      <c r="A21" s="542" t="s">
        <v>516</v>
      </c>
      <c r="B21" s="358">
        <v>478000</v>
      </c>
      <c r="C21" s="358">
        <v>660498</v>
      </c>
      <c r="D21" s="179">
        <v>5745</v>
      </c>
      <c r="E21" s="569">
        <v>1917698</v>
      </c>
      <c r="F21" s="358"/>
      <c r="G21" s="358">
        <v>9750</v>
      </c>
      <c r="H21" s="358"/>
      <c r="I21" s="569">
        <f t="shared" si="0"/>
        <v>3071691</v>
      </c>
    </row>
    <row r="22" spans="1:9" ht="12" customHeight="1">
      <c r="A22" s="542" t="s">
        <v>517</v>
      </c>
      <c r="B22" s="358">
        <v>30500</v>
      </c>
      <c r="C22" s="569">
        <v>1115221</v>
      </c>
      <c r="D22" s="179">
        <v>6566</v>
      </c>
      <c r="E22" s="569">
        <v>2257990</v>
      </c>
      <c r="F22" s="358">
        <v>45834</v>
      </c>
      <c r="G22" s="358">
        <v>19838</v>
      </c>
      <c r="H22" s="358">
        <v>15750</v>
      </c>
      <c r="I22" s="569">
        <f t="shared" si="0"/>
        <v>3491699</v>
      </c>
    </row>
    <row r="23" spans="1:9" ht="12" customHeight="1">
      <c r="A23" s="542" t="s">
        <v>518</v>
      </c>
      <c r="B23" s="358">
        <v>415300</v>
      </c>
      <c r="C23" s="358">
        <v>353998</v>
      </c>
      <c r="D23" s="179">
        <v>2463</v>
      </c>
      <c r="E23" s="569">
        <v>1485171</v>
      </c>
      <c r="F23" s="358">
        <v>45834</v>
      </c>
      <c r="G23" s="358">
        <v>37500</v>
      </c>
      <c r="H23" s="358">
        <v>12425</v>
      </c>
      <c r="I23" s="569">
        <f t="shared" si="0"/>
        <v>2352691</v>
      </c>
    </row>
    <row r="24" spans="1:9" ht="12" customHeight="1">
      <c r="A24" s="542" t="s">
        <v>519</v>
      </c>
      <c r="B24" s="358">
        <v>126050</v>
      </c>
      <c r="C24" s="358">
        <v>157636</v>
      </c>
      <c r="D24" s="179">
        <v>4105</v>
      </c>
      <c r="E24" s="569">
        <v>1637177</v>
      </c>
      <c r="F24" s="358"/>
      <c r="G24" s="358">
        <v>40763</v>
      </c>
      <c r="H24" s="358">
        <v>40982</v>
      </c>
      <c r="I24" s="569">
        <f t="shared" si="0"/>
        <v>2006713</v>
      </c>
    </row>
    <row r="25" spans="1:9" ht="12" customHeight="1">
      <c r="A25" s="542" t="s">
        <v>520</v>
      </c>
      <c r="B25" s="358">
        <v>53000</v>
      </c>
      <c r="C25" s="358">
        <v>168868</v>
      </c>
      <c r="D25" s="179">
        <v>2463</v>
      </c>
      <c r="E25" s="358">
        <v>1118535</v>
      </c>
      <c r="F25" s="358"/>
      <c r="G25" s="358">
        <v>5250</v>
      </c>
      <c r="H25" s="358">
        <v>16675</v>
      </c>
      <c r="I25" s="569">
        <f t="shared" si="0"/>
        <v>1364791</v>
      </c>
    </row>
    <row r="26" spans="1:9" ht="12" customHeight="1">
      <c r="A26" s="542" t="s">
        <v>521</v>
      </c>
      <c r="B26" s="358">
        <v>25000</v>
      </c>
      <c r="C26" s="358">
        <v>317764</v>
      </c>
      <c r="D26" s="179">
        <v>3283</v>
      </c>
      <c r="E26" s="569">
        <v>1425063</v>
      </c>
      <c r="F26" s="358">
        <v>45833</v>
      </c>
      <c r="G26" s="358"/>
      <c r="H26" s="358">
        <v>19819</v>
      </c>
      <c r="I26" s="569">
        <f t="shared" si="0"/>
        <v>1836762</v>
      </c>
    </row>
    <row r="27" spans="1:9" ht="12" customHeight="1">
      <c r="A27" s="542" t="s">
        <v>522</v>
      </c>
      <c r="B27" s="358">
        <v>241150</v>
      </c>
      <c r="C27" s="358">
        <v>498183</v>
      </c>
      <c r="D27" s="179">
        <v>4105</v>
      </c>
      <c r="E27" s="569">
        <v>1908131</v>
      </c>
      <c r="F27" s="358"/>
      <c r="G27" s="358">
        <v>19819</v>
      </c>
      <c r="H27" s="358">
        <v>9590</v>
      </c>
      <c r="I27" s="569">
        <f t="shared" si="0"/>
        <v>2680978</v>
      </c>
    </row>
    <row r="28" spans="1:9" ht="12" customHeight="1">
      <c r="A28" s="542" t="s">
        <v>523</v>
      </c>
      <c r="B28" s="358">
        <v>268000</v>
      </c>
      <c r="C28" s="358">
        <v>184871</v>
      </c>
      <c r="D28" s="179">
        <v>2611</v>
      </c>
      <c r="E28" s="569">
        <v>1329445</v>
      </c>
      <c r="F28" s="358"/>
      <c r="G28" s="358">
        <v>5250</v>
      </c>
      <c r="H28" s="358">
        <v>37900</v>
      </c>
      <c r="I28" s="569">
        <f t="shared" si="0"/>
        <v>1828077</v>
      </c>
    </row>
    <row r="29" spans="1:9" ht="12" customHeight="1">
      <c r="A29" s="542" t="s">
        <v>524</v>
      </c>
      <c r="B29" s="358">
        <v>888000</v>
      </c>
      <c r="C29" s="358">
        <v>521780</v>
      </c>
      <c r="D29" s="179">
        <v>4105</v>
      </c>
      <c r="E29" s="569">
        <v>1520238</v>
      </c>
      <c r="F29" s="358"/>
      <c r="G29" s="358">
        <v>41400</v>
      </c>
      <c r="H29" s="358">
        <v>30850</v>
      </c>
      <c r="I29" s="569">
        <f t="shared" si="0"/>
        <v>3006373</v>
      </c>
    </row>
    <row r="30" spans="1:9" ht="12" customHeight="1">
      <c r="A30" s="542" t="s">
        <v>525</v>
      </c>
      <c r="B30" s="358">
        <v>198500</v>
      </c>
      <c r="C30" s="358">
        <v>579031</v>
      </c>
      <c r="D30" s="179">
        <v>4103</v>
      </c>
      <c r="E30" s="569">
        <v>1877760</v>
      </c>
      <c r="F30" s="358"/>
      <c r="G30" s="358">
        <v>31500</v>
      </c>
      <c r="H30" s="358">
        <v>21397</v>
      </c>
      <c r="I30" s="569">
        <f t="shared" si="0"/>
        <v>2712291</v>
      </c>
    </row>
    <row r="31" spans="1:9" ht="12" customHeight="1">
      <c r="A31" s="542" t="s">
        <v>526</v>
      </c>
      <c r="B31" s="358">
        <v>35000</v>
      </c>
      <c r="C31" s="358">
        <v>178523</v>
      </c>
      <c r="D31" s="179">
        <v>4103</v>
      </c>
      <c r="E31" s="569">
        <v>1470406</v>
      </c>
      <c r="F31" s="358"/>
      <c r="G31" s="358">
        <v>10200</v>
      </c>
      <c r="H31" s="358"/>
      <c r="I31" s="569">
        <f t="shared" si="0"/>
        <v>1698232</v>
      </c>
    </row>
    <row r="32" spans="1:9" ht="12" customHeight="1">
      <c r="A32" s="542" t="s">
        <v>527</v>
      </c>
      <c r="B32" s="358">
        <v>436500</v>
      </c>
      <c r="C32" s="358">
        <v>155912</v>
      </c>
      <c r="D32" s="179">
        <v>4103</v>
      </c>
      <c r="E32" s="569">
        <v>1209172</v>
      </c>
      <c r="F32" s="358"/>
      <c r="G32" s="358">
        <v>30135</v>
      </c>
      <c r="H32" s="358">
        <v>8295</v>
      </c>
      <c r="I32" s="569">
        <f t="shared" si="0"/>
        <v>1844117</v>
      </c>
    </row>
    <row r="33" spans="1:9" ht="12" customHeight="1">
      <c r="A33" s="542" t="s">
        <v>528</v>
      </c>
      <c r="B33" s="358">
        <v>629200</v>
      </c>
      <c r="C33" s="358">
        <v>299398</v>
      </c>
      <c r="D33" s="179">
        <v>7388</v>
      </c>
      <c r="E33" s="569">
        <v>1767001</v>
      </c>
      <c r="F33" s="358"/>
      <c r="G33" s="358">
        <v>4425</v>
      </c>
      <c r="H33" s="358"/>
      <c r="I33" s="569">
        <f t="shared" si="0"/>
        <v>2707412</v>
      </c>
    </row>
    <row r="34" spans="1:9" ht="12" customHeight="1">
      <c r="A34" s="542" t="s">
        <v>529</v>
      </c>
      <c r="B34" s="358">
        <v>74000</v>
      </c>
      <c r="C34" s="358">
        <v>293680</v>
      </c>
      <c r="D34" s="179">
        <v>6566</v>
      </c>
      <c r="E34" s="569">
        <v>2229526</v>
      </c>
      <c r="F34" s="358">
        <v>45833</v>
      </c>
      <c r="G34" s="358"/>
      <c r="H34" s="358">
        <v>15675</v>
      </c>
      <c r="I34" s="569">
        <f t="shared" si="0"/>
        <v>2665280</v>
      </c>
    </row>
    <row r="35" spans="1:9" ht="12" customHeight="1">
      <c r="A35" s="542" t="s">
        <v>530</v>
      </c>
      <c r="B35" s="358">
        <v>279000</v>
      </c>
      <c r="C35" s="358">
        <v>421807</v>
      </c>
      <c r="D35" s="179">
        <v>6566</v>
      </c>
      <c r="E35" s="569">
        <v>1618223</v>
      </c>
      <c r="F35" s="358"/>
      <c r="G35" s="358"/>
      <c r="H35" s="358">
        <v>27885</v>
      </c>
      <c r="I35" s="569">
        <f t="shared" si="0"/>
        <v>2353481</v>
      </c>
    </row>
    <row r="36" spans="1:9" ht="12" customHeight="1">
      <c r="A36" s="542" t="s">
        <v>531</v>
      </c>
      <c r="B36" s="358">
        <v>149000</v>
      </c>
      <c r="C36" s="358">
        <v>677940</v>
      </c>
      <c r="D36" s="179">
        <v>4103</v>
      </c>
      <c r="E36" s="569">
        <v>1673567</v>
      </c>
      <c r="F36" s="358"/>
      <c r="G36" s="358">
        <v>36000</v>
      </c>
      <c r="H36" s="358">
        <v>9865</v>
      </c>
      <c r="I36" s="569">
        <f t="shared" si="0"/>
        <v>2550475</v>
      </c>
    </row>
    <row r="37" spans="1:9" ht="12" customHeight="1">
      <c r="A37" s="542" t="s">
        <v>532</v>
      </c>
      <c r="B37" s="358">
        <v>1202274</v>
      </c>
      <c r="C37" s="358">
        <v>621667</v>
      </c>
      <c r="D37" s="179">
        <v>13133</v>
      </c>
      <c r="E37" s="569">
        <v>4031976</v>
      </c>
      <c r="F37" s="358"/>
      <c r="G37" s="358">
        <v>12000</v>
      </c>
      <c r="H37" s="358"/>
      <c r="I37" s="569">
        <f t="shared" si="0"/>
        <v>5881050</v>
      </c>
    </row>
    <row r="38" spans="1:9" ht="12" customHeight="1">
      <c r="A38" s="542" t="s">
        <v>533</v>
      </c>
      <c r="B38" s="358">
        <v>880000</v>
      </c>
      <c r="C38" s="358">
        <v>649396</v>
      </c>
      <c r="D38" s="179">
        <v>4103</v>
      </c>
      <c r="E38" s="569">
        <v>1464166</v>
      </c>
      <c r="F38" s="358"/>
      <c r="G38" s="358"/>
      <c r="H38" s="358"/>
      <c r="I38" s="569">
        <f t="shared" si="0"/>
        <v>2997665</v>
      </c>
    </row>
    <row r="39" spans="1:9" ht="12" customHeight="1">
      <c r="A39" s="542" t="s">
        <v>534</v>
      </c>
      <c r="B39" s="358">
        <v>226900</v>
      </c>
      <c r="C39" s="358">
        <v>287509</v>
      </c>
      <c r="D39" s="179">
        <v>5745</v>
      </c>
      <c r="E39" s="569">
        <v>1921442</v>
      </c>
      <c r="F39" s="358"/>
      <c r="G39" s="358">
        <v>5250</v>
      </c>
      <c r="H39" s="358"/>
      <c r="I39" s="569">
        <f t="shared" si="0"/>
        <v>2446846</v>
      </c>
    </row>
    <row r="40" spans="1:9" ht="12" customHeight="1">
      <c r="A40" s="542" t="s">
        <v>535</v>
      </c>
      <c r="B40" s="358">
        <v>720300</v>
      </c>
      <c r="C40" s="358">
        <v>840356</v>
      </c>
      <c r="D40" s="179">
        <v>4103</v>
      </c>
      <c r="E40" s="569">
        <v>2007533</v>
      </c>
      <c r="F40" s="569"/>
      <c r="G40" s="569">
        <v>17639</v>
      </c>
      <c r="H40" s="569">
        <v>33110</v>
      </c>
      <c r="I40" s="569">
        <f t="shared" si="0"/>
        <v>3623041</v>
      </c>
    </row>
    <row r="41" spans="1:9" ht="12" customHeight="1">
      <c r="A41" s="542" t="s">
        <v>536</v>
      </c>
      <c r="B41" s="358">
        <v>51000</v>
      </c>
      <c r="C41" s="358">
        <v>218105</v>
      </c>
      <c r="D41" s="179">
        <v>6566</v>
      </c>
      <c r="E41" s="569">
        <v>1251234</v>
      </c>
      <c r="F41" s="569">
        <v>16577</v>
      </c>
      <c r="G41" s="569">
        <v>24600</v>
      </c>
      <c r="H41" s="569">
        <v>4700</v>
      </c>
      <c r="I41" s="569">
        <f t="shared" si="0"/>
        <v>1572782</v>
      </c>
    </row>
    <row r="42" spans="1:9" ht="12" customHeight="1">
      <c r="A42" s="542" t="s">
        <v>537</v>
      </c>
      <c r="B42" s="358">
        <v>35000</v>
      </c>
      <c r="C42" s="358">
        <v>894988</v>
      </c>
      <c r="D42" s="179">
        <v>7388</v>
      </c>
      <c r="E42" s="569">
        <v>2401064</v>
      </c>
      <c r="F42" s="569">
        <v>2795</v>
      </c>
      <c r="G42" s="569">
        <v>7500</v>
      </c>
      <c r="H42" s="569">
        <v>18250</v>
      </c>
      <c r="I42" s="569">
        <f t="shared" si="0"/>
        <v>3366985</v>
      </c>
    </row>
    <row r="43" spans="1:9" ht="12" customHeight="1">
      <c r="A43" s="542" t="s">
        <v>538</v>
      </c>
      <c r="B43" s="358"/>
      <c r="C43" s="358">
        <v>201881</v>
      </c>
      <c r="D43" s="179">
        <v>3136</v>
      </c>
      <c r="E43" s="358">
        <v>563843</v>
      </c>
      <c r="F43" s="503"/>
      <c r="G43" s="569">
        <v>21000</v>
      </c>
      <c r="H43" s="569">
        <v>1750</v>
      </c>
      <c r="I43" s="569">
        <f t="shared" si="0"/>
        <v>791610</v>
      </c>
    </row>
    <row r="44" spans="1:9" ht="12" customHeight="1">
      <c r="A44" s="377" t="s">
        <v>540</v>
      </c>
      <c r="B44" s="574">
        <f aca="true" t="shared" si="1" ref="B44:I44">SUM(B11:B43)</f>
        <v>10197324</v>
      </c>
      <c r="C44" s="574">
        <f t="shared" si="1"/>
        <v>17496113</v>
      </c>
      <c r="D44" s="574">
        <f t="shared" si="1"/>
        <v>212708</v>
      </c>
      <c r="E44" s="574">
        <f t="shared" si="1"/>
        <v>74427600</v>
      </c>
      <c r="F44" s="574">
        <f t="shared" si="1"/>
        <v>264839</v>
      </c>
      <c r="G44" s="574">
        <f t="shared" si="1"/>
        <v>431661</v>
      </c>
      <c r="H44" s="574">
        <f t="shared" si="1"/>
        <v>349609</v>
      </c>
      <c r="I44" s="574">
        <f t="shared" si="1"/>
        <v>103379854</v>
      </c>
    </row>
    <row r="45" spans="1:9" ht="17.25" customHeight="1" hidden="1">
      <c r="A45" s="575"/>
      <c r="B45" s="576"/>
      <c r="C45" s="576"/>
      <c r="D45" s="576"/>
      <c r="E45" s="576"/>
      <c r="F45" s="576"/>
      <c r="G45" s="576"/>
      <c r="H45" s="576"/>
      <c r="I45" s="576">
        <f>SUM(B44:H44)</f>
        <v>103379854</v>
      </c>
    </row>
    <row r="46" spans="1:9" ht="17.25" customHeight="1">
      <c r="A46" s="575"/>
      <c r="B46" s="576"/>
      <c r="C46" s="576"/>
      <c r="D46" s="577"/>
      <c r="E46" s="576"/>
      <c r="F46" s="576"/>
      <c r="G46" s="576"/>
      <c r="H46" s="576"/>
      <c r="I46" s="576"/>
    </row>
    <row r="47" spans="1:9" ht="17.25" customHeight="1">
      <c r="A47" s="575"/>
      <c r="B47" s="576"/>
      <c r="C47" s="576"/>
      <c r="D47" s="576"/>
      <c r="E47" s="576"/>
      <c r="F47" s="576"/>
      <c r="G47" s="576"/>
      <c r="H47" s="576"/>
      <c r="I47" s="576"/>
    </row>
    <row r="48" spans="1:8" ht="17.25" customHeight="1">
      <c r="A48" s="578"/>
      <c r="B48" s="579"/>
      <c r="C48" s="580"/>
      <c r="D48" s="581"/>
      <c r="E48" s="581"/>
      <c r="F48" s="581"/>
      <c r="G48" s="581"/>
      <c r="H48" s="581"/>
    </row>
    <row r="49" spans="1:9" s="448" customFormat="1" ht="17.25" customHeight="1">
      <c r="A49" s="565"/>
      <c r="B49" s="565"/>
      <c r="C49" s="582"/>
      <c r="D49" s="460"/>
      <c r="E49" s="583"/>
      <c r="F49" s="565"/>
      <c r="G49" s="460"/>
      <c r="H49" s="583"/>
      <c r="I49" s="463"/>
    </row>
    <row r="50" spans="1:9" ht="17.25" customHeight="1">
      <c r="A50" s="584"/>
      <c r="B50" s="585"/>
      <c r="C50" s="585"/>
      <c r="D50" s="585"/>
      <c r="E50" s="460"/>
      <c r="F50" s="586"/>
      <c r="G50" s="586"/>
      <c r="H50" s="586"/>
      <c r="I50" s="460"/>
    </row>
    <row r="51" spans="1:7" ht="17.25" customHeight="1">
      <c r="A51" s="41" t="s">
        <v>733</v>
      </c>
      <c r="G51" s="39" t="s">
        <v>959</v>
      </c>
    </row>
    <row r="57" ht="17.25" customHeight="1">
      <c r="A57" s="443" t="s">
        <v>134</v>
      </c>
    </row>
    <row r="58" ht="17.25" customHeight="1">
      <c r="A58" s="443" t="s">
        <v>316</v>
      </c>
    </row>
    <row r="62" ht="17.25" customHeight="1">
      <c r="A62" s="38"/>
    </row>
  </sheetData>
  <mergeCells count="10">
    <mergeCell ref="A2:I2"/>
    <mergeCell ref="A4:I4"/>
    <mergeCell ref="A5:I5"/>
    <mergeCell ref="A8:A9"/>
    <mergeCell ref="B8:B9"/>
    <mergeCell ref="C8:C9"/>
    <mergeCell ref="D8:D9"/>
    <mergeCell ref="E8:E9"/>
    <mergeCell ref="F8:F9"/>
    <mergeCell ref="I8:I9"/>
  </mergeCells>
  <printOptions/>
  <pageMargins left="1.21" right="0.75" top="0.47" bottom="0.63" header="0.18" footer="0.26"/>
  <pageSetup firstPageNumber="48" useFirstPageNumber="1" horizontalDpi="600" verticalDpi="600" orientation="landscape" paperSize="9" r:id="rId1"/>
  <headerFooter alignWithMargins="0">
    <oddFooter>&amp;R&amp;9&amp;P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CM63"/>
  <sheetViews>
    <sheetView workbookViewId="0" topLeftCell="A1">
      <selection activeCell="B3" sqref="B3"/>
    </sheetView>
  </sheetViews>
  <sheetFormatPr defaultColWidth="9.140625" defaultRowHeight="12.75"/>
  <cols>
    <col min="1" max="1" width="4.421875" style="49" customWidth="1"/>
    <col min="2" max="2" width="45.140625" style="49" customWidth="1"/>
    <col min="3" max="3" width="21.28125" style="49" customWidth="1"/>
    <col min="4" max="4" width="20.00390625" style="49" customWidth="1"/>
    <col min="92" max="16384" width="9.140625" style="49" customWidth="1"/>
  </cols>
  <sheetData>
    <row r="1" ht="12.75">
      <c r="D1" s="271" t="s">
        <v>625</v>
      </c>
    </row>
    <row r="2" spans="1:4" ht="12.75">
      <c r="A2" s="855" t="s">
        <v>926</v>
      </c>
      <c r="B2" s="855"/>
      <c r="C2" s="855"/>
      <c r="D2" s="855"/>
    </row>
    <row r="4" spans="1:91" s="528" customFormat="1" ht="15.75">
      <c r="A4" s="414" t="s">
        <v>626</v>
      </c>
      <c r="B4" s="414"/>
      <c r="C4" s="414"/>
      <c r="D4" s="414"/>
      <c r="E4" s="469"/>
      <c r="F4" s="469"/>
      <c r="G4" s="469"/>
      <c r="H4" s="469"/>
      <c r="I4" s="469"/>
      <c r="J4" s="469"/>
      <c r="K4" s="469"/>
      <c r="L4" s="469"/>
      <c r="M4" s="469"/>
      <c r="N4" s="469"/>
      <c r="O4" s="469"/>
      <c r="P4" s="469"/>
      <c r="Q4" s="469"/>
      <c r="R4" s="469"/>
      <c r="S4" s="469"/>
      <c r="T4" s="469"/>
      <c r="U4" s="469"/>
      <c r="V4" s="469"/>
      <c r="W4" s="469"/>
      <c r="X4" s="469"/>
      <c r="Y4" s="469"/>
      <c r="Z4" s="469"/>
      <c r="AA4" s="469"/>
      <c r="AB4" s="469"/>
      <c r="AC4" s="469"/>
      <c r="AD4" s="469"/>
      <c r="AE4" s="469"/>
      <c r="AF4" s="469"/>
      <c r="AG4" s="469"/>
      <c r="AH4" s="469"/>
      <c r="AI4" s="469"/>
      <c r="AJ4" s="469"/>
      <c r="AK4" s="469"/>
      <c r="AL4" s="469"/>
      <c r="AM4" s="469"/>
      <c r="AN4" s="469"/>
      <c r="AO4" s="469"/>
      <c r="AP4" s="469"/>
      <c r="AQ4" s="469"/>
      <c r="AR4" s="469"/>
      <c r="AS4" s="469"/>
      <c r="AT4" s="469"/>
      <c r="AU4" s="469"/>
      <c r="AV4" s="469"/>
      <c r="AW4" s="469"/>
      <c r="AX4" s="469"/>
      <c r="AY4" s="469"/>
      <c r="AZ4" s="469"/>
      <c r="BA4" s="469"/>
      <c r="BB4" s="469"/>
      <c r="BC4" s="469"/>
      <c r="BD4" s="469"/>
      <c r="BE4" s="469"/>
      <c r="BF4" s="469"/>
      <c r="BG4" s="469"/>
      <c r="BH4" s="469"/>
      <c r="BI4" s="469"/>
      <c r="BJ4" s="469"/>
      <c r="BK4" s="469"/>
      <c r="BL4" s="469"/>
      <c r="BM4" s="469"/>
      <c r="BN4" s="469"/>
      <c r="BO4" s="469"/>
      <c r="BP4" s="469"/>
      <c r="BQ4" s="469"/>
      <c r="BR4" s="469"/>
      <c r="BS4" s="469"/>
      <c r="BT4" s="469"/>
      <c r="BU4" s="469"/>
      <c r="BV4" s="469"/>
      <c r="BW4" s="469"/>
      <c r="BX4" s="469"/>
      <c r="BY4" s="469"/>
      <c r="BZ4" s="469"/>
      <c r="CA4" s="469"/>
      <c r="CB4" s="469"/>
      <c r="CC4" s="469"/>
      <c r="CD4" s="469"/>
      <c r="CE4" s="469"/>
      <c r="CF4" s="469"/>
      <c r="CG4" s="469"/>
      <c r="CH4" s="469"/>
      <c r="CI4" s="469"/>
      <c r="CJ4" s="469"/>
      <c r="CK4" s="469"/>
      <c r="CL4" s="469"/>
      <c r="CM4" s="469"/>
    </row>
    <row r="5" spans="1:91" s="528" customFormat="1" ht="15.75">
      <c r="A5" s="415" t="s">
        <v>307</v>
      </c>
      <c r="B5" s="414"/>
      <c r="C5" s="414"/>
      <c r="D5" s="414"/>
      <c r="E5" s="469"/>
      <c r="F5" s="469"/>
      <c r="G5" s="469"/>
      <c r="H5" s="469"/>
      <c r="I5" s="469"/>
      <c r="J5" s="469"/>
      <c r="K5" s="469"/>
      <c r="L5" s="469"/>
      <c r="M5" s="469"/>
      <c r="N5" s="469"/>
      <c r="O5" s="469"/>
      <c r="P5" s="469"/>
      <c r="Q5" s="469"/>
      <c r="R5" s="469"/>
      <c r="S5" s="469"/>
      <c r="T5" s="469"/>
      <c r="U5" s="469"/>
      <c r="V5" s="469"/>
      <c r="W5" s="469"/>
      <c r="X5" s="469"/>
      <c r="Y5" s="469"/>
      <c r="Z5" s="469"/>
      <c r="AA5" s="469"/>
      <c r="AB5" s="469"/>
      <c r="AC5" s="469"/>
      <c r="AD5" s="469"/>
      <c r="AE5" s="469"/>
      <c r="AF5" s="469"/>
      <c r="AG5" s="469"/>
      <c r="AH5" s="469"/>
      <c r="AI5" s="469"/>
      <c r="AJ5" s="469"/>
      <c r="AK5" s="469"/>
      <c r="AL5" s="469"/>
      <c r="AM5" s="469"/>
      <c r="AN5" s="469"/>
      <c r="AO5" s="469"/>
      <c r="AP5" s="469"/>
      <c r="AQ5" s="469"/>
      <c r="AR5" s="469"/>
      <c r="AS5" s="469"/>
      <c r="AT5" s="469"/>
      <c r="AU5" s="469"/>
      <c r="AV5" s="469"/>
      <c r="AW5" s="469"/>
      <c r="AX5" s="469"/>
      <c r="AY5" s="469"/>
      <c r="AZ5" s="469"/>
      <c r="BA5" s="469"/>
      <c r="BB5" s="469"/>
      <c r="BC5" s="469"/>
      <c r="BD5" s="469"/>
      <c r="BE5" s="469"/>
      <c r="BF5" s="469"/>
      <c r="BG5" s="469"/>
      <c r="BH5" s="469"/>
      <c r="BI5" s="469"/>
      <c r="BJ5" s="469"/>
      <c r="BK5" s="469"/>
      <c r="BL5" s="469"/>
      <c r="BM5" s="469"/>
      <c r="BN5" s="469"/>
      <c r="BO5" s="469"/>
      <c r="BP5" s="469"/>
      <c r="BQ5" s="469"/>
      <c r="BR5" s="469"/>
      <c r="BS5" s="469"/>
      <c r="BT5" s="469"/>
      <c r="BU5" s="469"/>
      <c r="BV5" s="469"/>
      <c r="BW5" s="469"/>
      <c r="BX5" s="469"/>
      <c r="BY5" s="469"/>
      <c r="BZ5" s="469"/>
      <c r="CA5" s="469"/>
      <c r="CB5" s="469"/>
      <c r="CC5" s="469"/>
      <c r="CD5" s="469"/>
      <c r="CE5" s="469"/>
      <c r="CF5" s="469"/>
      <c r="CG5" s="469"/>
      <c r="CH5" s="469"/>
      <c r="CI5" s="469"/>
      <c r="CJ5" s="469"/>
      <c r="CK5" s="469"/>
      <c r="CL5" s="469"/>
      <c r="CM5" s="469"/>
    </row>
    <row r="7" spans="1:91" s="590" customFormat="1" ht="15">
      <c r="A7" s="587"/>
      <c r="B7" s="588" t="s">
        <v>627</v>
      </c>
      <c r="C7" s="589" t="s">
        <v>628</v>
      </c>
      <c r="D7" s="589" t="s">
        <v>629</v>
      </c>
      <c r="E7" s="469"/>
      <c r="F7" s="469"/>
      <c r="G7" s="469"/>
      <c r="H7" s="469"/>
      <c r="I7" s="469"/>
      <c r="J7" s="469"/>
      <c r="K7" s="469"/>
      <c r="L7" s="469"/>
      <c r="M7" s="469"/>
      <c r="N7" s="469"/>
      <c r="O7" s="469"/>
      <c r="P7" s="469"/>
      <c r="Q7" s="469"/>
      <c r="R7" s="469"/>
      <c r="S7" s="469"/>
      <c r="T7" s="469"/>
      <c r="U7" s="469"/>
      <c r="V7" s="469"/>
      <c r="W7" s="469"/>
      <c r="X7" s="469"/>
      <c r="Y7" s="469"/>
      <c r="Z7" s="469"/>
      <c r="AA7" s="469"/>
      <c r="AB7" s="469"/>
      <c r="AC7" s="469"/>
      <c r="AD7" s="469"/>
      <c r="AE7" s="469"/>
      <c r="AF7" s="469"/>
      <c r="AG7" s="469"/>
      <c r="AH7" s="469"/>
      <c r="AI7" s="469"/>
      <c r="AJ7" s="469"/>
      <c r="AK7" s="469"/>
      <c r="AL7" s="469"/>
      <c r="AM7" s="469"/>
      <c r="AN7" s="469"/>
      <c r="AO7" s="469"/>
      <c r="AP7" s="469"/>
      <c r="AQ7" s="469"/>
      <c r="AR7" s="469"/>
      <c r="AS7" s="469"/>
      <c r="AT7" s="469"/>
      <c r="AU7" s="469"/>
      <c r="AV7" s="469"/>
      <c r="AW7" s="469"/>
      <c r="AX7" s="469"/>
      <c r="AY7" s="469"/>
      <c r="AZ7" s="469"/>
      <c r="BA7" s="469"/>
      <c r="BB7" s="469"/>
      <c r="BC7" s="469"/>
      <c r="BD7" s="469"/>
      <c r="BE7" s="469"/>
      <c r="BF7" s="469"/>
      <c r="BG7" s="469"/>
      <c r="BH7" s="469"/>
      <c r="BI7" s="469"/>
      <c r="BJ7" s="469"/>
      <c r="BK7" s="469"/>
      <c r="BL7" s="469"/>
      <c r="BM7" s="469"/>
      <c r="BN7" s="469"/>
      <c r="BO7" s="469"/>
      <c r="BP7" s="469"/>
      <c r="BQ7" s="469"/>
      <c r="BR7" s="469"/>
      <c r="BS7" s="469"/>
      <c r="BT7" s="469"/>
      <c r="BU7" s="469"/>
      <c r="BV7" s="469"/>
      <c r="BW7" s="469"/>
      <c r="BX7" s="469"/>
      <c r="BY7" s="469"/>
      <c r="BZ7" s="469"/>
      <c r="CA7" s="469"/>
      <c r="CB7" s="469"/>
      <c r="CC7" s="469"/>
      <c r="CD7" s="469"/>
      <c r="CE7" s="469"/>
      <c r="CF7" s="469"/>
      <c r="CG7" s="469"/>
      <c r="CH7" s="469"/>
      <c r="CI7" s="469"/>
      <c r="CJ7" s="469"/>
      <c r="CK7" s="469"/>
      <c r="CL7" s="469"/>
      <c r="CM7" s="469"/>
    </row>
    <row r="8" spans="1:91" s="594" customFormat="1" ht="6" customHeight="1">
      <c r="A8" s="591"/>
      <c r="B8" s="592"/>
      <c r="C8" s="593"/>
      <c r="D8" s="592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</row>
    <row r="9" spans="1:91" s="5" customFormat="1" ht="15">
      <c r="A9" s="595" t="s">
        <v>630</v>
      </c>
      <c r="B9" s="596" t="s">
        <v>631</v>
      </c>
      <c r="D9" s="597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</row>
    <row r="10" spans="1:91" s="5" customFormat="1" ht="15">
      <c r="A10" s="595"/>
      <c r="B10" s="596" t="s">
        <v>190</v>
      </c>
      <c r="C10" s="598" t="s">
        <v>632</v>
      </c>
      <c r="D10" s="599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</row>
    <row r="11" spans="1:91" s="5" customFormat="1" ht="8.25" customHeight="1">
      <c r="A11" s="595"/>
      <c r="B11" s="596"/>
      <c r="C11" s="598"/>
      <c r="D11" s="599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</row>
    <row r="12" spans="1:91" s="5" customFormat="1" ht="14.25">
      <c r="A12" s="600"/>
      <c r="B12" s="601" t="s">
        <v>633</v>
      </c>
      <c r="C12" s="602">
        <v>20</v>
      </c>
      <c r="D12" s="602">
        <v>10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</row>
    <row r="13" spans="1:91" s="5" customFormat="1" ht="14.25">
      <c r="A13" s="600"/>
      <c r="B13" s="601" t="s">
        <v>804</v>
      </c>
      <c r="C13" s="602">
        <v>46</v>
      </c>
      <c r="D13" s="602">
        <v>33</v>
      </c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</row>
    <row r="14" spans="1:91" s="5" customFormat="1" ht="14.25">
      <c r="A14" s="600"/>
      <c r="B14" s="601" t="s">
        <v>634</v>
      </c>
      <c r="C14" s="602">
        <v>62</v>
      </c>
      <c r="D14" s="602">
        <v>47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</row>
    <row r="15" spans="1:91" s="5" customFormat="1" ht="14.25">
      <c r="A15" s="600"/>
      <c r="B15" s="601" t="s">
        <v>346</v>
      </c>
      <c r="C15" s="602"/>
      <c r="D15" s="602">
        <v>61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</row>
    <row r="16" spans="1:91" s="5" customFormat="1" ht="14.25">
      <c r="A16" s="600"/>
      <c r="B16" s="601" t="s">
        <v>635</v>
      </c>
      <c r="C16" s="602">
        <v>79</v>
      </c>
      <c r="D16" s="602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</row>
    <row r="17" spans="1:91" s="5" customFormat="1" ht="14.25">
      <c r="A17" s="600"/>
      <c r="B17" s="603" t="s">
        <v>191</v>
      </c>
      <c r="C17" s="602"/>
      <c r="D17" s="602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</row>
    <row r="18" spans="1:91" s="5" customFormat="1" ht="6" customHeight="1">
      <c r="A18" s="604"/>
      <c r="B18" s="597"/>
      <c r="C18" s="330"/>
      <c r="D18" s="605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</row>
    <row r="19" spans="1:91" s="5" customFormat="1" ht="15">
      <c r="A19" s="595" t="s">
        <v>636</v>
      </c>
      <c r="B19" s="596" t="s">
        <v>637</v>
      </c>
      <c r="C19" s="598" t="s">
        <v>638</v>
      </c>
      <c r="D19" s="59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</row>
    <row r="20" spans="1:91" s="5" customFormat="1" ht="15">
      <c r="A20" s="595"/>
      <c r="B20" s="596" t="s">
        <v>639</v>
      </c>
      <c r="C20" s="49"/>
      <c r="D20" s="606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</row>
    <row r="21" spans="1:91" s="5" customFormat="1" ht="16.5" customHeight="1">
      <c r="A21" s="600"/>
      <c r="C21" s="607" t="s">
        <v>640</v>
      </c>
      <c r="D21" s="607" t="s">
        <v>641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</row>
    <row r="22" spans="1:91" s="5" customFormat="1" ht="14.25">
      <c r="A22" s="600"/>
      <c r="B22" s="608" t="s">
        <v>642</v>
      </c>
      <c r="C22" s="609" t="s">
        <v>643</v>
      </c>
      <c r="D22" s="609" t="s">
        <v>643</v>
      </c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</row>
    <row r="23" spans="1:91" s="5" customFormat="1" ht="14.25">
      <c r="A23" s="600"/>
      <c r="B23" s="601" t="s">
        <v>644</v>
      </c>
      <c r="C23" s="610" t="s">
        <v>645</v>
      </c>
      <c r="D23" s="610" t="s">
        <v>646</v>
      </c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</row>
    <row r="24" spans="1:91" s="5" customFormat="1" ht="14.25">
      <c r="A24" s="600"/>
      <c r="B24" s="601" t="s">
        <v>647</v>
      </c>
      <c r="C24" s="610" t="s">
        <v>648</v>
      </c>
      <c r="D24" s="610" t="s">
        <v>646</v>
      </c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</row>
    <row r="25" spans="1:91" s="5" customFormat="1" ht="14.25">
      <c r="A25" s="600"/>
      <c r="B25" s="601" t="s">
        <v>649</v>
      </c>
      <c r="C25" s="610" t="s">
        <v>650</v>
      </c>
      <c r="D25" s="610" t="s">
        <v>646</v>
      </c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</row>
    <row r="26" spans="1:91" s="5" customFormat="1" ht="14.25">
      <c r="A26" s="600"/>
      <c r="B26" s="601" t="s">
        <v>347</v>
      </c>
      <c r="C26" s="610"/>
      <c r="D26" s="610" t="s">
        <v>348</v>
      </c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</row>
    <row r="27" spans="1:91" s="5" customFormat="1" ht="14.25">
      <c r="A27" s="600"/>
      <c r="B27" s="601" t="s">
        <v>651</v>
      </c>
      <c r="C27" s="610" t="s">
        <v>652</v>
      </c>
      <c r="D27" s="611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</row>
    <row r="28" spans="1:91" s="5" customFormat="1" ht="14.25">
      <c r="A28" s="600"/>
      <c r="B28" s="601"/>
      <c r="C28" s="610"/>
      <c r="D28" s="610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</row>
    <row r="29" spans="1:91" s="5" customFormat="1" ht="12" customHeight="1">
      <c r="A29" s="600"/>
      <c r="B29" s="597"/>
      <c r="C29" s="612"/>
      <c r="D29" s="596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</row>
    <row r="30" spans="1:91" s="5" customFormat="1" ht="15">
      <c r="A30" s="595" t="s">
        <v>653</v>
      </c>
      <c r="B30" s="596" t="s">
        <v>654</v>
      </c>
      <c r="D30" s="597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</row>
    <row r="31" spans="1:91" s="5" customFormat="1" ht="15">
      <c r="A31" s="595"/>
      <c r="B31" s="596" t="s">
        <v>655</v>
      </c>
      <c r="C31" s="598" t="s">
        <v>632</v>
      </c>
      <c r="D31" s="599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</row>
    <row r="32" spans="1:4" ht="12" customHeight="1">
      <c r="A32" s="613"/>
      <c r="B32" s="614"/>
      <c r="D32" s="615"/>
    </row>
    <row r="33" spans="1:91" s="5" customFormat="1" ht="14.25">
      <c r="A33" s="600"/>
      <c r="B33" s="601" t="s">
        <v>644</v>
      </c>
      <c r="C33" s="602">
        <v>0</v>
      </c>
      <c r="D33" s="602">
        <v>0</v>
      </c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</row>
    <row r="34" spans="1:91" s="5" customFormat="1" ht="14.25">
      <c r="A34" s="600"/>
      <c r="B34" s="601" t="s">
        <v>647</v>
      </c>
      <c r="C34" s="602">
        <v>0</v>
      </c>
      <c r="D34" s="602">
        <v>0</v>
      </c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</row>
    <row r="35" spans="1:91" s="5" customFormat="1" ht="14.25">
      <c r="A35" s="600"/>
      <c r="B35" s="601" t="s">
        <v>649</v>
      </c>
      <c r="C35" s="602">
        <v>0</v>
      </c>
      <c r="D35" s="602">
        <v>0</v>
      </c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</row>
    <row r="36" spans="1:91" s="5" customFormat="1" ht="14.25">
      <c r="A36" s="600"/>
      <c r="B36" s="601" t="s">
        <v>347</v>
      </c>
      <c r="C36" s="602"/>
      <c r="D36" s="602">
        <v>0</v>
      </c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</row>
    <row r="37" spans="1:91" s="5" customFormat="1" ht="14.25">
      <c r="A37" s="600"/>
      <c r="B37" s="601" t="s">
        <v>651</v>
      </c>
      <c r="C37" s="602">
        <v>0</v>
      </c>
      <c r="D37" s="602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</row>
    <row r="38" spans="1:91" s="5" customFormat="1" ht="14.25">
      <c r="A38" s="600"/>
      <c r="B38" s="601"/>
      <c r="C38" s="602"/>
      <c r="D38" s="602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</row>
    <row r="39" spans="1:4" ht="12.75">
      <c r="A39" s="613"/>
      <c r="B39" s="606"/>
      <c r="C39" s="344"/>
      <c r="D39" s="616"/>
    </row>
    <row r="40" spans="1:91" s="5" customFormat="1" ht="15">
      <c r="A40" s="595" t="s">
        <v>656</v>
      </c>
      <c r="B40" s="596" t="s">
        <v>203</v>
      </c>
      <c r="D40" s="597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</row>
    <row r="41" spans="1:91" s="5" customFormat="1" ht="15">
      <c r="A41" s="595"/>
      <c r="B41" s="596" t="s">
        <v>805</v>
      </c>
      <c r="C41" s="598" t="s">
        <v>632</v>
      </c>
      <c r="D41" s="599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</row>
    <row r="42" spans="1:4" ht="12" customHeight="1">
      <c r="A42" s="613"/>
      <c r="B42" s="614"/>
      <c r="D42" s="606"/>
    </row>
    <row r="43" spans="1:91" s="5" customFormat="1" ht="14.25">
      <c r="A43" s="600"/>
      <c r="B43" s="601" t="s">
        <v>633</v>
      </c>
      <c r="C43" s="602">
        <v>295</v>
      </c>
      <c r="D43" s="602">
        <v>276</v>
      </c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</row>
    <row r="44" spans="1:91" s="5" customFormat="1" ht="14.25">
      <c r="A44" s="600"/>
      <c r="B44" s="601" t="s">
        <v>806</v>
      </c>
      <c r="C44" s="602">
        <v>606</v>
      </c>
      <c r="D44" s="602">
        <v>582</v>
      </c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</row>
    <row r="45" spans="1:91" s="5" customFormat="1" ht="14.25">
      <c r="A45" s="600"/>
      <c r="B45" s="601" t="s">
        <v>657</v>
      </c>
      <c r="C45" s="602">
        <v>920</v>
      </c>
      <c r="D45" s="602">
        <v>891</v>
      </c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</row>
    <row r="46" spans="1:91" s="5" customFormat="1" ht="14.25">
      <c r="A46" s="600"/>
      <c r="B46" s="601" t="s">
        <v>349</v>
      </c>
      <c r="C46" s="602"/>
      <c r="D46" s="602">
        <v>1100</v>
      </c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</row>
    <row r="47" spans="1:91" s="5" customFormat="1" ht="14.25">
      <c r="A47" s="600"/>
      <c r="B47" s="601" t="s">
        <v>658</v>
      </c>
      <c r="C47" s="602">
        <v>1247</v>
      </c>
      <c r="D47" s="602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</row>
    <row r="48" spans="1:4" ht="12.75">
      <c r="A48" s="738"/>
      <c r="B48" s="617" t="s">
        <v>350</v>
      </c>
      <c r="D48" s="618"/>
    </row>
    <row r="49" spans="1:4" ht="12.75">
      <c r="A49" s="739"/>
      <c r="B49" s="620" t="s">
        <v>351</v>
      </c>
      <c r="C49" s="619"/>
      <c r="D49" s="621"/>
    </row>
    <row r="54" ht="12.75">
      <c r="A54" s="49" t="s">
        <v>564</v>
      </c>
    </row>
    <row r="57" ht="12.75">
      <c r="A57" s="38" t="s">
        <v>923</v>
      </c>
    </row>
    <row r="58" spans="1:91" s="38" customFormat="1" ht="12.75">
      <c r="A58" s="38" t="s">
        <v>340</v>
      </c>
      <c r="B58" s="49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</row>
    <row r="62" spans="2:91" s="38" customFormat="1" ht="10.5" customHeight="1">
      <c r="B62" s="49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</row>
    <row r="63" spans="2:91" s="38" customFormat="1" ht="12.75">
      <c r="B63" s="49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</row>
  </sheetData>
  <mergeCells count="1">
    <mergeCell ref="A2:D2"/>
  </mergeCells>
  <printOptions/>
  <pageMargins left="0.75" right="0.27" top="0.51" bottom="0.2" header="0.5" footer="0.5"/>
  <pageSetup firstPageNumber="50" useFirstPageNumber="1" horizontalDpi="600" verticalDpi="600" orientation="portrait" paperSize="9" r:id="rId1"/>
  <headerFooter alignWithMargins="0">
    <oddFooter>&amp;R&amp;9&amp;P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DC229"/>
  <sheetViews>
    <sheetView workbookViewId="0" topLeftCell="K1">
      <selection activeCell="L13" sqref="L13"/>
    </sheetView>
  </sheetViews>
  <sheetFormatPr defaultColWidth="9.140625" defaultRowHeight="12.75"/>
  <cols>
    <col min="1" max="1" width="29.28125" style="49" hidden="1" customWidth="1"/>
    <col min="2" max="2" width="10.57421875" style="49" hidden="1" customWidth="1"/>
    <col min="3" max="3" width="9.57421875" style="49" hidden="1" customWidth="1"/>
    <col min="4" max="4" width="5.8515625" style="49" hidden="1" customWidth="1"/>
    <col min="5" max="5" width="10.57421875" style="49" hidden="1" customWidth="1"/>
    <col min="6" max="6" width="9.57421875" style="49" hidden="1" customWidth="1"/>
    <col min="7" max="7" width="5.8515625" style="49" hidden="1" customWidth="1"/>
    <col min="8" max="8" width="10.57421875" style="49" hidden="1" customWidth="1"/>
    <col min="9" max="9" width="8.8515625" style="49" hidden="1" customWidth="1"/>
    <col min="10" max="10" width="6.140625" style="49" hidden="1" customWidth="1"/>
    <col min="11" max="11" width="46.28125" style="49" customWidth="1"/>
    <col min="12" max="12" width="9.8515625" style="49" customWidth="1"/>
    <col min="13" max="13" width="9.140625" style="49" customWidth="1"/>
    <col min="14" max="14" width="7.7109375" style="49" customWidth="1"/>
    <col min="15" max="15" width="10.140625" style="49" customWidth="1"/>
    <col min="16" max="16" width="8.8515625" style="49" customWidth="1"/>
    <col min="17" max="17" width="7.8515625" style="49" customWidth="1"/>
    <col min="18" max="18" width="10.140625" style="49" customWidth="1"/>
    <col min="19" max="19" width="8.8515625" style="49" customWidth="1"/>
    <col min="20" max="20" width="8.140625" style="49" customWidth="1"/>
    <col min="21" max="107" width="9.8515625" style="0" customWidth="1"/>
    <col min="108" max="16384" width="9.8515625" style="49" customWidth="1"/>
  </cols>
  <sheetData>
    <row r="1" ht="12.75">
      <c r="T1" s="271" t="s">
        <v>659</v>
      </c>
    </row>
    <row r="2" spans="1:19" ht="17.25" customHeight="1">
      <c r="A2" s="51" t="s">
        <v>962</v>
      </c>
      <c r="B2" s="51"/>
      <c r="C2" s="171"/>
      <c r="D2" s="51"/>
      <c r="E2" s="51"/>
      <c r="F2" s="171"/>
      <c r="G2" s="171"/>
      <c r="H2" s="171"/>
      <c r="I2" s="171"/>
      <c r="K2" s="51" t="s">
        <v>962</v>
      </c>
      <c r="L2" s="51"/>
      <c r="M2" s="171"/>
      <c r="N2" s="51"/>
      <c r="O2" s="51"/>
      <c r="P2" s="171"/>
      <c r="Q2" s="171"/>
      <c r="R2" s="171"/>
      <c r="S2" s="171"/>
    </row>
    <row r="3" spans="1:20" ht="12.75">
      <c r="A3" s="51"/>
      <c r="B3" s="51"/>
      <c r="C3" s="171"/>
      <c r="D3" s="51"/>
      <c r="E3" s="51"/>
      <c r="F3" s="171"/>
      <c r="G3" s="171"/>
      <c r="H3" s="171"/>
      <c r="I3" s="171"/>
      <c r="J3" s="1"/>
      <c r="K3" s="51"/>
      <c r="L3" s="51"/>
      <c r="M3" s="171"/>
      <c r="N3" s="51"/>
      <c r="O3" s="51"/>
      <c r="P3" s="171"/>
      <c r="Q3" s="171"/>
      <c r="R3" s="171"/>
      <c r="S3" s="171"/>
      <c r="T3" s="1"/>
    </row>
    <row r="4" spans="1:20" ht="18.75" customHeight="1">
      <c r="A4" s="856" t="s">
        <v>660</v>
      </c>
      <c r="B4" s="856"/>
      <c r="C4" s="856"/>
      <c r="D4" s="856"/>
      <c r="E4" s="856"/>
      <c r="F4" s="856"/>
      <c r="G4" s="856"/>
      <c r="H4" s="856"/>
      <c r="I4" s="856"/>
      <c r="J4" s="856"/>
      <c r="K4" s="856" t="s">
        <v>661</v>
      </c>
      <c r="L4" s="856"/>
      <c r="M4" s="856"/>
      <c r="N4" s="856"/>
      <c r="O4" s="856"/>
      <c r="P4" s="856"/>
      <c r="Q4" s="856"/>
      <c r="R4" s="856"/>
      <c r="S4" s="856"/>
      <c r="T4" s="856"/>
    </row>
    <row r="5" spans="1:20" ht="18.75" customHeight="1">
      <c r="A5" s="856" t="s">
        <v>662</v>
      </c>
      <c r="B5" s="856"/>
      <c r="C5" s="856"/>
      <c r="D5" s="856"/>
      <c r="E5" s="856"/>
      <c r="F5" s="856"/>
      <c r="G5" s="856"/>
      <c r="H5" s="856"/>
      <c r="I5" s="856"/>
      <c r="J5" s="856"/>
      <c r="K5" s="856" t="s">
        <v>662</v>
      </c>
      <c r="L5" s="856"/>
      <c r="M5" s="856"/>
      <c r="N5" s="856"/>
      <c r="O5" s="856"/>
      <c r="P5" s="856"/>
      <c r="Q5" s="856"/>
      <c r="R5" s="856"/>
      <c r="S5" s="856"/>
      <c r="T5" s="856"/>
    </row>
    <row r="6" spans="1:20" ht="19.5" customHeight="1">
      <c r="A6" s="856" t="s">
        <v>352</v>
      </c>
      <c r="B6" s="856"/>
      <c r="C6" s="856"/>
      <c r="D6" s="856"/>
      <c r="E6" s="856"/>
      <c r="F6" s="856"/>
      <c r="G6" s="856"/>
      <c r="H6" s="856"/>
      <c r="I6" s="856"/>
      <c r="J6" s="856"/>
      <c r="K6" s="865" t="s">
        <v>307</v>
      </c>
      <c r="L6" s="865"/>
      <c r="M6" s="865"/>
      <c r="N6" s="865"/>
      <c r="O6" s="865"/>
      <c r="P6" s="865"/>
      <c r="Q6" s="865"/>
      <c r="R6" s="865"/>
      <c r="S6" s="865"/>
      <c r="T6" s="865"/>
    </row>
    <row r="7" spans="1:20" ht="11.25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</row>
    <row r="8" spans="1:20" ht="11.25" customHeight="1">
      <c r="A8" s="48"/>
      <c r="B8" s="48"/>
      <c r="C8" s="48"/>
      <c r="D8" s="48"/>
      <c r="E8" s="48"/>
      <c r="F8" s="48"/>
      <c r="G8" s="48"/>
      <c r="H8" s="48"/>
      <c r="I8" s="48"/>
      <c r="J8" s="2" t="s">
        <v>252</v>
      </c>
      <c r="K8" s="48"/>
      <c r="L8" s="48"/>
      <c r="M8" s="48"/>
      <c r="N8" s="48"/>
      <c r="O8" s="48"/>
      <c r="P8" s="48"/>
      <c r="Q8" s="48"/>
      <c r="R8" s="48"/>
      <c r="S8" s="48"/>
      <c r="T8" s="2" t="s">
        <v>842</v>
      </c>
    </row>
    <row r="9" spans="1:20" s="38" customFormat="1" ht="24" customHeight="1">
      <c r="A9" s="622"/>
      <c r="B9" s="907" t="s">
        <v>663</v>
      </c>
      <c r="C9" s="908"/>
      <c r="D9" s="909"/>
      <c r="E9" s="907" t="s">
        <v>664</v>
      </c>
      <c r="F9" s="908"/>
      <c r="G9" s="909"/>
      <c r="H9" s="910" t="s">
        <v>665</v>
      </c>
      <c r="I9" s="911"/>
      <c r="J9" s="912"/>
      <c r="K9" s="622"/>
      <c r="L9" s="907" t="s">
        <v>663</v>
      </c>
      <c r="M9" s="908"/>
      <c r="N9" s="909"/>
      <c r="O9" s="907" t="s">
        <v>664</v>
      </c>
      <c r="P9" s="908"/>
      <c r="Q9" s="909"/>
      <c r="R9" s="910" t="s">
        <v>665</v>
      </c>
      <c r="S9" s="911"/>
      <c r="T9" s="912"/>
    </row>
    <row r="10" spans="1:20" ht="47.25" customHeight="1">
      <c r="A10" s="540" t="s">
        <v>738</v>
      </c>
      <c r="B10" s="623" t="s">
        <v>666</v>
      </c>
      <c r="C10" s="9" t="s">
        <v>667</v>
      </c>
      <c r="D10" s="9" t="s">
        <v>370</v>
      </c>
      <c r="E10" s="9" t="s">
        <v>666</v>
      </c>
      <c r="F10" s="9" t="s">
        <v>667</v>
      </c>
      <c r="G10" s="9" t="s">
        <v>668</v>
      </c>
      <c r="H10" s="9" t="s">
        <v>666</v>
      </c>
      <c r="I10" s="9" t="s">
        <v>667</v>
      </c>
      <c r="J10" s="9" t="s">
        <v>669</v>
      </c>
      <c r="K10" s="540" t="s">
        <v>738</v>
      </c>
      <c r="L10" s="623" t="s">
        <v>666</v>
      </c>
      <c r="M10" s="9" t="s">
        <v>667</v>
      </c>
      <c r="N10" s="9" t="s">
        <v>370</v>
      </c>
      <c r="O10" s="9" t="s">
        <v>666</v>
      </c>
      <c r="P10" s="9" t="s">
        <v>667</v>
      </c>
      <c r="Q10" s="9" t="s">
        <v>668</v>
      </c>
      <c r="R10" s="9" t="s">
        <v>666</v>
      </c>
      <c r="S10" s="9" t="s">
        <v>667</v>
      </c>
      <c r="T10" s="9" t="s">
        <v>669</v>
      </c>
    </row>
    <row r="11" spans="1:20" ht="12.75">
      <c r="A11" s="540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  <c r="K11" s="540">
        <v>1</v>
      </c>
      <c r="L11" s="9">
        <v>2</v>
      </c>
      <c r="M11" s="9">
        <v>3</v>
      </c>
      <c r="N11" s="9">
        <v>4</v>
      </c>
      <c r="O11" s="9">
        <v>5</v>
      </c>
      <c r="P11" s="9">
        <v>6</v>
      </c>
      <c r="Q11" s="9">
        <v>7</v>
      </c>
      <c r="R11" s="9">
        <v>8</v>
      </c>
      <c r="S11" s="9">
        <v>9</v>
      </c>
      <c r="T11" s="9">
        <v>10</v>
      </c>
    </row>
    <row r="12" spans="1:107" ht="20.25" customHeight="1">
      <c r="A12" s="416" t="s">
        <v>581</v>
      </c>
      <c r="B12" s="351">
        <f>B19+B23+B26+B30+B35+B40+B46+B51+B56+B59+B63+B66+B69+B72+B77+B79+B83+B81+B85</f>
        <v>105353766</v>
      </c>
      <c r="C12" s="351">
        <f aca="true" t="shared" si="0" ref="C12:I12">C19+C23+C26+C30+C35+C40+C46+C51+C56+C59+C63+C66+C69+C72+C77+C79+C83+C81+C85</f>
        <v>41770018</v>
      </c>
      <c r="D12" s="624">
        <f aca="true" t="shared" si="1" ref="D12:D75">C12/B12*100</f>
        <v>39.64738953897481</v>
      </c>
      <c r="E12" s="351">
        <f>E19+E23+E26+E30+E35+E40+E46+E51+E56+E59+E63+E66+E69+E72+E77+E79+E83+E81+E85</f>
        <v>101854768</v>
      </c>
      <c r="F12" s="351">
        <f>F19+F23+F26+F30+F35+F40+F46+F51+F56+F59+F63+F66+F69+F72+F77+F79+F83+F81+F85</f>
        <v>36119998</v>
      </c>
      <c r="G12" s="624">
        <f aca="true" t="shared" si="2" ref="G12:G75">F12/E12*100</f>
        <v>35.4622554341295</v>
      </c>
      <c r="H12" s="351">
        <f t="shared" si="0"/>
        <v>151829271</v>
      </c>
      <c r="I12" s="351">
        <f t="shared" si="0"/>
        <v>1817330</v>
      </c>
      <c r="J12" s="624">
        <f>I12/H12*100</f>
        <v>1.1969562838775667</v>
      </c>
      <c r="K12" s="416" t="s">
        <v>581</v>
      </c>
      <c r="L12" s="351">
        <f>L19+L23+L26+L30+L35+L40+L46+L51+L56+L59+L63+L66+L69+L72+L77+L79+L83+L81+L85</f>
        <v>105354</v>
      </c>
      <c r="M12" s="351">
        <f aca="true" t="shared" si="3" ref="M12:S12">M19+M23+M26+M30+M35+M40+M46+M51+M56+M59+M63+M66+M69+M72+M77+M79+M83+M81+M85</f>
        <v>41770</v>
      </c>
      <c r="N12" s="624">
        <f aca="true" t="shared" si="4" ref="N12:N75">M12/L12*100</f>
        <v>39.64728439356835</v>
      </c>
      <c r="O12" s="351">
        <f t="shared" si="3"/>
        <v>101855</v>
      </c>
      <c r="P12" s="351">
        <f t="shared" si="3"/>
        <v>36120</v>
      </c>
      <c r="Q12" s="624">
        <f aca="true" t="shared" si="5" ref="Q12:Q75">P12/O12*100</f>
        <v>35.46217662363163</v>
      </c>
      <c r="R12" s="351">
        <f t="shared" si="3"/>
        <v>151829</v>
      </c>
      <c r="S12" s="351">
        <f t="shared" si="3"/>
        <v>1817</v>
      </c>
      <c r="T12" s="624">
        <f>S12/R12*100</f>
        <v>1.19674107054647</v>
      </c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</row>
    <row r="13" spans="1:107" s="627" customFormat="1" ht="15" customHeight="1">
      <c r="A13" s="625" t="s">
        <v>670</v>
      </c>
      <c r="B13" s="428">
        <f>B31+B52+B73</f>
        <v>237160</v>
      </c>
      <c r="C13" s="428">
        <f>C31+C52+C73</f>
        <v>0</v>
      </c>
      <c r="D13" s="518">
        <f t="shared" si="1"/>
        <v>0</v>
      </c>
      <c r="E13" s="428">
        <f>E31+E52+E73</f>
        <v>209930</v>
      </c>
      <c r="F13" s="428">
        <f>F31+F52+F73</f>
        <v>0</v>
      </c>
      <c r="G13" s="518">
        <f t="shared" si="2"/>
        <v>0</v>
      </c>
      <c r="H13" s="428">
        <f>H31+H52+H73</f>
        <v>858070</v>
      </c>
      <c r="I13" s="428">
        <f>I31+I52+I73</f>
        <v>0</v>
      </c>
      <c r="J13" s="518">
        <f aca="true" t="shared" si="6" ref="J13:J75">I13/H13*100</f>
        <v>0</v>
      </c>
      <c r="K13" s="625" t="s">
        <v>670</v>
      </c>
      <c r="L13" s="428">
        <f>L31+L52+L73</f>
        <v>237</v>
      </c>
      <c r="M13" s="428">
        <f>M31+M52+M73</f>
        <v>0</v>
      </c>
      <c r="N13" s="518">
        <f t="shared" si="4"/>
        <v>0</v>
      </c>
      <c r="O13" s="428">
        <f>O31+O52+O73</f>
        <v>210</v>
      </c>
      <c r="P13" s="428">
        <f>P31+P52+P73</f>
        <v>0</v>
      </c>
      <c r="Q13" s="518">
        <f t="shared" si="5"/>
        <v>0</v>
      </c>
      <c r="R13" s="428">
        <f>R31+R52+R73</f>
        <v>858</v>
      </c>
      <c r="S13" s="428">
        <f>S31+S52+S73</f>
        <v>0</v>
      </c>
      <c r="T13" s="518">
        <f aca="true" t="shared" si="7" ref="T13:T75">S13/R13*100</f>
        <v>0</v>
      </c>
      <c r="U13" s="626"/>
      <c r="V13" s="626"/>
      <c r="W13" s="626"/>
      <c r="X13" s="626"/>
      <c r="Y13" s="626"/>
      <c r="Z13" s="626"/>
      <c r="AA13" s="626"/>
      <c r="AB13" s="626"/>
      <c r="AC13" s="626"/>
      <c r="AD13" s="626"/>
      <c r="AE13" s="626"/>
      <c r="AF13" s="626"/>
      <c r="AG13" s="626"/>
      <c r="AH13" s="626"/>
      <c r="AI13" s="626"/>
      <c r="AJ13" s="626"/>
      <c r="AK13" s="626"/>
      <c r="AL13" s="626"/>
      <c r="AM13" s="626"/>
      <c r="AN13" s="626"/>
      <c r="AO13" s="626"/>
      <c r="AP13" s="626"/>
      <c r="AQ13" s="626"/>
      <c r="AR13" s="626"/>
      <c r="AS13" s="626"/>
      <c r="AT13" s="626"/>
      <c r="AU13" s="626"/>
      <c r="AV13" s="626"/>
      <c r="AW13" s="626"/>
      <c r="AX13" s="626"/>
      <c r="AY13" s="626"/>
      <c r="AZ13" s="626"/>
      <c r="BA13" s="626"/>
      <c r="BB13" s="626"/>
      <c r="BC13" s="626"/>
      <c r="BD13" s="626"/>
      <c r="BE13" s="626"/>
      <c r="BF13" s="626"/>
      <c r="BG13" s="626"/>
      <c r="BH13" s="626"/>
      <c r="BI13" s="626"/>
      <c r="BJ13" s="626"/>
      <c r="BK13" s="626"/>
      <c r="BL13" s="626"/>
      <c r="BM13" s="626"/>
      <c r="BN13" s="626"/>
      <c r="BO13" s="626"/>
      <c r="BP13" s="626"/>
      <c r="BQ13" s="626"/>
      <c r="BR13" s="626"/>
      <c r="BS13" s="626"/>
      <c r="BT13" s="626"/>
      <c r="BU13" s="626"/>
      <c r="BV13" s="626"/>
      <c r="BW13" s="626"/>
      <c r="BX13" s="626"/>
      <c r="BY13" s="626"/>
      <c r="BZ13" s="626"/>
      <c r="CA13" s="626"/>
      <c r="CB13" s="626"/>
      <c r="CC13" s="626"/>
      <c r="CD13" s="626"/>
      <c r="CE13" s="626"/>
      <c r="CF13" s="626"/>
      <c r="CG13" s="626"/>
      <c r="CH13" s="626"/>
      <c r="CI13" s="626"/>
      <c r="CJ13" s="626"/>
      <c r="CK13" s="626"/>
      <c r="CL13" s="626"/>
      <c r="CM13" s="626"/>
      <c r="CN13" s="626"/>
      <c r="CO13" s="626"/>
      <c r="CP13" s="626"/>
      <c r="CQ13" s="626"/>
      <c r="CR13" s="626"/>
      <c r="CS13" s="626"/>
      <c r="CT13" s="626"/>
      <c r="CU13" s="626"/>
      <c r="CV13" s="626"/>
      <c r="CW13" s="626"/>
      <c r="CX13" s="626"/>
      <c r="CY13" s="626"/>
      <c r="CZ13" s="626"/>
      <c r="DA13" s="626"/>
      <c r="DB13" s="626"/>
      <c r="DC13" s="626"/>
    </row>
    <row r="14" spans="1:107" s="627" customFormat="1" ht="15" customHeight="1">
      <c r="A14" s="625" t="s">
        <v>1059</v>
      </c>
      <c r="B14" s="428">
        <f>B20+B32+B36+B41+B53+B60+B74</f>
        <v>54157092</v>
      </c>
      <c r="C14" s="428">
        <f>C20+C32+C36+C41+C53+C60+C74</f>
        <v>37250545</v>
      </c>
      <c r="D14" s="518">
        <f t="shared" si="1"/>
        <v>68.78239511087486</v>
      </c>
      <c r="E14" s="428">
        <f>E20+E32+E36+E41+E53+E60+E74</f>
        <v>59437486</v>
      </c>
      <c r="F14" s="428">
        <f>F20+F32+F36+F41+F53+F60+F74</f>
        <v>33573130</v>
      </c>
      <c r="G14" s="518">
        <f t="shared" si="2"/>
        <v>56.48477460840117</v>
      </c>
      <c r="H14" s="428">
        <f>H32+H36+H41+H53+H60+H74</f>
        <v>549524</v>
      </c>
      <c r="I14" s="428">
        <f>I32+I36+I41+I53+I60+I74</f>
        <v>72330</v>
      </c>
      <c r="J14" s="518">
        <f t="shared" si="6"/>
        <v>13.162300463674015</v>
      </c>
      <c r="K14" s="625" t="s">
        <v>1059</v>
      </c>
      <c r="L14" s="428">
        <f>L20+L32+L36+L41+L53+L60+L74</f>
        <v>54157</v>
      </c>
      <c r="M14" s="428">
        <f>M20+M32+M36+M41+M53+M60+M74</f>
        <v>37250</v>
      </c>
      <c r="N14" s="518">
        <f t="shared" si="4"/>
        <v>68.78150562254187</v>
      </c>
      <c r="O14" s="428">
        <f>O20+O32+O36+O41+O53+O60+O74</f>
        <v>59437</v>
      </c>
      <c r="P14" s="428">
        <f>P20+P32+P36+P41+P53+P60+P74</f>
        <v>33573</v>
      </c>
      <c r="Q14" s="518">
        <f t="shared" si="5"/>
        <v>56.48501774988644</v>
      </c>
      <c r="R14" s="428">
        <f>R32+R36+R41+R53+R60+R74</f>
        <v>549</v>
      </c>
      <c r="S14" s="428">
        <f>S32+S36+S41+S53+S60+S74+S20</f>
        <v>72</v>
      </c>
      <c r="T14" s="518">
        <f t="shared" si="7"/>
        <v>13.114754098360656</v>
      </c>
      <c r="U14" s="626"/>
      <c r="V14" s="626"/>
      <c r="W14" s="626"/>
      <c r="X14" s="626"/>
      <c r="Y14" s="626"/>
      <c r="Z14" s="626"/>
      <c r="AA14" s="626"/>
      <c r="AB14" s="626"/>
      <c r="AC14" s="626"/>
      <c r="AD14" s="626"/>
      <c r="AE14" s="626"/>
      <c r="AF14" s="626"/>
      <c r="AG14" s="626"/>
      <c r="AH14" s="626"/>
      <c r="AI14" s="626"/>
      <c r="AJ14" s="626"/>
      <c r="AK14" s="626"/>
      <c r="AL14" s="626"/>
      <c r="AM14" s="626"/>
      <c r="AN14" s="626"/>
      <c r="AO14" s="626"/>
      <c r="AP14" s="626"/>
      <c r="AQ14" s="626"/>
      <c r="AR14" s="626"/>
      <c r="AS14" s="626"/>
      <c r="AT14" s="626"/>
      <c r="AU14" s="626"/>
      <c r="AV14" s="626"/>
      <c r="AW14" s="626"/>
      <c r="AX14" s="626"/>
      <c r="AY14" s="626"/>
      <c r="AZ14" s="626"/>
      <c r="BA14" s="626"/>
      <c r="BB14" s="626"/>
      <c r="BC14" s="626"/>
      <c r="BD14" s="626"/>
      <c r="BE14" s="626"/>
      <c r="BF14" s="626"/>
      <c r="BG14" s="626"/>
      <c r="BH14" s="626"/>
      <c r="BI14" s="626"/>
      <c r="BJ14" s="626"/>
      <c r="BK14" s="626"/>
      <c r="BL14" s="626"/>
      <c r="BM14" s="626"/>
      <c r="BN14" s="626"/>
      <c r="BO14" s="626"/>
      <c r="BP14" s="626"/>
      <c r="BQ14" s="626"/>
      <c r="BR14" s="626"/>
      <c r="BS14" s="626"/>
      <c r="BT14" s="626"/>
      <c r="BU14" s="626"/>
      <c r="BV14" s="626"/>
      <c r="BW14" s="626"/>
      <c r="BX14" s="626"/>
      <c r="BY14" s="626"/>
      <c r="BZ14" s="626"/>
      <c r="CA14" s="626"/>
      <c r="CB14" s="626"/>
      <c r="CC14" s="626"/>
      <c r="CD14" s="626"/>
      <c r="CE14" s="626"/>
      <c r="CF14" s="626"/>
      <c r="CG14" s="626"/>
      <c r="CH14" s="626"/>
      <c r="CI14" s="626"/>
      <c r="CJ14" s="626"/>
      <c r="CK14" s="626"/>
      <c r="CL14" s="626"/>
      <c r="CM14" s="626"/>
      <c r="CN14" s="626"/>
      <c r="CO14" s="626"/>
      <c r="CP14" s="626"/>
      <c r="CQ14" s="626"/>
      <c r="CR14" s="626"/>
      <c r="CS14" s="626"/>
      <c r="CT14" s="626"/>
      <c r="CU14" s="626"/>
      <c r="CV14" s="626"/>
      <c r="CW14" s="626"/>
      <c r="CX14" s="626"/>
      <c r="CY14" s="626"/>
      <c r="CZ14" s="626"/>
      <c r="DA14" s="626"/>
      <c r="DB14" s="626"/>
      <c r="DC14" s="626"/>
    </row>
    <row r="15" spans="1:107" s="74" customFormat="1" ht="13.5" customHeight="1">
      <c r="A15" s="424" t="s">
        <v>671</v>
      </c>
      <c r="B15" s="428">
        <f>B21+B24+B27+B33+B37+B42+B47+B54+B57+B61+B64+B67+B70+B75+B78+B80</f>
        <v>6665290</v>
      </c>
      <c r="C15" s="428">
        <f>C21+C24+C27+C33+C37+C42+C47+C54+C57+C61+C64+C67+C70+C75+C78+C80</f>
        <v>2550840</v>
      </c>
      <c r="D15" s="518">
        <f t="shared" si="1"/>
        <v>38.27050285884035</v>
      </c>
      <c r="E15" s="428">
        <f>E21+E24+E27+E33+E37+E42+E47+E54+E57+E61+E64+E67+E70+E75+E78+E80</f>
        <v>4960075</v>
      </c>
      <c r="F15" s="428">
        <f>F21+F24+F27+F33+F37+F42+F47+F54+F57+F61+F64+F67+F70+F75+F78+F80</f>
        <v>1661840</v>
      </c>
      <c r="G15" s="518">
        <f t="shared" si="2"/>
        <v>33.504332091752644</v>
      </c>
      <c r="H15" s="428">
        <f>H21+H24+H27+H33+H37+H42+H47+H54+H57+H61+H64+H67+H70+H75+H78+H80</f>
        <v>10717433</v>
      </c>
      <c r="I15" s="428">
        <f>I21+I24+I27+I33+I37+I42+I47+I54+I57+I61+I64+I67+I70+I75+I78+I80</f>
        <v>50000</v>
      </c>
      <c r="J15" s="518">
        <f t="shared" si="6"/>
        <v>0.46652962514437923</v>
      </c>
      <c r="K15" s="424" t="s">
        <v>671</v>
      </c>
      <c r="L15" s="428">
        <f>L21+L24+L27+L33+L37+L42+L47+L54+L57+L61+L64+L67+L70+L75+L78+L80</f>
        <v>6666</v>
      </c>
      <c r="M15" s="428">
        <f>M21+M24+M27+M33+M37+M42+M47+M54+M57+M61+M64+M67+M70+M75+M78+M80</f>
        <v>2551</v>
      </c>
      <c r="N15" s="518">
        <f t="shared" si="4"/>
        <v>38.268826882688266</v>
      </c>
      <c r="O15" s="428">
        <f>O21+O24+O27+O33+O37+O42+O47+O54+O57+O61+O64+O67+O70+O75+O78+O80</f>
        <v>4960</v>
      </c>
      <c r="P15" s="428">
        <f>P21+P24+P27+P33+P37+P42+P47+P54+P57+P61+P64+P67+P70+P75+P78+P80</f>
        <v>1662</v>
      </c>
      <c r="Q15" s="518">
        <f t="shared" si="5"/>
        <v>33.50806451612903</v>
      </c>
      <c r="R15" s="428">
        <f>R21+R24+R27+R33+R37+R42+R47+R54+R57+R61+R64+R67+R70+R75+R78+R80</f>
        <v>10718</v>
      </c>
      <c r="S15" s="428">
        <f>S21+S24+S27+S33+S37+S42+S47+S54+S57+S61+S64+S67+S70+S75+S78+S80</f>
        <v>50</v>
      </c>
      <c r="T15" s="518">
        <f t="shared" si="7"/>
        <v>0.46650494495241646</v>
      </c>
      <c r="U15" s="626"/>
      <c r="V15" s="626"/>
      <c r="W15" s="626"/>
      <c r="X15" s="626"/>
      <c r="Y15" s="626"/>
      <c r="Z15" s="626"/>
      <c r="AA15" s="626"/>
      <c r="AB15" s="626"/>
      <c r="AC15" s="626"/>
      <c r="AD15" s="626"/>
      <c r="AE15" s="626"/>
      <c r="AF15" s="626"/>
      <c r="AG15" s="626"/>
      <c r="AH15" s="626"/>
      <c r="AI15" s="626"/>
      <c r="AJ15" s="626"/>
      <c r="AK15" s="626"/>
      <c r="AL15" s="626"/>
      <c r="AM15" s="626"/>
      <c r="AN15" s="626"/>
      <c r="AO15" s="626"/>
      <c r="AP15" s="626"/>
      <c r="AQ15" s="626"/>
      <c r="AR15" s="626"/>
      <c r="AS15" s="626"/>
      <c r="AT15" s="626"/>
      <c r="AU15" s="626"/>
      <c r="AV15" s="626"/>
      <c r="AW15" s="626"/>
      <c r="AX15" s="626"/>
      <c r="AY15" s="626"/>
      <c r="AZ15" s="626"/>
      <c r="BA15" s="626"/>
      <c r="BB15" s="626"/>
      <c r="BC15" s="626"/>
      <c r="BD15" s="626"/>
      <c r="BE15" s="626"/>
      <c r="BF15" s="626"/>
      <c r="BG15" s="626"/>
      <c r="BH15" s="626"/>
      <c r="BI15" s="626"/>
      <c r="BJ15" s="626"/>
      <c r="BK15" s="626"/>
      <c r="BL15" s="626"/>
      <c r="BM15" s="626"/>
      <c r="BN15" s="626"/>
      <c r="BO15" s="626"/>
      <c r="BP15" s="626"/>
      <c r="BQ15" s="626"/>
      <c r="BR15" s="626"/>
      <c r="BS15" s="626"/>
      <c r="BT15" s="626"/>
      <c r="BU15" s="626"/>
      <c r="BV15" s="626"/>
      <c r="BW15" s="626"/>
      <c r="BX15" s="626"/>
      <c r="BY15" s="626"/>
      <c r="BZ15" s="626"/>
      <c r="CA15" s="626"/>
      <c r="CB15" s="626"/>
      <c r="CC15" s="626"/>
      <c r="CD15" s="626"/>
      <c r="CE15" s="626"/>
      <c r="CF15" s="626"/>
      <c r="CG15" s="626"/>
      <c r="CH15" s="626"/>
      <c r="CI15" s="626"/>
      <c r="CJ15" s="626"/>
      <c r="CK15" s="626"/>
      <c r="CL15" s="626"/>
      <c r="CM15" s="626"/>
      <c r="CN15" s="626"/>
      <c r="CO15" s="626"/>
      <c r="CP15" s="626"/>
      <c r="CQ15" s="626"/>
      <c r="CR15" s="626"/>
      <c r="CS15" s="626"/>
      <c r="CT15" s="626"/>
      <c r="CU15" s="626"/>
      <c r="CV15" s="626"/>
      <c r="CW15" s="626"/>
      <c r="CX15" s="626"/>
      <c r="CY15" s="626"/>
      <c r="CZ15" s="626"/>
      <c r="DA15" s="626"/>
      <c r="DB15" s="626"/>
      <c r="DC15" s="626"/>
    </row>
    <row r="16" spans="1:107" s="74" customFormat="1" ht="14.25" customHeight="1">
      <c r="A16" s="424" t="s">
        <v>237</v>
      </c>
      <c r="B16" s="428">
        <f>B25+B38+B43+B48+B55+B58+B62+B65+B68+B71+B76+B84+B86</f>
        <v>39325701</v>
      </c>
      <c r="C16" s="428">
        <f>C25+C38+C43+C48+C55+C58+C62+C65+C68+C71+C76+C84+C86</f>
        <v>1764662</v>
      </c>
      <c r="D16" s="518">
        <f t="shared" si="1"/>
        <v>4.487299539809856</v>
      </c>
      <c r="E16" s="428">
        <f>E25+E38+E43+E48+E55+E58+E62+E65+E68+E71+E76+E84+E86</f>
        <v>34510501</v>
      </c>
      <c r="F16" s="428">
        <f>F25+F38+F43+F48+F55+F58+F62+F65+F68+F71+F76+F84+F86</f>
        <v>862000</v>
      </c>
      <c r="G16" s="518">
        <f t="shared" si="2"/>
        <v>2.497790455142914</v>
      </c>
      <c r="H16" s="428">
        <f>H25+H38+H43+H48+H55+H58+H62+H65+H68+H71+H76+H84+H86</f>
        <v>131243064</v>
      </c>
      <c r="I16" s="428">
        <f>I25+I38+I43+I48+I55+I58+I62+I65+I68+I71+I76+I84+I86</f>
        <v>1695000</v>
      </c>
      <c r="J16" s="518">
        <f t="shared" si="6"/>
        <v>1.2914968215006013</v>
      </c>
      <c r="K16" s="424" t="s">
        <v>237</v>
      </c>
      <c r="L16" s="428">
        <f>L25+L38+L43+L48+L55+L58+L62+L65+L68+L71+L76+L84+L86</f>
        <v>39326</v>
      </c>
      <c r="M16" s="428">
        <f aca="true" t="shared" si="8" ref="M16:S16">M25+M38+M43+M48+M55+M58+M62+M65+M68+M71+M76+M84+M86</f>
        <v>1765</v>
      </c>
      <c r="N16" s="518">
        <f t="shared" si="4"/>
        <v>4.4881249046432385</v>
      </c>
      <c r="O16" s="428">
        <f t="shared" si="8"/>
        <v>34511</v>
      </c>
      <c r="P16" s="428">
        <f t="shared" si="8"/>
        <v>862</v>
      </c>
      <c r="Q16" s="518">
        <f t="shared" si="5"/>
        <v>2.4977543391961983</v>
      </c>
      <c r="R16" s="428">
        <f t="shared" si="8"/>
        <v>131243</v>
      </c>
      <c r="S16" s="428">
        <f t="shared" si="8"/>
        <v>1695</v>
      </c>
      <c r="T16" s="518">
        <f t="shared" si="7"/>
        <v>1.2914974512926403</v>
      </c>
      <c r="U16" s="626"/>
      <c r="V16" s="626"/>
      <c r="W16" s="626"/>
      <c r="X16" s="626"/>
      <c r="Y16" s="626"/>
      <c r="Z16" s="626"/>
      <c r="AA16" s="626"/>
      <c r="AB16" s="626"/>
      <c r="AC16" s="626"/>
      <c r="AD16" s="626"/>
      <c r="AE16" s="626"/>
      <c r="AF16" s="626"/>
      <c r="AG16" s="626"/>
      <c r="AH16" s="626"/>
      <c r="AI16" s="626"/>
      <c r="AJ16" s="626"/>
      <c r="AK16" s="626"/>
      <c r="AL16" s="626"/>
      <c r="AM16" s="626"/>
      <c r="AN16" s="626"/>
      <c r="AO16" s="626"/>
      <c r="AP16" s="626"/>
      <c r="AQ16" s="626"/>
      <c r="AR16" s="626"/>
      <c r="AS16" s="626"/>
      <c r="AT16" s="626"/>
      <c r="AU16" s="626"/>
      <c r="AV16" s="626"/>
      <c r="AW16" s="626"/>
      <c r="AX16" s="626"/>
      <c r="AY16" s="626"/>
      <c r="AZ16" s="626"/>
      <c r="BA16" s="626"/>
      <c r="BB16" s="626"/>
      <c r="BC16" s="626"/>
      <c r="BD16" s="626"/>
      <c r="BE16" s="626"/>
      <c r="BF16" s="626"/>
      <c r="BG16" s="626"/>
      <c r="BH16" s="626"/>
      <c r="BI16" s="626"/>
      <c r="BJ16" s="626"/>
      <c r="BK16" s="626"/>
      <c r="BL16" s="626"/>
      <c r="BM16" s="626"/>
      <c r="BN16" s="626"/>
      <c r="BO16" s="626"/>
      <c r="BP16" s="626"/>
      <c r="BQ16" s="626"/>
      <c r="BR16" s="626"/>
      <c r="BS16" s="626"/>
      <c r="BT16" s="626"/>
      <c r="BU16" s="626"/>
      <c r="BV16" s="626"/>
      <c r="BW16" s="626"/>
      <c r="BX16" s="626"/>
      <c r="BY16" s="626"/>
      <c r="BZ16" s="626"/>
      <c r="CA16" s="626"/>
      <c r="CB16" s="626"/>
      <c r="CC16" s="626"/>
      <c r="CD16" s="626"/>
      <c r="CE16" s="626"/>
      <c r="CF16" s="626"/>
      <c r="CG16" s="626"/>
      <c r="CH16" s="626"/>
      <c r="CI16" s="626"/>
      <c r="CJ16" s="626"/>
      <c r="CK16" s="626"/>
      <c r="CL16" s="626"/>
      <c r="CM16" s="626"/>
      <c r="CN16" s="626"/>
      <c r="CO16" s="626"/>
      <c r="CP16" s="626"/>
      <c r="CQ16" s="626"/>
      <c r="CR16" s="626"/>
      <c r="CS16" s="626"/>
      <c r="CT16" s="626"/>
      <c r="CU16" s="626"/>
      <c r="CV16" s="626"/>
      <c r="CW16" s="626"/>
      <c r="CX16" s="626"/>
      <c r="CY16" s="626"/>
      <c r="CZ16" s="626"/>
      <c r="DA16" s="626"/>
      <c r="DB16" s="626"/>
      <c r="DC16" s="626"/>
    </row>
    <row r="17" spans="1:107" s="74" customFormat="1" ht="14.25" customHeight="1">
      <c r="A17" s="625" t="s">
        <v>672</v>
      </c>
      <c r="B17" s="428">
        <f>B28+B44+B49</f>
        <v>267504</v>
      </c>
      <c r="C17" s="428">
        <f>C28+C44+C49+C22</f>
        <v>28171</v>
      </c>
      <c r="D17" s="518">
        <f t="shared" si="1"/>
        <v>10.531057479514324</v>
      </c>
      <c r="E17" s="428">
        <f>E28+E44+E49</f>
        <v>147100</v>
      </c>
      <c r="F17" s="428">
        <f>F28+F44+F49+F22</f>
        <v>23028</v>
      </c>
      <c r="G17" s="518">
        <f t="shared" si="2"/>
        <v>15.654656696125086</v>
      </c>
      <c r="H17" s="428">
        <f>H28+H44+H49</f>
        <v>0</v>
      </c>
      <c r="I17" s="428">
        <f>I28+I44+I49</f>
        <v>0</v>
      </c>
      <c r="J17" s="518" t="e">
        <f t="shared" si="6"/>
        <v>#DIV/0!</v>
      </c>
      <c r="K17" s="625" t="s">
        <v>672</v>
      </c>
      <c r="L17" s="428">
        <f>L22+L28+L44+L49</f>
        <v>288</v>
      </c>
      <c r="M17" s="428">
        <f>M22+M28+M44+M49</f>
        <v>28</v>
      </c>
      <c r="N17" s="518">
        <f t="shared" si="4"/>
        <v>9.722222222222223</v>
      </c>
      <c r="O17" s="428">
        <f>O22+O28+O44+O49</f>
        <v>164</v>
      </c>
      <c r="P17" s="428">
        <f>P22+P28+P44+P49</f>
        <v>23</v>
      </c>
      <c r="Q17" s="518">
        <f t="shared" si="5"/>
        <v>14.02439024390244</v>
      </c>
      <c r="R17" s="428">
        <f>R28+R44+R49</f>
        <v>0</v>
      </c>
      <c r="S17" s="428">
        <f>S28+S44+S49+S22</f>
        <v>0</v>
      </c>
      <c r="T17" s="518"/>
      <c r="U17" s="626"/>
      <c r="V17" s="626"/>
      <c r="W17" s="626"/>
      <c r="X17" s="626"/>
      <c r="Y17" s="626"/>
      <c r="Z17" s="626"/>
      <c r="AA17" s="626"/>
      <c r="AB17" s="626"/>
      <c r="AC17" s="626"/>
      <c r="AD17" s="626"/>
      <c r="AE17" s="626"/>
      <c r="AF17" s="626"/>
      <c r="AG17" s="626"/>
      <c r="AH17" s="626"/>
      <c r="AI17" s="626"/>
      <c r="AJ17" s="626"/>
      <c r="AK17" s="626"/>
      <c r="AL17" s="626"/>
      <c r="AM17" s="626"/>
      <c r="AN17" s="626"/>
      <c r="AO17" s="626"/>
      <c r="AP17" s="626"/>
      <c r="AQ17" s="626"/>
      <c r="AR17" s="626"/>
      <c r="AS17" s="626"/>
      <c r="AT17" s="626"/>
      <c r="AU17" s="626"/>
      <c r="AV17" s="626"/>
      <c r="AW17" s="626"/>
      <c r="AX17" s="626"/>
      <c r="AY17" s="626"/>
      <c r="AZ17" s="626"/>
      <c r="BA17" s="626"/>
      <c r="BB17" s="626"/>
      <c r="BC17" s="626"/>
      <c r="BD17" s="626"/>
      <c r="BE17" s="626"/>
      <c r="BF17" s="626"/>
      <c r="BG17" s="626"/>
      <c r="BH17" s="626"/>
      <c r="BI17" s="626"/>
      <c r="BJ17" s="626"/>
      <c r="BK17" s="626"/>
      <c r="BL17" s="626"/>
      <c r="BM17" s="626"/>
      <c r="BN17" s="626"/>
      <c r="BO17" s="626"/>
      <c r="BP17" s="626"/>
      <c r="BQ17" s="626"/>
      <c r="BR17" s="626"/>
      <c r="BS17" s="626"/>
      <c r="BT17" s="626"/>
      <c r="BU17" s="626"/>
      <c r="BV17" s="626"/>
      <c r="BW17" s="626"/>
      <c r="BX17" s="626"/>
      <c r="BY17" s="626"/>
      <c r="BZ17" s="626"/>
      <c r="CA17" s="626"/>
      <c r="CB17" s="626"/>
      <c r="CC17" s="626"/>
      <c r="CD17" s="626"/>
      <c r="CE17" s="626"/>
      <c r="CF17" s="626"/>
      <c r="CG17" s="626"/>
      <c r="CH17" s="626"/>
      <c r="CI17" s="626"/>
      <c r="CJ17" s="626"/>
      <c r="CK17" s="626"/>
      <c r="CL17" s="626"/>
      <c r="CM17" s="626"/>
      <c r="CN17" s="626"/>
      <c r="CO17" s="626"/>
      <c r="CP17" s="626"/>
      <c r="CQ17" s="626"/>
      <c r="CR17" s="626"/>
      <c r="CS17" s="626"/>
      <c r="CT17" s="626"/>
      <c r="CU17" s="626"/>
      <c r="CV17" s="626"/>
      <c r="CW17" s="626"/>
      <c r="CX17" s="626"/>
      <c r="CY17" s="626"/>
      <c r="CZ17" s="626"/>
      <c r="DA17" s="626"/>
      <c r="DB17" s="626"/>
      <c r="DC17" s="626"/>
    </row>
    <row r="18" spans="1:107" s="74" customFormat="1" ht="13.5" customHeight="1">
      <c r="A18" s="424" t="s">
        <v>673</v>
      </c>
      <c r="B18" s="428">
        <f>B29+B34+B39+B45+B50+B82</f>
        <v>4680192</v>
      </c>
      <c r="C18" s="428">
        <f aca="true" t="shared" si="9" ref="C18:I18">C29+C34+C39+C45+C50+C82</f>
        <v>175800</v>
      </c>
      <c r="D18" s="518">
        <f t="shared" si="1"/>
        <v>3.756256153593699</v>
      </c>
      <c r="E18" s="428">
        <f t="shared" si="9"/>
        <v>2572652</v>
      </c>
      <c r="F18" s="428">
        <f t="shared" si="9"/>
        <v>0</v>
      </c>
      <c r="G18" s="518">
        <f t="shared" si="2"/>
        <v>0</v>
      </c>
      <c r="H18" s="428">
        <f t="shared" si="9"/>
        <v>8461180</v>
      </c>
      <c r="I18" s="428">
        <f t="shared" si="9"/>
        <v>0</v>
      </c>
      <c r="J18" s="518">
        <f t="shared" si="6"/>
        <v>0</v>
      </c>
      <c r="K18" s="424" t="s">
        <v>673</v>
      </c>
      <c r="L18" s="428">
        <f>L29+L34+L39+L45+L50+L82</f>
        <v>4680</v>
      </c>
      <c r="M18" s="428">
        <f aca="true" t="shared" si="10" ref="M18:S18">M29+M34+M39+M45+M50+M82</f>
        <v>176</v>
      </c>
      <c r="N18" s="518">
        <f t="shared" si="4"/>
        <v>3.7606837606837606</v>
      </c>
      <c r="O18" s="428">
        <f t="shared" si="10"/>
        <v>2573</v>
      </c>
      <c r="P18" s="428">
        <f t="shared" si="10"/>
        <v>0</v>
      </c>
      <c r="Q18" s="518">
        <f t="shared" si="5"/>
        <v>0</v>
      </c>
      <c r="R18" s="428">
        <f t="shared" si="10"/>
        <v>8461</v>
      </c>
      <c r="S18" s="428">
        <f t="shared" si="10"/>
        <v>0</v>
      </c>
      <c r="T18" s="518">
        <f t="shared" si="7"/>
        <v>0</v>
      </c>
      <c r="U18" s="626"/>
      <c r="V18" s="626"/>
      <c r="W18" s="626"/>
      <c r="X18" s="626"/>
      <c r="Y18" s="626"/>
      <c r="Z18" s="626"/>
      <c r="AA18" s="626"/>
      <c r="AB18" s="626"/>
      <c r="AC18" s="626"/>
      <c r="AD18" s="626"/>
      <c r="AE18" s="626"/>
      <c r="AF18" s="626"/>
      <c r="AG18" s="626"/>
      <c r="AH18" s="626"/>
      <c r="AI18" s="626"/>
      <c r="AJ18" s="626"/>
      <c r="AK18" s="626"/>
      <c r="AL18" s="626"/>
      <c r="AM18" s="626"/>
      <c r="AN18" s="626"/>
      <c r="AO18" s="626"/>
      <c r="AP18" s="626"/>
      <c r="AQ18" s="626"/>
      <c r="AR18" s="626"/>
      <c r="AS18" s="626"/>
      <c r="AT18" s="626"/>
      <c r="AU18" s="626"/>
      <c r="AV18" s="626"/>
      <c r="AW18" s="626"/>
      <c r="AX18" s="626"/>
      <c r="AY18" s="626"/>
      <c r="AZ18" s="626"/>
      <c r="BA18" s="626"/>
      <c r="BB18" s="626"/>
      <c r="BC18" s="626"/>
      <c r="BD18" s="626"/>
      <c r="BE18" s="626"/>
      <c r="BF18" s="626"/>
      <c r="BG18" s="626"/>
      <c r="BH18" s="626"/>
      <c r="BI18" s="626"/>
      <c r="BJ18" s="626"/>
      <c r="BK18" s="626"/>
      <c r="BL18" s="626"/>
      <c r="BM18" s="626"/>
      <c r="BN18" s="626"/>
      <c r="BO18" s="626"/>
      <c r="BP18" s="626"/>
      <c r="BQ18" s="626"/>
      <c r="BR18" s="626"/>
      <c r="BS18" s="626"/>
      <c r="BT18" s="626"/>
      <c r="BU18" s="626"/>
      <c r="BV18" s="626"/>
      <c r="BW18" s="626"/>
      <c r="BX18" s="626"/>
      <c r="BY18" s="626"/>
      <c r="BZ18" s="626"/>
      <c r="CA18" s="626"/>
      <c r="CB18" s="626"/>
      <c r="CC18" s="626"/>
      <c r="CD18" s="626"/>
      <c r="CE18" s="626"/>
      <c r="CF18" s="626"/>
      <c r="CG18" s="626"/>
      <c r="CH18" s="626"/>
      <c r="CI18" s="626"/>
      <c r="CJ18" s="626"/>
      <c r="CK18" s="626"/>
      <c r="CL18" s="626"/>
      <c r="CM18" s="626"/>
      <c r="CN18" s="626"/>
      <c r="CO18" s="626"/>
      <c r="CP18" s="626"/>
      <c r="CQ18" s="626"/>
      <c r="CR18" s="626"/>
      <c r="CS18" s="626"/>
      <c r="CT18" s="626"/>
      <c r="CU18" s="626"/>
      <c r="CV18" s="626"/>
      <c r="CW18" s="626"/>
      <c r="CX18" s="626"/>
      <c r="CY18" s="626"/>
      <c r="CZ18" s="626"/>
      <c r="DA18" s="626"/>
      <c r="DB18" s="626"/>
      <c r="DC18" s="626"/>
    </row>
    <row r="19" spans="1:107" s="427" customFormat="1" ht="12.75">
      <c r="A19" s="424" t="s">
        <v>983</v>
      </c>
      <c r="B19" s="11">
        <f>SUM(B20:B22)</f>
        <v>100746</v>
      </c>
      <c r="C19" s="11">
        <f>SUM(C20:C22)</f>
        <v>31402</v>
      </c>
      <c r="D19" s="628">
        <f>C19/B19*100</f>
        <v>31.16947571119449</v>
      </c>
      <c r="E19" s="11">
        <f>SUM(E20:E22)</f>
        <v>97734</v>
      </c>
      <c r="F19" s="11">
        <f>SUM(F20:F22)</f>
        <v>23842</v>
      </c>
      <c r="G19" s="628">
        <f>F19/E19*100</f>
        <v>24.39478584729981</v>
      </c>
      <c r="H19" s="11">
        <f>H21</f>
        <v>0</v>
      </c>
      <c r="I19" s="11">
        <f>I21</f>
        <v>0</v>
      </c>
      <c r="J19" s="628" t="e">
        <f>I19/H19*100</f>
        <v>#DIV/0!</v>
      </c>
      <c r="K19" s="424" t="s">
        <v>983</v>
      </c>
      <c r="L19" s="11">
        <f>SUM(L20:L22)</f>
        <v>101</v>
      </c>
      <c r="M19" s="11">
        <f>SUM(M20:M22)</f>
        <v>31</v>
      </c>
      <c r="N19" s="628">
        <f>M19/L19*100</f>
        <v>30.693069306930692</v>
      </c>
      <c r="O19" s="11">
        <f>SUM(O20:O22)</f>
        <v>98</v>
      </c>
      <c r="P19" s="11">
        <f>SUM(P20:P22)</f>
        <v>24</v>
      </c>
      <c r="Q19" s="628">
        <f>P19/O19*100</f>
        <v>24.489795918367346</v>
      </c>
      <c r="R19" s="11">
        <f>R21</f>
        <v>0</v>
      </c>
      <c r="S19" s="11">
        <f>S21</f>
        <v>0</v>
      </c>
      <c r="T19" s="628"/>
      <c r="U19" s="426"/>
      <c r="V19" s="426"/>
      <c r="W19" s="426"/>
      <c r="X19" s="426"/>
      <c r="Y19" s="426"/>
      <c r="Z19" s="426"/>
      <c r="AA19" s="426"/>
      <c r="AB19" s="426"/>
      <c r="AC19" s="426"/>
      <c r="AD19" s="426"/>
      <c r="AE19" s="426"/>
      <c r="AF19" s="426"/>
      <c r="AG19" s="426"/>
      <c r="AH19" s="426"/>
      <c r="AI19" s="426"/>
      <c r="AJ19" s="426"/>
      <c r="AK19" s="426"/>
      <c r="AL19" s="426"/>
      <c r="AM19" s="426"/>
      <c r="AN19" s="426"/>
      <c r="AO19" s="426"/>
      <c r="AP19" s="426"/>
      <c r="AQ19" s="426"/>
      <c r="AR19" s="426"/>
      <c r="AS19" s="426"/>
      <c r="AT19" s="426"/>
      <c r="AU19" s="426"/>
      <c r="AV19" s="426"/>
      <c r="AW19" s="426"/>
      <c r="AX19" s="426"/>
      <c r="AY19" s="426"/>
      <c r="AZ19" s="426"/>
      <c r="BA19" s="426"/>
      <c r="BB19" s="426"/>
      <c r="BC19" s="426"/>
      <c r="BD19" s="426"/>
      <c r="BE19" s="426"/>
      <c r="BF19" s="426"/>
      <c r="BG19" s="426"/>
      <c r="BH19" s="426"/>
      <c r="BI19" s="426"/>
      <c r="BJ19" s="426"/>
      <c r="BK19" s="426"/>
      <c r="BL19" s="426"/>
      <c r="BM19" s="426"/>
      <c r="BN19" s="426"/>
      <c r="BO19" s="426"/>
      <c r="BP19" s="426"/>
      <c r="BQ19" s="426"/>
      <c r="BR19" s="426"/>
      <c r="BS19" s="426"/>
      <c r="BT19" s="426"/>
      <c r="BU19" s="426"/>
      <c r="BV19" s="426"/>
      <c r="BW19" s="426"/>
      <c r="BX19" s="426"/>
      <c r="BY19" s="426"/>
      <c r="BZ19" s="426"/>
      <c r="CA19" s="426"/>
      <c r="CB19" s="426"/>
      <c r="CC19" s="426"/>
      <c r="CD19" s="426"/>
      <c r="CE19" s="426"/>
      <c r="CF19" s="426"/>
      <c r="CG19" s="426"/>
      <c r="CH19" s="426"/>
      <c r="CI19" s="426"/>
      <c r="CJ19" s="426"/>
      <c r="CK19" s="426"/>
      <c r="CL19" s="426"/>
      <c r="CM19" s="426"/>
      <c r="CN19" s="426"/>
      <c r="CO19" s="426"/>
      <c r="CP19" s="426"/>
      <c r="CQ19" s="426"/>
      <c r="CR19" s="426"/>
      <c r="CS19" s="426"/>
      <c r="CT19" s="426"/>
      <c r="CU19" s="426"/>
      <c r="CV19" s="426"/>
      <c r="CW19" s="426"/>
      <c r="CX19" s="426"/>
      <c r="CY19" s="426"/>
      <c r="CZ19" s="426"/>
      <c r="DA19" s="426"/>
      <c r="DB19" s="426"/>
      <c r="DC19" s="426"/>
    </row>
    <row r="20" spans="1:107" s="427" customFormat="1" ht="12.75">
      <c r="A20" s="432" t="s">
        <v>1059</v>
      </c>
      <c r="B20" s="27">
        <v>2819</v>
      </c>
      <c r="C20" s="27">
        <v>3231</v>
      </c>
      <c r="D20" s="629">
        <f t="shared" si="1"/>
        <v>114.61511174175239</v>
      </c>
      <c r="E20" s="27">
        <v>710</v>
      </c>
      <c r="F20" s="27">
        <v>814</v>
      </c>
      <c r="G20" s="629">
        <f t="shared" si="2"/>
        <v>114.64788732394366</v>
      </c>
      <c r="H20" s="27"/>
      <c r="I20" s="27"/>
      <c r="J20" s="629"/>
      <c r="K20" s="432" t="s">
        <v>1059</v>
      </c>
      <c r="L20" s="27">
        <f aca="true" t="shared" si="11" ref="L20:M22">ROUND(B20/1000,0)</f>
        <v>3</v>
      </c>
      <c r="M20" s="27">
        <f t="shared" si="11"/>
        <v>3</v>
      </c>
      <c r="N20" s="629">
        <f>M20/L20*100</f>
        <v>100</v>
      </c>
      <c r="O20" s="27">
        <f aca="true" t="shared" si="12" ref="O20:P22">ROUND(E20/1000,0)</f>
        <v>1</v>
      </c>
      <c r="P20" s="27">
        <f t="shared" si="12"/>
        <v>1</v>
      </c>
      <c r="Q20" s="629">
        <f>P20/O20*100</f>
        <v>100</v>
      </c>
      <c r="R20" s="27"/>
      <c r="S20" s="27"/>
      <c r="T20" s="629"/>
      <c r="U20" s="426"/>
      <c r="V20" s="426"/>
      <c r="W20" s="426"/>
      <c r="X20" s="426"/>
      <c r="Y20" s="426"/>
      <c r="Z20" s="426"/>
      <c r="AA20" s="426"/>
      <c r="AB20" s="426"/>
      <c r="AC20" s="426"/>
      <c r="AD20" s="426"/>
      <c r="AE20" s="426"/>
      <c r="AF20" s="426"/>
      <c r="AG20" s="426"/>
      <c r="AH20" s="426"/>
      <c r="AI20" s="426"/>
      <c r="AJ20" s="426"/>
      <c r="AK20" s="426"/>
      <c r="AL20" s="426"/>
      <c r="AM20" s="426"/>
      <c r="AN20" s="426"/>
      <c r="AO20" s="426"/>
      <c r="AP20" s="426"/>
      <c r="AQ20" s="426"/>
      <c r="AR20" s="426"/>
      <c r="AS20" s="426"/>
      <c r="AT20" s="426"/>
      <c r="AU20" s="426"/>
      <c r="AV20" s="426"/>
      <c r="AW20" s="426"/>
      <c r="AX20" s="426"/>
      <c r="AY20" s="426"/>
      <c r="AZ20" s="426"/>
      <c r="BA20" s="426"/>
      <c r="BB20" s="426"/>
      <c r="BC20" s="426"/>
      <c r="BD20" s="426"/>
      <c r="BE20" s="426"/>
      <c r="BF20" s="426"/>
      <c r="BG20" s="426"/>
      <c r="BH20" s="426"/>
      <c r="BI20" s="426"/>
      <c r="BJ20" s="426"/>
      <c r="BK20" s="426"/>
      <c r="BL20" s="426"/>
      <c r="BM20" s="426"/>
      <c r="BN20" s="426"/>
      <c r="BO20" s="426"/>
      <c r="BP20" s="426"/>
      <c r="BQ20" s="426"/>
      <c r="BR20" s="426"/>
      <c r="BS20" s="426"/>
      <c r="BT20" s="426"/>
      <c r="BU20" s="426"/>
      <c r="BV20" s="426"/>
      <c r="BW20" s="426"/>
      <c r="BX20" s="426"/>
      <c r="BY20" s="426"/>
      <c r="BZ20" s="426"/>
      <c r="CA20" s="426"/>
      <c r="CB20" s="426"/>
      <c r="CC20" s="426"/>
      <c r="CD20" s="426"/>
      <c r="CE20" s="426"/>
      <c r="CF20" s="426"/>
      <c r="CG20" s="426"/>
      <c r="CH20" s="426"/>
      <c r="CI20" s="426"/>
      <c r="CJ20" s="426"/>
      <c r="CK20" s="426"/>
      <c r="CL20" s="426"/>
      <c r="CM20" s="426"/>
      <c r="CN20" s="426"/>
      <c r="CO20" s="426"/>
      <c r="CP20" s="426"/>
      <c r="CQ20" s="426"/>
      <c r="CR20" s="426"/>
      <c r="CS20" s="426"/>
      <c r="CT20" s="426"/>
      <c r="CU20" s="426"/>
      <c r="CV20" s="426"/>
      <c r="CW20" s="426"/>
      <c r="CX20" s="426"/>
      <c r="CY20" s="426"/>
      <c r="CZ20" s="426"/>
      <c r="DA20" s="426"/>
      <c r="DB20" s="426"/>
      <c r="DC20" s="426"/>
    </row>
    <row r="21" spans="1:107" s="427" customFormat="1" ht="12.75">
      <c r="A21" s="432" t="s">
        <v>671</v>
      </c>
      <c r="B21" s="27">
        <v>77100</v>
      </c>
      <c r="C21" s="27"/>
      <c r="D21" s="629">
        <f t="shared" si="1"/>
        <v>0</v>
      </c>
      <c r="E21" s="27">
        <v>80000</v>
      </c>
      <c r="F21" s="27"/>
      <c r="G21" s="629">
        <f t="shared" si="2"/>
        <v>0</v>
      </c>
      <c r="H21" s="27"/>
      <c r="I21" s="27"/>
      <c r="J21" s="629" t="e">
        <f t="shared" si="6"/>
        <v>#DIV/0!</v>
      </c>
      <c r="K21" s="432" t="s">
        <v>671</v>
      </c>
      <c r="L21" s="27">
        <f t="shared" si="11"/>
        <v>77</v>
      </c>
      <c r="M21" s="27">
        <f t="shared" si="11"/>
        <v>0</v>
      </c>
      <c r="N21" s="629">
        <f t="shared" si="4"/>
        <v>0</v>
      </c>
      <c r="O21" s="27">
        <f t="shared" si="12"/>
        <v>80</v>
      </c>
      <c r="P21" s="27">
        <f t="shared" si="12"/>
        <v>0</v>
      </c>
      <c r="Q21" s="629">
        <f t="shared" si="5"/>
        <v>0</v>
      </c>
      <c r="R21" s="27"/>
      <c r="S21" s="27"/>
      <c r="T21" s="629"/>
      <c r="U21" s="426"/>
      <c r="V21" s="426"/>
      <c r="W21" s="426"/>
      <c r="X21" s="426"/>
      <c r="Y21" s="426"/>
      <c r="Z21" s="426"/>
      <c r="AA21" s="426"/>
      <c r="AB21" s="426"/>
      <c r="AC21" s="426"/>
      <c r="AD21" s="426"/>
      <c r="AE21" s="426"/>
      <c r="AF21" s="426"/>
      <c r="AG21" s="426"/>
      <c r="AH21" s="426"/>
      <c r="AI21" s="426"/>
      <c r="AJ21" s="426"/>
      <c r="AK21" s="426"/>
      <c r="AL21" s="426"/>
      <c r="AM21" s="426"/>
      <c r="AN21" s="426"/>
      <c r="AO21" s="426"/>
      <c r="AP21" s="426"/>
      <c r="AQ21" s="426"/>
      <c r="AR21" s="426"/>
      <c r="AS21" s="426"/>
      <c r="AT21" s="426"/>
      <c r="AU21" s="426"/>
      <c r="AV21" s="426"/>
      <c r="AW21" s="426"/>
      <c r="AX21" s="426"/>
      <c r="AY21" s="426"/>
      <c r="AZ21" s="426"/>
      <c r="BA21" s="426"/>
      <c r="BB21" s="426"/>
      <c r="BC21" s="426"/>
      <c r="BD21" s="426"/>
      <c r="BE21" s="426"/>
      <c r="BF21" s="426"/>
      <c r="BG21" s="426"/>
      <c r="BH21" s="426"/>
      <c r="BI21" s="426"/>
      <c r="BJ21" s="426"/>
      <c r="BK21" s="426"/>
      <c r="BL21" s="426"/>
      <c r="BM21" s="426"/>
      <c r="BN21" s="426"/>
      <c r="BO21" s="426"/>
      <c r="BP21" s="426"/>
      <c r="BQ21" s="426"/>
      <c r="BR21" s="426"/>
      <c r="BS21" s="426"/>
      <c r="BT21" s="426"/>
      <c r="BU21" s="426"/>
      <c r="BV21" s="426"/>
      <c r="BW21" s="426"/>
      <c r="BX21" s="426"/>
      <c r="BY21" s="426"/>
      <c r="BZ21" s="426"/>
      <c r="CA21" s="426"/>
      <c r="CB21" s="426"/>
      <c r="CC21" s="426"/>
      <c r="CD21" s="426"/>
      <c r="CE21" s="426"/>
      <c r="CF21" s="426"/>
      <c r="CG21" s="426"/>
      <c r="CH21" s="426"/>
      <c r="CI21" s="426"/>
      <c r="CJ21" s="426"/>
      <c r="CK21" s="426"/>
      <c r="CL21" s="426"/>
      <c r="CM21" s="426"/>
      <c r="CN21" s="426"/>
      <c r="CO21" s="426"/>
      <c r="CP21" s="426"/>
      <c r="CQ21" s="426"/>
      <c r="CR21" s="426"/>
      <c r="CS21" s="426"/>
      <c r="CT21" s="426"/>
      <c r="CU21" s="426"/>
      <c r="CV21" s="426"/>
      <c r="CW21" s="426"/>
      <c r="CX21" s="426"/>
      <c r="CY21" s="426"/>
      <c r="CZ21" s="426"/>
      <c r="DA21" s="426"/>
      <c r="DB21" s="426"/>
      <c r="DC21" s="426"/>
    </row>
    <row r="22" spans="1:107" s="427" customFormat="1" ht="12.75">
      <c r="A22" s="432" t="s">
        <v>672</v>
      </c>
      <c r="B22" s="27">
        <v>20827</v>
      </c>
      <c r="C22" s="27">
        <v>28171</v>
      </c>
      <c r="D22" s="629">
        <f t="shared" si="1"/>
        <v>135.26191962356557</v>
      </c>
      <c r="E22" s="27">
        <v>17024</v>
      </c>
      <c r="F22" s="27">
        <v>23028</v>
      </c>
      <c r="G22" s="629">
        <f t="shared" si="2"/>
        <v>135.26785714285714</v>
      </c>
      <c r="H22" s="27"/>
      <c r="I22" s="27"/>
      <c r="J22" s="629"/>
      <c r="K22" s="432" t="s">
        <v>672</v>
      </c>
      <c r="L22" s="27">
        <f t="shared" si="11"/>
        <v>21</v>
      </c>
      <c r="M22" s="27">
        <f t="shared" si="11"/>
        <v>28</v>
      </c>
      <c r="N22" s="629">
        <f>M22/L22*100</f>
        <v>133.33333333333331</v>
      </c>
      <c r="O22" s="27">
        <f t="shared" si="12"/>
        <v>17</v>
      </c>
      <c r="P22" s="27">
        <f t="shared" si="12"/>
        <v>23</v>
      </c>
      <c r="Q22" s="629">
        <f>P22/O22*100</f>
        <v>135.29411764705884</v>
      </c>
      <c r="R22" s="27"/>
      <c r="S22" s="27"/>
      <c r="T22" s="629"/>
      <c r="U22" s="426"/>
      <c r="V22" s="426"/>
      <c r="W22" s="426"/>
      <c r="X22" s="426"/>
      <c r="Y22" s="426"/>
      <c r="Z22" s="426"/>
      <c r="AA22" s="426"/>
      <c r="AB22" s="426"/>
      <c r="AC22" s="426"/>
      <c r="AD22" s="426"/>
      <c r="AE22" s="426"/>
      <c r="AF22" s="426"/>
      <c r="AG22" s="426"/>
      <c r="AH22" s="426"/>
      <c r="AI22" s="426"/>
      <c r="AJ22" s="426"/>
      <c r="AK22" s="426"/>
      <c r="AL22" s="426"/>
      <c r="AM22" s="426"/>
      <c r="AN22" s="426"/>
      <c r="AO22" s="426"/>
      <c r="AP22" s="426"/>
      <c r="AQ22" s="426"/>
      <c r="AR22" s="426"/>
      <c r="AS22" s="426"/>
      <c r="AT22" s="426"/>
      <c r="AU22" s="426"/>
      <c r="AV22" s="426"/>
      <c r="AW22" s="426"/>
      <c r="AX22" s="426"/>
      <c r="AY22" s="426"/>
      <c r="AZ22" s="426"/>
      <c r="BA22" s="426"/>
      <c r="BB22" s="426"/>
      <c r="BC22" s="426"/>
      <c r="BD22" s="426"/>
      <c r="BE22" s="426"/>
      <c r="BF22" s="426"/>
      <c r="BG22" s="426"/>
      <c r="BH22" s="426"/>
      <c r="BI22" s="426"/>
      <c r="BJ22" s="426"/>
      <c r="BK22" s="426"/>
      <c r="BL22" s="426"/>
      <c r="BM22" s="426"/>
      <c r="BN22" s="426"/>
      <c r="BO22" s="426"/>
      <c r="BP22" s="426"/>
      <c r="BQ22" s="426"/>
      <c r="BR22" s="426"/>
      <c r="BS22" s="426"/>
      <c r="BT22" s="426"/>
      <c r="BU22" s="426"/>
      <c r="BV22" s="426"/>
      <c r="BW22" s="426"/>
      <c r="BX22" s="426"/>
      <c r="BY22" s="426"/>
      <c r="BZ22" s="426"/>
      <c r="CA22" s="426"/>
      <c r="CB22" s="426"/>
      <c r="CC22" s="426"/>
      <c r="CD22" s="426"/>
      <c r="CE22" s="426"/>
      <c r="CF22" s="426"/>
      <c r="CG22" s="426"/>
      <c r="CH22" s="426"/>
      <c r="CI22" s="426"/>
      <c r="CJ22" s="426"/>
      <c r="CK22" s="426"/>
      <c r="CL22" s="426"/>
      <c r="CM22" s="426"/>
      <c r="CN22" s="426"/>
      <c r="CO22" s="426"/>
      <c r="CP22" s="426"/>
      <c r="CQ22" s="426"/>
      <c r="CR22" s="426"/>
      <c r="CS22" s="426"/>
      <c r="CT22" s="426"/>
      <c r="CU22" s="426"/>
      <c r="CV22" s="426"/>
      <c r="CW22" s="426"/>
      <c r="CX22" s="426"/>
      <c r="CY22" s="426"/>
      <c r="CZ22" s="426"/>
      <c r="DA22" s="426"/>
      <c r="DB22" s="426"/>
      <c r="DC22" s="426"/>
    </row>
    <row r="23" spans="1:20" ht="12.75">
      <c r="A23" s="74" t="s">
        <v>987</v>
      </c>
      <c r="B23" s="430">
        <f>SUM(B24:B25)</f>
        <v>3445510</v>
      </c>
      <c r="C23" s="430">
        <f aca="true" t="shared" si="13" ref="C23:I23">SUM(C24:C25)</f>
        <v>0</v>
      </c>
      <c r="D23" s="628">
        <f t="shared" si="1"/>
        <v>0</v>
      </c>
      <c r="E23" s="430">
        <f t="shared" si="13"/>
        <v>3279510</v>
      </c>
      <c r="F23" s="430">
        <f t="shared" si="13"/>
        <v>0</v>
      </c>
      <c r="G23" s="628">
        <f t="shared" si="2"/>
        <v>0</v>
      </c>
      <c r="H23" s="430">
        <f t="shared" si="13"/>
        <v>7392100</v>
      </c>
      <c r="I23" s="430">
        <f t="shared" si="13"/>
        <v>0</v>
      </c>
      <c r="J23" s="628">
        <f t="shared" si="6"/>
        <v>0</v>
      </c>
      <c r="K23" s="74" t="s">
        <v>987</v>
      </c>
      <c r="L23" s="430">
        <f aca="true" t="shared" si="14" ref="L23:S23">SUM(L24:L25)</f>
        <v>3446</v>
      </c>
      <c r="M23" s="430">
        <f t="shared" si="14"/>
        <v>0</v>
      </c>
      <c r="N23" s="628">
        <f t="shared" si="4"/>
        <v>0</v>
      </c>
      <c r="O23" s="430">
        <f t="shared" si="14"/>
        <v>3280</v>
      </c>
      <c r="P23" s="430">
        <f t="shared" si="14"/>
        <v>0</v>
      </c>
      <c r="Q23" s="628">
        <f t="shared" si="5"/>
        <v>0</v>
      </c>
      <c r="R23" s="430">
        <f t="shared" si="14"/>
        <v>7392</v>
      </c>
      <c r="S23" s="430">
        <f t="shared" si="14"/>
        <v>0</v>
      </c>
      <c r="T23" s="628">
        <f t="shared" si="7"/>
        <v>0</v>
      </c>
    </row>
    <row r="24" spans="1:107" s="427" customFormat="1" ht="12.75">
      <c r="A24" s="432" t="s">
        <v>671</v>
      </c>
      <c r="B24" s="27">
        <v>4510</v>
      </c>
      <c r="C24" s="27"/>
      <c r="D24" s="629">
        <f t="shared" si="1"/>
        <v>0</v>
      </c>
      <c r="E24" s="27">
        <v>4510</v>
      </c>
      <c r="F24" s="27"/>
      <c r="G24" s="629"/>
      <c r="H24" s="27"/>
      <c r="I24" s="27"/>
      <c r="J24" s="629"/>
      <c r="K24" s="432" t="s">
        <v>671</v>
      </c>
      <c r="L24" s="27">
        <f>ROUND(B24/1000,0)</f>
        <v>5</v>
      </c>
      <c r="M24" s="27">
        <f aca="true" t="shared" si="15" ref="M24:S25">ROUND(C24/1000,0)</f>
        <v>0</v>
      </c>
      <c r="N24" s="629">
        <f t="shared" si="4"/>
        <v>0</v>
      </c>
      <c r="O24" s="27">
        <f t="shared" si="15"/>
        <v>5</v>
      </c>
      <c r="P24" s="27">
        <f t="shared" si="15"/>
        <v>0</v>
      </c>
      <c r="Q24" s="629">
        <f t="shared" si="5"/>
        <v>0</v>
      </c>
      <c r="R24" s="27"/>
      <c r="S24" s="27"/>
      <c r="T24" s="629"/>
      <c r="U24" s="426"/>
      <c r="V24" s="426"/>
      <c r="W24" s="426"/>
      <c r="X24" s="426"/>
      <c r="Y24" s="426"/>
      <c r="Z24" s="426"/>
      <c r="AA24" s="426"/>
      <c r="AB24" s="426"/>
      <c r="AC24" s="426"/>
      <c r="AD24" s="426"/>
      <c r="AE24" s="426"/>
      <c r="AF24" s="426"/>
      <c r="AG24" s="426"/>
      <c r="AH24" s="426"/>
      <c r="AI24" s="426"/>
      <c r="AJ24" s="426"/>
      <c r="AK24" s="426"/>
      <c r="AL24" s="426"/>
      <c r="AM24" s="426"/>
      <c r="AN24" s="426"/>
      <c r="AO24" s="426"/>
      <c r="AP24" s="426"/>
      <c r="AQ24" s="426"/>
      <c r="AR24" s="426"/>
      <c r="AS24" s="426"/>
      <c r="AT24" s="426"/>
      <c r="AU24" s="426"/>
      <c r="AV24" s="426"/>
      <c r="AW24" s="426"/>
      <c r="AX24" s="426"/>
      <c r="AY24" s="426"/>
      <c r="AZ24" s="426"/>
      <c r="BA24" s="426"/>
      <c r="BB24" s="426"/>
      <c r="BC24" s="426"/>
      <c r="BD24" s="426"/>
      <c r="BE24" s="426"/>
      <c r="BF24" s="426"/>
      <c r="BG24" s="426"/>
      <c r="BH24" s="426"/>
      <c r="BI24" s="426"/>
      <c r="BJ24" s="426"/>
      <c r="BK24" s="426"/>
      <c r="BL24" s="426"/>
      <c r="BM24" s="426"/>
      <c r="BN24" s="426"/>
      <c r="BO24" s="426"/>
      <c r="BP24" s="426"/>
      <c r="BQ24" s="426"/>
      <c r="BR24" s="426"/>
      <c r="BS24" s="426"/>
      <c r="BT24" s="426"/>
      <c r="BU24" s="426"/>
      <c r="BV24" s="426"/>
      <c r="BW24" s="426"/>
      <c r="BX24" s="426"/>
      <c r="BY24" s="426"/>
      <c r="BZ24" s="426"/>
      <c r="CA24" s="426"/>
      <c r="CB24" s="426"/>
      <c r="CC24" s="426"/>
      <c r="CD24" s="426"/>
      <c r="CE24" s="426"/>
      <c r="CF24" s="426"/>
      <c r="CG24" s="426"/>
      <c r="CH24" s="426"/>
      <c r="CI24" s="426"/>
      <c r="CJ24" s="426"/>
      <c r="CK24" s="426"/>
      <c r="CL24" s="426"/>
      <c r="CM24" s="426"/>
      <c r="CN24" s="426"/>
      <c r="CO24" s="426"/>
      <c r="CP24" s="426"/>
      <c r="CQ24" s="426"/>
      <c r="CR24" s="426"/>
      <c r="CS24" s="426"/>
      <c r="CT24" s="426"/>
      <c r="CU24" s="426"/>
      <c r="CV24" s="426"/>
      <c r="CW24" s="426"/>
      <c r="CX24" s="426"/>
      <c r="CY24" s="426"/>
      <c r="CZ24" s="426"/>
      <c r="DA24" s="426"/>
      <c r="DB24" s="426"/>
      <c r="DC24" s="426"/>
    </row>
    <row r="25" spans="1:107" s="427" customFormat="1" ht="12.75">
      <c r="A25" s="432" t="s">
        <v>237</v>
      </c>
      <c r="B25" s="27">
        <v>3441000</v>
      </c>
      <c r="D25" s="629">
        <f t="shared" si="1"/>
        <v>0</v>
      </c>
      <c r="E25" s="27">
        <v>3275000</v>
      </c>
      <c r="F25" s="27"/>
      <c r="G25" s="629">
        <f t="shared" si="2"/>
        <v>0</v>
      </c>
      <c r="H25" s="27">
        <v>7392100</v>
      </c>
      <c r="I25" s="27"/>
      <c r="J25" s="629">
        <f t="shared" si="6"/>
        <v>0</v>
      </c>
      <c r="K25" s="432" t="s">
        <v>237</v>
      </c>
      <c r="L25" s="27">
        <f>ROUND(B25/1000,0)</f>
        <v>3441</v>
      </c>
      <c r="M25" s="27">
        <f t="shared" si="15"/>
        <v>0</v>
      </c>
      <c r="N25" s="629">
        <f t="shared" si="4"/>
        <v>0</v>
      </c>
      <c r="O25" s="27">
        <f t="shared" si="15"/>
        <v>3275</v>
      </c>
      <c r="P25" s="27">
        <f t="shared" si="15"/>
        <v>0</v>
      </c>
      <c r="Q25" s="629">
        <f t="shared" si="5"/>
        <v>0</v>
      </c>
      <c r="R25" s="27">
        <f t="shared" si="15"/>
        <v>7392</v>
      </c>
      <c r="S25" s="27">
        <f t="shared" si="15"/>
        <v>0</v>
      </c>
      <c r="T25" s="629">
        <f t="shared" si="7"/>
        <v>0</v>
      </c>
      <c r="U25" s="426"/>
      <c r="V25" s="426"/>
      <c r="W25" s="426"/>
      <c r="X25" s="426"/>
      <c r="Y25" s="426"/>
      <c r="Z25" s="426"/>
      <c r="AA25" s="426"/>
      <c r="AB25" s="426"/>
      <c r="AC25" s="426"/>
      <c r="AD25" s="426"/>
      <c r="AE25" s="426"/>
      <c r="AF25" s="426"/>
      <c r="AG25" s="426"/>
      <c r="AH25" s="426"/>
      <c r="AI25" s="426"/>
      <c r="AJ25" s="426"/>
      <c r="AK25" s="426"/>
      <c r="AL25" s="426"/>
      <c r="AM25" s="426"/>
      <c r="AN25" s="426"/>
      <c r="AO25" s="426"/>
      <c r="AP25" s="426"/>
      <c r="AQ25" s="426"/>
      <c r="AR25" s="426"/>
      <c r="AS25" s="426"/>
      <c r="AT25" s="426"/>
      <c r="AU25" s="426"/>
      <c r="AV25" s="426"/>
      <c r="AW25" s="426"/>
      <c r="AX25" s="426"/>
      <c r="AY25" s="426"/>
      <c r="AZ25" s="426"/>
      <c r="BA25" s="426"/>
      <c r="BB25" s="426"/>
      <c r="BC25" s="426"/>
      <c r="BD25" s="426"/>
      <c r="BE25" s="426"/>
      <c r="BF25" s="426"/>
      <c r="BG25" s="426"/>
      <c r="BH25" s="426"/>
      <c r="BI25" s="426"/>
      <c r="BJ25" s="426"/>
      <c r="BK25" s="426"/>
      <c r="BL25" s="426"/>
      <c r="BM25" s="426"/>
      <c r="BN25" s="426"/>
      <c r="BO25" s="426"/>
      <c r="BP25" s="426"/>
      <c r="BQ25" s="426"/>
      <c r="BR25" s="426"/>
      <c r="BS25" s="426"/>
      <c r="BT25" s="426"/>
      <c r="BU25" s="426"/>
      <c r="BV25" s="426"/>
      <c r="BW25" s="426"/>
      <c r="BX25" s="426"/>
      <c r="BY25" s="426"/>
      <c r="BZ25" s="426"/>
      <c r="CA25" s="426"/>
      <c r="CB25" s="426"/>
      <c r="CC25" s="426"/>
      <c r="CD25" s="426"/>
      <c r="CE25" s="426"/>
      <c r="CF25" s="426"/>
      <c r="CG25" s="426"/>
      <c r="CH25" s="426"/>
      <c r="CI25" s="426"/>
      <c r="CJ25" s="426"/>
      <c r="CK25" s="426"/>
      <c r="CL25" s="426"/>
      <c r="CM25" s="426"/>
      <c r="CN25" s="426"/>
      <c r="CO25" s="426"/>
      <c r="CP25" s="426"/>
      <c r="CQ25" s="426"/>
      <c r="CR25" s="426"/>
      <c r="CS25" s="426"/>
      <c r="CT25" s="426"/>
      <c r="CU25" s="426"/>
      <c r="CV25" s="426"/>
      <c r="CW25" s="426"/>
      <c r="CX25" s="426"/>
      <c r="CY25" s="426"/>
      <c r="CZ25" s="426"/>
      <c r="DA25" s="426"/>
      <c r="DB25" s="426"/>
      <c r="DC25" s="426"/>
    </row>
    <row r="26" spans="1:20" ht="12.75">
      <c r="A26" s="74" t="s">
        <v>989</v>
      </c>
      <c r="B26" s="430">
        <f>SUM(B27:B29)</f>
        <v>1414088</v>
      </c>
      <c r="C26" s="430">
        <f>SUM(C27:C29)</f>
        <v>1651840</v>
      </c>
      <c r="D26" s="628">
        <f t="shared" si="1"/>
        <v>116.81309791186969</v>
      </c>
      <c r="E26" s="430">
        <f>SUM(E27:E29)</f>
        <v>685536</v>
      </c>
      <c r="F26" s="430">
        <f>SUM(F27:F29)</f>
        <v>1651840</v>
      </c>
      <c r="G26" s="628">
        <f t="shared" si="2"/>
        <v>240.9559818886244</v>
      </c>
      <c r="H26" s="430">
        <f>SUM(H27:H29)</f>
        <v>883464</v>
      </c>
      <c r="I26" s="430">
        <f>SUM(I27:I29)</f>
        <v>0</v>
      </c>
      <c r="J26" s="628">
        <f t="shared" si="6"/>
        <v>0</v>
      </c>
      <c r="K26" s="74" t="s">
        <v>989</v>
      </c>
      <c r="L26" s="430">
        <f>SUM(L27:L29)</f>
        <v>1414</v>
      </c>
      <c r="M26" s="430">
        <f>SUM(M27:M29)</f>
        <v>1652</v>
      </c>
      <c r="N26" s="628">
        <f t="shared" si="4"/>
        <v>116.83168316831683</v>
      </c>
      <c r="O26" s="430">
        <f>SUM(O27:O29)</f>
        <v>686</v>
      </c>
      <c r="P26" s="430">
        <f>SUM(P27:P29)</f>
        <v>1652</v>
      </c>
      <c r="Q26" s="628">
        <f t="shared" si="5"/>
        <v>240.81632653061226</v>
      </c>
      <c r="R26" s="430">
        <f>SUM(R27:R29)</f>
        <v>884</v>
      </c>
      <c r="S26" s="430">
        <f>SUM(S27:S29)</f>
        <v>0</v>
      </c>
      <c r="T26" s="628">
        <f t="shared" si="7"/>
        <v>0</v>
      </c>
    </row>
    <row r="27" spans="1:107" s="427" customFormat="1" ht="12.75">
      <c r="A27" s="432" t="s">
        <v>671</v>
      </c>
      <c r="B27" s="27">
        <v>1388740</v>
      </c>
      <c r="C27" s="27">
        <v>1651840</v>
      </c>
      <c r="D27" s="629">
        <f t="shared" si="1"/>
        <v>118.94523092875555</v>
      </c>
      <c r="E27" s="27">
        <v>660740</v>
      </c>
      <c r="F27" s="27">
        <v>1651840</v>
      </c>
      <c r="G27" s="629">
        <f t="shared" si="2"/>
        <v>249.9984865453885</v>
      </c>
      <c r="H27" s="27">
        <v>654740</v>
      </c>
      <c r="I27" s="27"/>
      <c r="J27" s="629">
        <f t="shared" si="6"/>
        <v>0</v>
      </c>
      <c r="K27" s="432" t="s">
        <v>671</v>
      </c>
      <c r="L27" s="27">
        <f aca="true" t="shared" si="16" ref="L27:M29">ROUND(B27/1000,0)</f>
        <v>1389</v>
      </c>
      <c r="M27" s="27">
        <f t="shared" si="16"/>
        <v>1652</v>
      </c>
      <c r="N27" s="629">
        <f t="shared" si="4"/>
        <v>118.93448524118071</v>
      </c>
      <c r="O27" s="27">
        <f aca="true" t="shared" si="17" ref="O27:P29">ROUND(E27/1000,0)</f>
        <v>661</v>
      </c>
      <c r="P27" s="27">
        <f>ROUND(F27/1000,0)</f>
        <v>1652</v>
      </c>
      <c r="Q27" s="629">
        <f t="shared" si="5"/>
        <v>249.92435703479578</v>
      </c>
      <c r="R27" s="27">
        <f aca="true" t="shared" si="18" ref="R27:S29">ROUND(H27/1000,0)</f>
        <v>655</v>
      </c>
      <c r="S27" s="27">
        <f t="shared" si="18"/>
        <v>0</v>
      </c>
      <c r="T27" s="629">
        <f t="shared" si="7"/>
        <v>0</v>
      </c>
      <c r="U27" s="426"/>
      <c r="V27" s="426"/>
      <c r="W27" s="426"/>
      <c r="X27" s="426"/>
      <c r="Y27" s="426"/>
      <c r="Z27" s="426"/>
      <c r="AA27" s="426"/>
      <c r="AB27" s="426"/>
      <c r="AC27" s="426"/>
      <c r="AD27" s="426"/>
      <c r="AE27" s="426"/>
      <c r="AF27" s="426"/>
      <c r="AG27" s="426"/>
      <c r="AH27" s="426"/>
      <c r="AI27" s="426"/>
      <c r="AJ27" s="426"/>
      <c r="AK27" s="426"/>
      <c r="AL27" s="426"/>
      <c r="AM27" s="426"/>
      <c r="AN27" s="426"/>
      <c r="AO27" s="426"/>
      <c r="AP27" s="426"/>
      <c r="AQ27" s="426"/>
      <c r="AR27" s="426"/>
      <c r="AS27" s="426"/>
      <c r="AT27" s="426"/>
      <c r="AU27" s="426"/>
      <c r="AV27" s="426"/>
      <c r="AW27" s="426"/>
      <c r="AX27" s="426"/>
      <c r="AY27" s="426"/>
      <c r="AZ27" s="426"/>
      <c r="BA27" s="426"/>
      <c r="BB27" s="426"/>
      <c r="BC27" s="426"/>
      <c r="BD27" s="426"/>
      <c r="BE27" s="426"/>
      <c r="BF27" s="426"/>
      <c r="BG27" s="426"/>
      <c r="BH27" s="426"/>
      <c r="BI27" s="426"/>
      <c r="BJ27" s="426"/>
      <c r="BK27" s="426"/>
      <c r="BL27" s="426"/>
      <c r="BM27" s="426"/>
      <c r="BN27" s="426"/>
      <c r="BO27" s="426"/>
      <c r="BP27" s="426"/>
      <c r="BQ27" s="426"/>
      <c r="BR27" s="426"/>
      <c r="BS27" s="426"/>
      <c r="BT27" s="426"/>
      <c r="BU27" s="426"/>
      <c r="BV27" s="426"/>
      <c r="BW27" s="426"/>
      <c r="BX27" s="426"/>
      <c r="BY27" s="426"/>
      <c r="BZ27" s="426"/>
      <c r="CA27" s="426"/>
      <c r="CB27" s="426"/>
      <c r="CC27" s="426"/>
      <c r="CD27" s="426"/>
      <c r="CE27" s="426"/>
      <c r="CF27" s="426"/>
      <c r="CG27" s="426"/>
      <c r="CH27" s="426"/>
      <c r="CI27" s="426"/>
      <c r="CJ27" s="426"/>
      <c r="CK27" s="426"/>
      <c r="CL27" s="426"/>
      <c r="CM27" s="426"/>
      <c r="CN27" s="426"/>
      <c r="CO27" s="426"/>
      <c r="CP27" s="426"/>
      <c r="CQ27" s="426"/>
      <c r="CR27" s="426"/>
      <c r="CS27" s="426"/>
      <c r="CT27" s="426"/>
      <c r="CU27" s="426"/>
      <c r="CV27" s="426"/>
      <c r="CW27" s="426"/>
      <c r="CX27" s="426"/>
      <c r="CY27" s="426"/>
      <c r="CZ27" s="426"/>
      <c r="DA27" s="426"/>
      <c r="DB27" s="426"/>
      <c r="DC27" s="426"/>
    </row>
    <row r="28" spans="1:107" s="427" customFormat="1" ht="12.75" hidden="1">
      <c r="A28" s="432" t="s">
        <v>672</v>
      </c>
      <c r="B28" s="27"/>
      <c r="C28" s="27"/>
      <c r="D28" s="629" t="e">
        <f t="shared" si="1"/>
        <v>#DIV/0!</v>
      </c>
      <c r="E28" s="27"/>
      <c r="F28" s="27"/>
      <c r="G28" s="629" t="e">
        <f t="shared" si="2"/>
        <v>#DIV/0!</v>
      </c>
      <c r="H28" s="27"/>
      <c r="I28" s="27"/>
      <c r="J28" s="629" t="e">
        <f t="shared" si="6"/>
        <v>#DIV/0!</v>
      </c>
      <c r="K28" s="630" t="s">
        <v>672</v>
      </c>
      <c r="L28" s="27">
        <f>ROUND(B28/1000,0)</f>
        <v>0</v>
      </c>
      <c r="M28" s="27">
        <f t="shared" si="16"/>
        <v>0</v>
      </c>
      <c r="N28" s="629" t="e">
        <f t="shared" si="4"/>
        <v>#DIV/0!</v>
      </c>
      <c r="O28" s="27">
        <f t="shared" si="17"/>
        <v>0</v>
      </c>
      <c r="P28" s="27">
        <f t="shared" si="17"/>
        <v>0</v>
      </c>
      <c r="Q28" s="629" t="e">
        <f t="shared" si="5"/>
        <v>#DIV/0!</v>
      </c>
      <c r="R28" s="27">
        <f t="shared" si="18"/>
        <v>0</v>
      </c>
      <c r="S28" s="27">
        <f t="shared" si="18"/>
        <v>0</v>
      </c>
      <c r="T28" s="629" t="e">
        <f t="shared" si="7"/>
        <v>#DIV/0!</v>
      </c>
      <c r="U28" s="426"/>
      <c r="V28" s="426"/>
      <c r="W28" s="426"/>
      <c r="X28" s="426"/>
      <c r="Y28" s="426"/>
      <c r="Z28" s="426"/>
      <c r="AA28" s="426"/>
      <c r="AB28" s="426"/>
      <c r="AC28" s="426"/>
      <c r="AD28" s="426"/>
      <c r="AE28" s="426"/>
      <c r="AF28" s="426"/>
      <c r="AG28" s="426"/>
      <c r="AH28" s="426"/>
      <c r="AI28" s="426"/>
      <c r="AJ28" s="426"/>
      <c r="AK28" s="426"/>
      <c r="AL28" s="426"/>
      <c r="AM28" s="426"/>
      <c r="AN28" s="426"/>
      <c r="AO28" s="426"/>
      <c r="AP28" s="426"/>
      <c r="AQ28" s="426"/>
      <c r="AR28" s="426"/>
      <c r="AS28" s="426"/>
      <c r="AT28" s="426"/>
      <c r="AU28" s="426"/>
      <c r="AV28" s="426"/>
      <c r="AW28" s="426"/>
      <c r="AX28" s="426"/>
      <c r="AY28" s="426"/>
      <c r="AZ28" s="426"/>
      <c r="BA28" s="426"/>
      <c r="BB28" s="426"/>
      <c r="BC28" s="426"/>
      <c r="BD28" s="426"/>
      <c r="BE28" s="426"/>
      <c r="BF28" s="426"/>
      <c r="BG28" s="426"/>
      <c r="BH28" s="426"/>
      <c r="BI28" s="426"/>
      <c r="BJ28" s="426"/>
      <c r="BK28" s="426"/>
      <c r="BL28" s="426"/>
      <c r="BM28" s="426"/>
      <c r="BN28" s="426"/>
      <c r="BO28" s="426"/>
      <c r="BP28" s="426"/>
      <c r="BQ28" s="426"/>
      <c r="BR28" s="426"/>
      <c r="BS28" s="426"/>
      <c r="BT28" s="426"/>
      <c r="BU28" s="426"/>
      <c r="BV28" s="426"/>
      <c r="BW28" s="426"/>
      <c r="BX28" s="426"/>
      <c r="BY28" s="426"/>
      <c r="BZ28" s="426"/>
      <c r="CA28" s="426"/>
      <c r="CB28" s="426"/>
      <c r="CC28" s="426"/>
      <c r="CD28" s="426"/>
      <c r="CE28" s="426"/>
      <c r="CF28" s="426"/>
      <c r="CG28" s="426"/>
      <c r="CH28" s="426"/>
      <c r="CI28" s="426"/>
      <c r="CJ28" s="426"/>
      <c r="CK28" s="426"/>
      <c r="CL28" s="426"/>
      <c r="CM28" s="426"/>
      <c r="CN28" s="426"/>
      <c r="CO28" s="426"/>
      <c r="CP28" s="426"/>
      <c r="CQ28" s="426"/>
      <c r="CR28" s="426"/>
      <c r="CS28" s="426"/>
      <c r="CT28" s="426"/>
      <c r="CU28" s="426"/>
      <c r="CV28" s="426"/>
      <c r="CW28" s="426"/>
      <c r="CX28" s="426"/>
      <c r="CY28" s="426"/>
      <c r="CZ28" s="426"/>
      <c r="DA28" s="426"/>
      <c r="DB28" s="426"/>
      <c r="DC28" s="426"/>
    </row>
    <row r="29" spans="1:107" s="131" customFormat="1" ht="12.75">
      <c r="A29" s="432" t="s">
        <v>673</v>
      </c>
      <c r="B29" s="27">
        <v>25348</v>
      </c>
      <c r="C29" s="27"/>
      <c r="D29" s="629">
        <f t="shared" si="1"/>
        <v>0</v>
      </c>
      <c r="E29" s="27">
        <v>24796</v>
      </c>
      <c r="F29" s="27"/>
      <c r="G29" s="629">
        <f t="shared" si="2"/>
        <v>0</v>
      </c>
      <c r="H29" s="27">
        <v>228724</v>
      </c>
      <c r="I29" s="27"/>
      <c r="J29" s="631">
        <f t="shared" si="6"/>
        <v>0</v>
      </c>
      <c r="K29" s="432" t="s">
        <v>673</v>
      </c>
      <c r="L29" s="632">
        <f t="shared" si="16"/>
        <v>25</v>
      </c>
      <c r="M29" s="27">
        <f t="shared" si="16"/>
        <v>0</v>
      </c>
      <c r="N29" s="629">
        <f t="shared" si="4"/>
        <v>0</v>
      </c>
      <c r="O29" s="27">
        <f t="shared" si="17"/>
        <v>25</v>
      </c>
      <c r="P29" s="27">
        <f t="shared" si="17"/>
        <v>0</v>
      </c>
      <c r="Q29" s="629">
        <f t="shared" si="5"/>
        <v>0</v>
      </c>
      <c r="R29" s="27">
        <f t="shared" si="18"/>
        <v>229</v>
      </c>
      <c r="S29" s="27">
        <f t="shared" si="18"/>
        <v>0</v>
      </c>
      <c r="T29" s="629">
        <f t="shared" si="7"/>
        <v>0</v>
      </c>
      <c r="U29" s="426"/>
      <c r="V29" s="426"/>
      <c r="W29" s="426"/>
      <c r="X29" s="426"/>
      <c r="Y29" s="426"/>
      <c r="Z29" s="426"/>
      <c r="AA29" s="426"/>
      <c r="AB29" s="426"/>
      <c r="AC29" s="426"/>
      <c r="AD29" s="426"/>
      <c r="AE29" s="426"/>
      <c r="AF29" s="426"/>
      <c r="AG29" s="426"/>
      <c r="AH29" s="426"/>
      <c r="AI29" s="426"/>
      <c r="AJ29" s="426"/>
      <c r="AK29" s="426"/>
      <c r="AL29" s="426"/>
      <c r="AM29" s="426"/>
      <c r="AN29" s="426"/>
      <c r="AO29" s="426"/>
      <c r="AP29" s="426"/>
      <c r="AQ29" s="426"/>
      <c r="AR29" s="426"/>
      <c r="AS29" s="426"/>
      <c r="AT29" s="426"/>
      <c r="AU29" s="426"/>
      <c r="AV29" s="426"/>
      <c r="AW29" s="426"/>
      <c r="AX29" s="426"/>
      <c r="AY29" s="426"/>
      <c r="AZ29" s="426"/>
      <c r="BA29" s="426"/>
      <c r="BB29" s="426"/>
      <c r="BC29" s="426"/>
      <c r="BD29" s="426"/>
      <c r="BE29" s="426"/>
      <c r="BF29" s="426"/>
      <c r="BG29" s="426"/>
      <c r="BH29" s="426"/>
      <c r="BI29" s="426"/>
      <c r="BJ29" s="426"/>
      <c r="BK29" s="426"/>
      <c r="BL29" s="426"/>
      <c r="BM29" s="426"/>
      <c r="BN29" s="426"/>
      <c r="BO29" s="426"/>
      <c r="BP29" s="426"/>
      <c r="BQ29" s="426"/>
      <c r="BR29" s="426"/>
      <c r="BS29" s="426"/>
      <c r="BT29" s="426"/>
      <c r="BU29" s="426"/>
      <c r="BV29" s="426"/>
      <c r="BW29" s="426"/>
      <c r="BX29" s="426"/>
      <c r="BY29" s="426"/>
      <c r="BZ29" s="426"/>
      <c r="CA29" s="426"/>
      <c r="CB29" s="426"/>
      <c r="CC29" s="426"/>
      <c r="CD29" s="426"/>
      <c r="CE29" s="426"/>
      <c r="CF29" s="426"/>
      <c r="CG29" s="426"/>
      <c r="CH29" s="426"/>
      <c r="CI29" s="426"/>
      <c r="CJ29" s="426"/>
      <c r="CK29" s="426"/>
      <c r="CL29" s="426"/>
      <c r="CM29" s="426"/>
      <c r="CN29" s="426"/>
      <c r="CO29" s="426"/>
      <c r="CP29" s="426"/>
      <c r="CQ29" s="426"/>
      <c r="CR29" s="426"/>
      <c r="CS29" s="426"/>
      <c r="CT29" s="426"/>
      <c r="CU29" s="426"/>
      <c r="CV29" s="426"/>
      <c r="CW29" s="426"/>
      <c r="CX29" s="426"/>
      <c r="CY29" s="426"/>
      <c r="CZ29" s="426"/>
      <c r="DA29" s="426"/>
      <c r="DB29" s="426"/>
      <c r="DC29" s="426"/>
    </row>
    <row r="30" spans="1:20" ht="12.75">
      <c r="A30" s="74" t="s">
        <v>991</v>
      </c>
      <c r="B30" s="430">
        <f>SUM(B31:B34)</f>
        <v>955500</v>
      </c>
      <c r="C30" s="430">
        <f>SUM(C31:C34)</f>
        <v>0</v>
      </c>
      <c r="D30" s="628">
        <f t="shared" si="1"/>
        <v>0</v>
      </c>
      <c r="E30" s="430">
        <f>SUM(E31:E34)</f>
        <v>974370</v>
      </c>
      <c r="F30" s="430">
        <f>SUM(F31:F34)</f>
        <v>0</v>
      </c>
      <c r="G30" s="628">
        <f t="shared" si="2"/>
        <v>0</v>
      </c>
      <c r="H30" s="430">
        <f>SUM(H31:H34)</f>
        <v>4150000</v>
      </c>
      <c r="I30" s="430">
        <f>SUM(I31:I34)</f>
        <v>0</v>
      </c>
      <c r="J30" s="628">
        <f t="shared" si="6"/>
        <v>0</v>
      </c>
      <c r="K30" s="633" t="s">
        <v>991</v>
      </c>
      <c r="L30" s="430">
        <f>SUM(L31:L34)</f>
        <v>956</v>
      </c>
      <c r="M30" s="430">
        <f>SUM(M31:M34)</f>
        <v>0</v>
      </c>
      <c r="N30" s="628">
        <f t="shared" si="4"/>
        <v>0</v>
      </c>
      <c r="O30" s="430">
        <f>SUM(O31:O34)</f>
        <v>975</v>
      </c>
      <c r="P30" s="430">
        <f>SUM(P31:P34)</f>
        <v>0</v>
      </c>
      <c r="Q30" s="628">
        <f t="shared" si="5"/>
        <v>0</v>
      </c>
      <c r="R30" s="430">
        <f>SUM(R31:R34)</f>
        <v>4150</v>
      </c>
      <c r="S30" s="430">
        <f>SUM(S31:S34)</f>
        <v>0</v>
      </c>
      <c r="T30" s="628">
        <f t="shared" si="7"/>
        <v>0</v>
      </c>
    </row>
    <row r="31" spans="1:107" s="427" customFormat="1" ht="12.75">
      <c r="A31" s="432" t="s">
        <v>670</v>
      </c>
      <c r="B31" s="27">
        <v>90000</v>
      </c>
      <c r="C31" s="27"/>
      <c r="D31" s="629">
        <f t="shared" si="1"/>
        <v>0</v>
      </c>
      <c r="E31" s="27">
        <v>66370</v>
      </c>
      <c r="F31" s="27"/>
      <c r="G31" s="629">
        <f t="shared" si="2"/>
        <v>0</v>
      </c>
      <c r="H31" s="27"/>
      <c r="I31" s="27"/>
      <c r="J31" s="629" t="e">
        <f t="shared" si="6"/>
        <v>#DIV/0!</v>
      </c>
      <c r="K31" s="432" t="s">
        <v>670</v>
      </c>
      <c r="L31" s="27">
        <f aca="true" t="shared" si="19" ref="L31:M34">ROUND(B31/1000,0)</f>
        <v>90</v>
      </c>
      <c r="M31" s="27">
        <f t="shared" si="19"/>
        <v>0</v>
      </c>
      <c r="N31" s="629">
        <f t="shared" si="4"/>
        <v>0</v>
      </c>
      <c r="O31" s="27">
        <f>ROUND(E31/1000,0)+1</f>
        <v>67</v>
      </c>
      <c r="P31" s="27">
        <f aca="true" t="shared" si="20" ref="O31:P34">ROUND(F31/1000,0)</f>
        <v>0</v>
      </c>
      <c r="Q31" s="629">
        <f t="shared" si="5"/>
        <v>0</v>
      </c>
      <c r="R31" s="27"/>
      <c r="S31" s="27"/>
      <c r="T31" s="629"/>
      <c r="U31" s="426"/>
      <c r="V31" s="426"/>
      <c r="W31" s="426"/>
      <c r="X31" s="426"/>
      <c r="Y31" s="426"/>
      <c r="Z31" s="426"/>
      <c r="AA31" s="426"/>
      <c r="AB31" s="426"/>
      <c r="AC31" s="426"/>
      <c r="AD31" s="426"/>
      <c r="AE31" s="426"/>
      <c r="AF31" s="426"/>
      <c r="AG31" s="426"/>
      <c r="AH31" s="426"/>
      <c r="AI31" s="426"/>
      <c r="AJ31" s="426"/>
      <c r="AK31" s="426"/>
      <c r="AL31" s="426"/>
      <c r="AM31" s="426"/>
      <c r="AN31" s="426"/>
      <c r="AO31" s="426"/>
      <c r="AP31" s="426"/>
      <c r="AQ31" s="426"/>
      <c r="AR31" s="426"/>
      <c r="AS31" s="426"/>
      <c r="AT31" s="426"/>
      <c r="AU31" s="426"/>
      <c r="AV31" s="426"/>
      <c r="AW31" s="426"/>
      <c r="AX31" s="426"/>
      <c r="AY31" s="426"/>
      <c r="AZ31" s="426"/>
      <c r="BA31" s="426"/>
      <c r="BB31" s="426"/>
      <c r="BC31" s="426"/>
      <c r="BD31" s="426"/>
      <c r="BE31" s="426"/>
      <c r="BF31" s="426"/>
      <c r="BG31" s="426"/>
      <c r="BH31" s="426"/>
      <c r="BI31" s="426"/>
      <c r="BJ31" s="426"/>
      <c r="BK31" s="426"/>
      <c r="BL31" s="426"/>
      <c r="BM31" s="426"/>
      <c r="BN31" s="426"/>
      <c r="BO31" s="426"/>
      <c r="BP31" s="426"/>
      <c r="BQ31" s="426"/>
      <c r="BR31" s="426"/>
      <c r="BS31" s="426"/>
      <c r="BT31" s="426"/>
      <c r="BU31" s="426"/>
      <c r="BV31" s="426"/>
      <c r="BW31" s="426"/>
      <c r="BX31" s="426"/>
      <c r="BY31" s="426"/>
      <c r="BZ31" s="426"/>
      <c r="CA31" s="426"/>
      <c r="CB31" s="426"/>
      <c r="CC31" s="426"/>
      <c r="CD31" s="426"/>
      <c r="CE31" s="426"/>
      <c r="CF31" s="426"/>
      <c r="CG31" s="426"/>
      <c r="CH31" s="426"/>
      <c r="CI31" s="426"/>
      <c r="CJ31" s="426"/>
      <c r="CK31" s="426"/>
      <c r="CL31" s="426"/>
      <c r="CM31" s="426"/>
      <c r="CN31" s="426"/>
      <c r="CO31" s="426"/>
      <c r="CP31" s="426"/>
      <c r="CQ31" s="426"/>
      <c r="CR31" s="426"/>
      <c r="CS31" s="426"/>
      <c r="CT31" s="426"/>
      <c r="CU31" s="426"/>
      <c r="CV31" s="426"/>
      <c r="CW31" s="426"/>
      <c r="CX31" s="426"/>
      <c r="CY31" s="426"/>
      <c r="CZ31" s="426"/>
      <c r="DA31" s="426"/>
      <c r="DB31" s="426"/>
      <c r="DC31" s="426"/>
    </row>
    <row r="32" spans="1:107" s="427" customFormat="1" ht="12.75">
      <c r="A32" s="432" t="s">
        <v>1059</v>
      </c>
      <c r="B32" s="27">
        <v>15500</v>
      </c>
      <c r="C32" s="27"/>
      <c r="D32" s="629">
        <f t="shared" si="1"/>
        <v>0</v>
      </c>
      <c r="E32" s="27">
        <v>8000</v>
      </c>
      <c r="F32" s="27"/>
      <c r="G32" s="629">
        <f t="shared" si="2"/>
        <v>0</v>
      </c>
      <c r="H32" s="27"/>
      <c r="I32" s="27"/>
      <c r="J32" s="629" t="e">
        <f t="shared" si="6"/>
        <v>#DIV/0!</v>
      </c>
      <c r="K32" s="432" t="s">
        <v>1059</v>
      </c>
      <c r="L32" s="27">
        <f t="shared" si="19"/>
        <v>16</v>
      </c>
      <c r="M32" s="27">
        <f t="shared" si="19"/>
        <v>0</v>
      </c>
      <c r="N32" s="629">
        <f t="shared" si="4"/>
        <v>0</v>
      </c>
      <c r="O32" s="27">
        <f t="shared" si="20"/>
        <v>8</v>
      </c>
      <c r="P32" s="27">
        <f t="shared" si="20"/>
        <v>0</v>
      </c>
      <c r="Q32" s="629">
        <f t="shared" si="5"/>
        <v>0</v>
      </c>
      <c r="R32" s="27"/>
      <c r="S32" s="27"/>
      <c r="T32" s="629"/>
      <c r="U32" s="426"/>
      <c r="V32" s="426"/>
      <c r="W32" s="426"/>
      <c r="X32" s="426"/>
      <c r="Y32" s="426"/>
      <c r="Z32" s="426"/>
      <c r="AA32" s="426"/>
      <c r="AB32" s="426"/>
      <c r="AC32" s="426"/>
      <c r="AD32" s="426"/>
      <c r="AE32" s="426"/>
      <c r="AF32" s="426"/>
      <c r="AG32" s="426"/>
      <c r="AH32" s="426"/>
      <c r="AI32" s="426"/>
      <c r="AJ32" s="426"/>
      <c r="AK32" s="426"/>
      <c r="AL32" s="426"/>
      <c r="AM32" s="426"/>
      <c r="AN32" s="426"/>
      <c r="AO32" s="426"/>
      <c r="AP32" s="426"/>
      <c r="AQ32" s="426"/>
      <c r="AR32" s="426"/>
      <c r="AS32" s="426"/>
      <c r="AT32" s="426"/>
      <c r="AU32" s="426"/>
      <c r="AV32" s="426"/>
      <c r="AW32" s="426"/>
      <c r="AX32" s="426"/>
      <c r="AY32" s="426"/>
      <c r="AZ32" s="426"/>
      <c r="BA32" s="426"/>
      <c r="BB32" s="426"/>
      <c r="BC32" s="426"/>
      <c r="BD32" s="426"/>
      <c r="BE32" s="426"/>
      <c r="BF32" s="426"/>
      <c r="BG32" s="426"/>
      <c r="BH32" s="426"/>
      <c r="BI32" s="426"/>
      <c r="BJ32" s="426"/>
      <c r="BK32" s="426"/>
      <c r="BL32" s="426"/>
      <c r="BM32" s="426"/>
      <c r="BN32" s="426"/>
      <c r="BO32" s="426"/>
      <c r="BP32" s="426"/>
      <c r="BQ32" s="426"/>
      <c r="BR32" s="426"/>
      <c r="BS32" s="426"/>
      <c r="BT32" s="426"/>
      <c r="BU32" s="426"/>
      <c r="BV32" s="426"/>
      <c r="BW32" s="426"/>
      <c r="BX32" s="426"/>
      <c r="BY32" s="426"/>
      <c r="BZ32" s="426"/>
      <c r="CA32" s="426"/>
      <c r="CB32" s="426"/>
      <c r="CC32" s="426"/>
      <c r="CD32" s="426"/>
      <c r="CE32" s="426"/>
      <c r="CF32" s="426"/>
      <c r="CG32" s="426"/>
      <c r="CH32" s="426"/>
      <c r="CI32" s="426"/>
      <c r="CJ32" s="426"/>
      <c r="CK32" s="426"/>
      <c r="CL32" s="426"/>
      <c r="CM32" s="426"/>
      <c r="CN32" s="426"/>
      <c r="CO32" s="426"/>
      <c r="CP32" s="426"/>
      <c r="CQ32" s="426"/>
      <c r="CR32" s="426"/>
      <c r="CS32" s="426"/>
      <c r="CT32" s="426"/>
      <c r="CU32" s="426"/>
      <c r="CV32" s="426"/>
      <c r="CW32" s="426"/>
      <c r="CX32" s="426"/>
      <c r="CY32" s="426"/>
      <c r="CZ32" s="426"/>
      <c r="DA32" s="426"/>
      <c r="DB32" s="426"/>
      <c r="DC32" s="426"/>
    </row>
    <row r="33" spans="1:107" s="427" customFormat="1" ht="12.75">
      <c r="A33" s="432" t="s">
        <v>671</v>
      </c>
      <c r="B33" s="27">
        <v>50000</v>
      </c>
      <c r="C33" s="27"/>
      <c r="D33" s="629">
        <f t="shared" si="1"/>
        <v>0</v>
      </c>
      <c r="E33" s="27">
        <v>50000</v>
      </c>
      <c r="F33" s="27"/>
      <c r="G33" s="629">
        <f t="shared" si="2"/>
        <v>0</v>
      </c>
      <c r="H33" s="27">
        <v>150000</v>
      </c>
      <c r="I33" s="27"/>
      <c r="J33" s="629">
        <f t="shared" si="6"/>
        <v>0</v>
      </c>
      <c r="K33" s="432" t="s">
        <v>671</v>
      </c>
      <c r="L33" s="27">
        <f t="shared" si="19"/>
        <v>50</v>
      </c>
      <c r="M33" s="27">
        <f t="shared" si="19"/>
        <v>0</v>
      </c>
      <c r="N33" s="629">
        <f t="shared" si="4"/>
        <v>0</v>
      </c>
      <c r="O33" s="27">
        <f t="shared" si="20"/>
        <v>50</v>
      </c>
      <c r="P33" s="27">
        <f t="shared" si="20"/>
        <v>0</v>
      </c>
      <c r="Q33" s="629">
        <f>P33/O33*100</f>
        <v>0</v>
      </c>
      <c r="R33" s="27">
        <f>ROUND(H33/1000,0)</f>
        <v>150</v>
      </c>
      <c r="S33" s="27">
        <f>ROUND(I33/1000,0)</f>
        <v>0</v>
      </c>
      <c r="T33" s="629">
        <f t="shared" si="7"/>
        <v>0</v>
      </c>
      <c r="U33" s="426"/>
      <c r="V33" s="426"/>
      <c r="W33" s="426"/>
      <c r="X33" s="426"/>
      <c r="Y33" s="426"/>
      <c r="Z33" s="426"/>
      <c r="AA33" s="426"/>
      <c r="AB33" s="426"/>
      <c r="AC33" s="426"/>
      <c r="AD33" s="426"/>
      <c r="AE33" s="426"/>
      <c r="AF33" s="426"/>
      <c r="AG33" s="426"/>
      <c r="AH33" s="426"/>
      <c r="AI33" s="426"/>
      <c r="AJ33" s="426"/>
      <c r="AK33" s="426"/>
      <c r="AL33" s="426"/>
      <c r="AM33" s="426"/>
      <c r="AN33" s="426"/>
      <c r="AO33" s="426"/>
      <c r="AP33" s="426"/>
      <c r="AQ33" s="426"/>
      <c r="AR33" s="426"/>
      <c r="AS33" s="426"/>
      <c r="AT33" s="426"/>
      <c r="AU33" s="426"/>
      <c r="AV33" s="426"/>
      <c r="AW33" s="426"/>
      <c r="AX33" s="426"/>
      <c r="AY33" s="426"/>
      <c r="AZ33" s="426"/>
      <c r="BA33" s="426"/>
      <c r="BB33" s="426"/>
      <c r="BC33" s="426"/>
      <c r="BD33" s="426"/>
      <c r="BE33" s="426"/>
      <c r="BF33" s="426"/>
      <c r="BG33" s="426"/>
      <c r="BH33" s="426"/>
      <c r="BI33" s="426"/>
      <c r="BJ33" s="426"/>
      <c r="BK33" s="426"/>
      <c r="BL33" s="426"/>
      <c r="BM33" s="426"/>
      <c r="BN33" s="426"/>
      <c r="BO33" s="426"/>
      <c r="BP33" s="426"/>
      <c r="BQ33" s="426"/>
      <c r="BR33" s="426"/>
      <c r="BS33" s="426"/>
      <c r="BT33" s="426"/>
      <c r="BU33" s="426"/>
      <c r="BV33" s="426"/>
      <c r="BW33" s="426"/>
      <c r="BX33" s="426"/>
      <c r="BY33" s="426"/>
      <c r="BZ33" s="426"/>
      <c r="CA33" s="426"/>
      <c r="CB33" s="426"/>
      <c r="CC33" s="426"/>
      <c r="CD33" s="426"/>
      <c r="CE33" s="426"/>
      <c r="CF33" s="426"/>
      <c r="CG33" s="426"/>
      <c r="CH33" s="426"/>
      <c r="CI33" s="426"/>
      <c r="CJ33" s="426"/>
      <c r="CK33" s="426"/>
      <c r="CL33" s="426"/>
      <c r="CM33" s="426"/>
      <c r="CN33" s="426"/>
      <c r="CO33" s="426"/>
      <c r="CP33" s="426"/>
      <c r="CQ33" s="426"/>
      <c r="CR33" s="426"/>
      <c r="CS33" s="426"/>
      <c r="CT33" s="426"/>
      <c r="CU33" s="426"/>
      <c r="CV33" s="426"/>
      <c r="CW33" s="426"/>
      <c r="CX33" s="426"/>
      <c r="CY33" s="426"/>
      <c r="CZ33" s="426"/>
      <c r="DA33" s="426"/>
      <c r="DB33" s="426"/>
      <c r="DC33" s="426"/>
    </row>
    <row r="34" spans="1:107" s="131" customFormat="1" ht="12.75">
      <c r="A34" s="432" t="s">
        <v>673</v>
      </c>
      <c r="B34" s="27">
        <v>800000</v>
      </c>
      <c r="C34" s="27"/>
      <c r="D34" s="629">
        <f t="shared" si="1"/>
        <v>0</v>
      </c>
      <c r="E34" s="27">
        <v>850000</v>
      </c>
      <c r="F34" s="27"/>
      <c r="G34" s="629">
        <f t="shared" si="2"/>
        <v>0</v>
      </c>
      <c r="H34" s="27">
        <v>4000000</v>
      </c>
      <c r="I34" s="27"/>
      <c r="J34" s="629">
        <f t="shared" si="6"/>
        <v>0</v>
      </c>
      <c r="K34" s="432" t="s">
        <v>673</v>
      </c>
      <c r="L34" s="27">
        <f t="shared" si="19"/>
        <v>800</v>
      </c>
      <c r="M34" s="27">
        <f t="shared" si="19"/>
        <v>0</v>
      </c>
      <c r="N34" s="629">
        <f t="shared" si="4"/>
        <v>0</v>
      </c>
      <c r="O34" s="27">
        <f t="shared" si="20"/>
        <v>850</v>
      </c>
      <c r="P34" s="27">
        <f t="shared" si="20"/>
        <v>0</v>
      </c>
      <c r="Q34" s="629">
        <f>P34/O34*100</f>
        <v>0</v>
      </c>
      <c r="R34" s="27">
        <f>ROUND(H34/1000,0)</f>
        <v>4000</v>
      </c>
      <c r="S34" s="27">
        <f>ROUND(I34/1000,0)</f>
        <v>0</v>
      </c>
      <c r="T34" s="629">
        <f t="shared" si="7"/>
        <v>0</v>
      </c>
      <c r="U34" s="426"/>
      <c r="V34" s="426"/>
      <c r="W34" s="426"/>
      <c r="X34" s="426"/>
      <c r="Y34" s="426"/>
      <c r="Z34" s="426"/>
      <c r="AA34" s="426"/>
      <c r="AB34" s="426"/>
      <c r="AC34" s="426"/>
      <c r="AD34" s="426"/>
      <c r="AE34" s="426"/>
      <c r="AF34" s="426"/>
      <c r="AG34" s="426"/>
      <c r="AH34" s="426"/>
      <c r="AI34" s="426"/>
      <c r="AJ34" s="426"/>
      <c r="AK34" s="426"/>
      <c r="AL34" s="426"/>
      <c r="AM34" s="426"/>
      <c r="AN34" s="426"/>
      <c r="AO34" s="426"/>
      <c r="AP34" s="426"/>
      <c r="AQ34" s="426"/>
      <c r="AR34" s="426"/>
      <c r="AS34" s="426"/>
      <c r="AT34" s="426"/>
      <c r="AU34" s="426"/>
      <c r="AV34" s="426"/>
      <c r="AW34" s="426"/>
      <c r="AX34" s="426"/>
      <c r="AY34" s="426"/>
      <c r="AZ34" s="426"/>
      <c r="BA34" s="426"/>
      <c r="BB34" s="426"/>
      <c r="BC34" s="426"/>
      <c r="BD34" s="426"/>
      <c r="BE34" s="426"/>
      <c r="BF34" s="426"/>
      <c r="BG34" s="426"/>
      <c r="BH34" s="426"/>
      <c r="BI34" s="426"/>
      <c r="BJ34" s="426"/>
      <c r="BK34" s="426"/>
      <c r="BL34" s="426"/>
      <c r="BM34" s="426"/>
      <c r="BN34" s="426"/>
      <c r="BO34" s="426"/>
      <c r="BP34" s="426"/>
      <c r="BQ34" s="426"/>
      <c r="BR34" s="426"/>
      <c r="BS34" s="426"/>
      <c r="BT34" s="426"/>
      <c r="BU34" s="426"/>
      <c r="BV34" s="426"/>
      <c r="BW34" s="426"/>
      <c r="BX34" s="426"/>
      <c r="BY34" s="426"/>
      <c r="BZ34" s="426"/>
      <c r="CA34" s="426"/>
      <c r="CB34" s="426"/>
      <c r="CC34" s="426"/>
      <c r="CD34" s="426"/>
      <c r="CE34" s="426"/>
      <c r="CF34" s="426"/>
      <c r="CG34" s="426"/>
      <c r="CH34" s="426"/>
      <c r="CI34" s="426"/>
      <c r="CJ34" s="426"/>
      <c r="CK34" s="426"/>
      <c r="CL34" s="426"/>
      <c r="CM34" s="426"/>
      <c r="CN34" s="426"/>
      <c r="CO34" s="426"/>
      <c r="CP34" s="426"/>
      <c r="CQ34" s="426"/>
      <c r="CR34" s="426"/>
      <c r="CS34" s="426"/>
      <c r="CT34" s="426"/>
      <c r="CU34" s="426"/>
      <c r="CV34" s="426"/>
      <c r="CW34" s="426"/>
      <c r="CX34" s="426"/>
      <c r="CY34" s="426"/>
      <c r="CZ34" s="426"/>
      <c r="DA34" s="426"/>
      <c r="DB34" s="426"/>
      <c r="DC34" s="426"/>
    </row>
    <row r="35" spans="1:20" ht="12.75">
      <c r="A35" s="74" t="s">
        <v>993</v>
      </c>
      <c r="B35" s="430">
        <f>SUM(B36:B39)</f>
        <v>61070319</v>
      </c>
      <c r="C35" s="430">
        <f aca="true" t="shared" si="21" ref="C35:I35">SUM(C36:C39)</f>
        <v>38316131</v>
      </c>
      <c r="D35" s="628">
        <f t="shared" si="1"/>
        <v>62.741003530700404</v>
      </c>
      <c r="E35" s="430">
        <f t="shared" si="21"/>
        <v>65437000</v>
      </c>
      <c r="F35" s="430">
        <f t="shared" si="21"/>
        <v>33533542</v>
      </c>
      <c r="G35" s="628">
        <f t="shared" si="2"/>
        <v>51.245536928648924</v>
      </c>
      <c r="H35" s="430">
        <f t="shared" si="21"/>
        <v>2743403</v>
      </c>
      <c r="I35" s="430">
        <f t="shared" si="21"/>
        <v>0</v>
      </c>
      <c r="J35" s="628">
        <f t="shared" si="6"/>
        <v>0</v>
      </c>
      <c r="K35" s="74" t="s">
        <v>993</v>
      </c>
      <c r="L35" s="430">
        <f aca="true" t="shared" si="22" ref="L35:S35">SUM(L36:L39)</f>
        <v>61070</v>
      </c>
      <c r="M35" s="430">
        <f t="shared" si="22"/>
        <v>38316</v>
      </c>
      <c r="N35" s="628">
        <f t="shared" si="4"/>
        <v>62.74111675126903</v>
      </c>
      <c r="O35" s="430">
        <f t="shared" si="22"/>
        <v>65437</v>
      </c>
      <c r="P35" s="430">
        <f t="shared" si="22"/>
        <v>33533</v>
      </c>
      <c r="Q35" s="628">
        <f t="shared" si="5"/>
        <v>51.24470865106897</v>
      </c>
      <c r="R35" s="430">
        <f t="shared" si="22"/>
        <v>2743</v>
      </c>
      <c r="S35" s="430">
        <f t="shared" si="22"/>
        <v>0</v>
      </c>
      <c r="T35" s="628">
        <f t="shared" si="7"/>
        <v>0</v>
      </c>
    </row>
    <row r="36" spans="1:107" s="427" customFormat="1" ht="12.75">
      <c r="A36" s="432" t="s">
        <v>1059</v>
      </c>
      <c r="B36" s="27">
        <v>54000000</v>
      </c>
      <c r="C36" s="27">
        <f>1422688+18036400+17754243</f>
        <v>37213331</v>
      </c>
      <c r="D36" s="629">
        <f t="shared" si="1"/>
        <v>68.91357592592593</v>
      </c>
      <c r="E36" s="27">
        <v>59300000</v>
      </c>
      <c r="F36" s="27">
        <f>16524380+17009162</f>
        <v>33533542</v>
      </c>
      <c r="G36" s="629">
        <f t="shared" si="2"/>
        <v>56.548974704890384</v>
      </c>
      <c r="H36" s="27"/>
      <c r="I36" s="27"/>
      <c r="J36" s="629"/>
      <c r="K36" s="432" t="s">
        <v>1059</v>
      </c>
      <c r="L36" s="27">
        <f aca="true" t="shared" si="23" ref="L36:M39">ROUND(B36/1000,0)</f>
        <v>54000</v>
      </c>
      <c r="M36" s="27">
        <f t="shared" si="23"/>
        <v>37213</v>
      </c>
      <c r="N36" s="629">
        <f t="shared" si="4"/>
        <v>68.91296296296296</v>
      </c>
      <c r="O36" s="27">
        <f aca="true" t="shared" si="24" ref="O36:P38">ROUND(E36/1000,0)</f>
        <v>59300</v>
      </c>
      <c r="P36" s="27">
        <f>ROUND(F36/1000,0)-1</f>
        <v>33533</v>
      </c>
      <c r="Q36" s="629">
        <f t="shared" si="5"/>
        <v>56.54806070826307</v>
      </c>
      <c r="R36" s="27"/>
      <c r="S36" s="27"/>
      <c r="T36" s="629"/>
      <c r="U36" s="426"/>
      <c r="V36" s="426"/>
      <c r="W36" s="426"/>
      <c r="X36" s="426"/>
      <c r="Y36" s="426"/>
      <c r="Z36" s="426"/>
      <c r="AA36" s="426"/>
      <c r="AB36" s="426"/>
      <c r="AC36" s="426"/>
      <c r="AD36" s="426"/>
      <c r="AE36" s="426"/>
      <c r="AF36" s="426"/>
      <c r="AG36" s="426"/>
      <c r="AH36" s="426"/>
      <c r="AI36" s="426"/>
      <c r="AJ36" s="426"/>
      <c r="AK36" s="426"/>
      <c r="AL36" s="426"/>
      <c r="AM36" s="426"/>
      <c r="AN36" s="426"/>
      <c r="AO36" s="426"/>
      <c r="AP36" s="426"/>
      <c r="AQ36" s="426"/>
      <c r="AR36" s="426"/>
      <c r="AS36" s="426"/>
      <c r="AT36" s="426"/>
      <c r="AU36" s="426"/>
      <c r="AV36" s="426"/>
      <c r="AW36" s="426"/>
      <c r="AX36" s="426"/>
      <c r="AY36" s="426"/>
      <c r="AZ36" s="426"/>
      <c r="BA36" s="426"/>
      <c r="BB36" s="426"/>
      <c r="BC36" s="426"/>
      <c r="BD36" s="426"/>
      <c r="BE36" s="426"/>
      <c r="BF36" s="426"/>
      <c r="BG36" s="426"/>
      <c r="BH36" s="426"/>
      <c r="BI36" s="426"/>
      <c r="BJ36" s="426"/>
      <c r="BK36" s="426"/>
      <c r="BL36" s="426"/>
      <c r="BM36" s="426"/>
      <c r="BN36" s="426"/>
      <c r="BO36" s="426"/>
      <c r="BP36" s="426"/>
      <c r="BQ36" s="426"/>
      <c r="BR36" s="426"/>
      <c r="BS36" s="426"/>
      <c r="BT36" s="426"/>
      <c r="BU36" s="426"/>
      <c r="BV36" s="426"/>
      <c r="BW36" s="426"/>
      <c r="BX36" s="426"/>
      <c r="BY36" s="426"/>
      <c r="BZ36" s="426"/>
      <c r="CA36" s="426"/>
      <c r="CB36" s="426"/>
      <c r="CC36" s="426"/>
      <c r="CD36" s="426"/>
      <c r="CE36" s="426"/>
      <c r="CF36" s="426"/>
      <c r="CG36" s="426"/>
      <c r="CH36" s="426"/>
      <c r="CI36" s="426"/>
      <c r="CJ36" s="426"/>
      <c r="CK36" s="426"/>
      <c r="CL36" s="426"/>
      <c r="CM36" s="426"/>
      <c r="CN36" s="426"/>
      <c r="CO36" s="426"/>
      <c r="CP36" s="426"/>
      <c r="CQ36" s="426"/>
      <c r="CR36" s="426"/>
      <c r="CS36" s="426"/>
      <c r="CT36" s="426"/>
      <c r="CU36" s="426"/>
      <c r="CV36" s="426"/>
      <c r="CW36" s="426"/>
      <c r="CX36" s="426"/>
      <c r="CY36" s="426"/>
      <c r="CZ36" s="426"/>
      <c r="DA36" s="426"/>
      <c r="DB36" s="426"/>
      <c r="DC36" s="426"/>
    </row>
    <row r="37" spans="1:107" s="427" customFormat="1" ht="12.75">
      <c r="A37" s="432" t="s">
        <v>671</v>
      </c>
      <c r="B37" s="27">
        <v>947000</v>
      </c>
      <c r="C37" s="27">
        <f>3000+886000</f>
        <v>889000</v>
      </c>
      <c r="D37" s="629">
        <f t="shared" si="1"/>
        <v>93.8753959873284</v>
      </c>
      <c r="E37" s="27">
        <v>859000</v>
      </c>
      <c r="F37" s="27"/>
      <c r="G37" s="629">
        <f t="shared" si="2"/>
        <v>0</v>
      </c>
      <c r="H37" s="27">
        <v>2623403</v>
      </c>
      <c r="I37" s="27"/>
      <c r="J37" s="629"/>
      <c r="K37" s="432" t="s">
        <v>671</v>
      </c>
      <c r="L37" s="27">
        <f t="shared" si="23"/>
        <v>947</v>
      </c>
      <c r="M37" s="27">
        <f t="shared" si="23"/>
        <v>889</v>
      </c>
      <c r="N37" s="629">
        <f t="shared" si="4"/>
        <v>93.8753959873284</v>
      </c>
      <c r="O37" s="27">
        <f t="shared" si="24"/>
        <v>859</v>
      </c>
      <c r="P37" s="27">
        <f t="shared" si="24"/>
        <v>0</v>
      </c>
      <c r="Q37" s="629">
        <f t="shared" si="5"/>
        <v>0</v>
      </c>
      <c r="R37" s="27">
        <f>ROUND(H37/1000,0)</f>
        <v>2623</v>
      </c>
      <c r="S37" s="27">
        <f>ROUND(I37/1000,0)</f>
        <v>0</v>
      </c>
      <c r="T37" s="629">
        <f t="shared" si="7"/>
        <v>0</v>
      </c>
      <c r="U37" s="426"/>
      <c r="V37" s="426"/>
      <c r="W37" s="426"/>
      <c r="X37" s="426"/>
      <c r="Y37" s="426"/>
      <c r="Z37" s="426"/>
      <c r="AA37" s="426"/>
      <c r="AB37" s="426"/>
      <c r="AC37" s="426"/>
      <c r="AD37" s="426"/>
      <c r="AE37" s="426"/>
      <c r="AF37" s="426"/>
      <c r="AG37" s="426"/>
      <c r="AH37" s="426"/>
      <c r="AI37" s="426"/>
      <c r="AJ37" s="426"/>
      <c r="AK37" s="426"/>
      <c r="AL37" s="426"/>
      <c r="AM37" s="426"/>
      <c r="AN37" s="426"/>
      <c r="AO37" s="426"/>
      <c r="AP37" s="426"/>
      <c r="AQ37" s="426"/>
      <c r="AR37" s="426"/>
      <c r="AS37" s="426"/>
      <c r="AT37" s="426"/>
      <c r="AU37" s="426"/>
      <c r="AV37" s="426"/>
      <c r="AW37" s="426"/>
      <c r="AX37" s="426"/>
      <c r="AY37" s="426"/>
      <c r="AZ37" s="426"/>
      <c r="BA37" s="426"/>
      <c r="BB37" s="426"/>
      <c r="BC37" s="426"/>
      <c r="BD37" s="426"/>
      <c r="BE37" s="426"/>
      <c r="BF37" s="426"/>
      <c r="BG37" s="426"/>
      <c r="BH37" s="426"/>
      <c r="BI37" s="426"/>
      <c r="BJ37" s="426"/>
      <c r="BK37" s="426"/>
      <c r="BL37" s="426"/>
      <c r="BM37" s="426"/>
      <c r="BN37" s="426"/>
      <c r="BO37" s="426"/>
      <c r="BP37" s="426"/>
      <c r="BQ37" s="426"/>
      <c r="BR37" s="426"/>
      <c r="BS37" s="426"/>
      <c r="BT37" s="426"/>
      <c r="BU37" s="426"/>
      <c r="BV37" s="426"/>
      <c r="BW37" s="426"/>
      <c r="BX37" s="426"/>
      <c r="BY37" s="426"/>
      <c r="BZ37" s="426"/>
      <c r="CA37" s="426"/>
      <c r="CB37" s="426"/>
      <c r="CC37" s="426"/>
      <c r="CD37" s="426"/>
      <c r="CE37" s="426"/>
      <c r="CF37" s="426"/>
      <c r="CG37" s="426"/>
      <c r="CH37" s="426"/>
      <c r="CI37" s="426"/>
      <c r="CJ37" s="426"/>
      <c r="CK37" s="426"/>
      <c r="CL37" s="426"/>
      <c r="CM37" s="426"/>
      <c r="CN37" s="426"/>
      <c r="CO37" s="426"/>
      <c r="CP37" s="426"/>
      <c r="CQ37" s="426"/>
      <c r="CR37" s="426"/>
      <c r="CS37" s="426"/>
      <c r="CT37" s="426"/>
      <c r="CU37" s="426"/>
      <c r="CV37" s="426"/>
      <c r="CW37" s="426"/>
      <c r="CX37" s="426"/>
      <c r="CY37" s="426"/>
      <c r="CZ37" s="426"/>
      <c r="DA37" s="426"/>
      <c r="DB37" s="426"/>
      <c r="DC37" s="426"/>
    </row>
    <row r="38" spans="1:107" s="427" customFormat="1" ht="12.75">
      <c r="A38" s="432" t="s">
        <v>237</v>
      </c>
      <c r="B38" s="27">
        <v>5278000</v>
      </c>
      <c r="C38" s="27">
        <v>38000</v>
      </c>
      <c r="D38" s="629">
        <f t="shared" si="1"/>
        <v>0.7199696854869269</v>
      </c>
      <c r="E38" s="27">
        <v>5278000</v>
      </c>
      <c r="F38" s="27"/>
      <c r="G38" s="629">
        <f t="shared" si="2"/>
        <v>0</v>
      </c>
      <c r="H38" s="27">
        <v>120000</v>
      </c>
      <c r="I38" s="27"/>
      <c r="J38" s="629">
        <f t="shared" si="6"/>
        <v>0</v>
      </c>
      <c r="K38" s="432" t="s">
        <v>237</v>
      </c>
      <c r="L38" s="27">
        <f t="shared" si="23"/>
        <v>5278</v>
      </c>
      <c r="M38" s="27">
        <f t="shared" si="23"/>
        <v>38</v>
      </c>
      <c r="N38" s="629">
        <f t="shared" si="4"/>
        <v>0.7199696854869269</v>
      </c>
      <c r="O38" s="27">
        <f t="shared" si="24"/>
        <v>5278</v>
      </c>
      <c r="P38" s="27">
        <f t="shared" si="24"/>
        <v>0</v>
      </c>
      <c r="Q38" s="629">
        <f t="shared" si="5"/>
        <v>0</v>
      </c>
      <c r="R38" s="27">
        <f>ROUND(H38/1000,0)</f>
        <v>120</v>
      </c>
      <c r="S38" s="27">
        <f>ROUND(I38/1000,0)</f>
        <v>0</v>
      </c>
      <c r="T38" s="629">
        <f t="shared" si="7"/>
        <v>0</v>
      </c>
      <c r="U38" s="426"/>
      <c r="V38" s="426"/>
      <c r="W38" s="426"/>
      <c r="X38" s="426"/>
      <c r="Y38" s="426"/>
      <c r="Z38" s="426"/>
      <c r="AA38" s="426"/>
      <c r="AB38" s="426"/>
      <c r="AC38" s="426"/>
      <c r="AD38" s="426"/>
      <c r="AE38" s="426"/>
      <c r="AF38" s="426"/>
      <c r="AG38" s="426"/>
      <c r="AH38" s="426"/>
      <c r="AI38" s="426"/>
      <c r="AJ38" s="426"/>
      <c r="AK38" s="426"/>
      <c r="AL38" s="426"/>
      <c r="AM38" s="426"/>
      <c r="AN38" s="426"/>
      <c r="AO38" s="426"/>
      <c r="AP38" s="426"/>
      <c r="AQ38" s="426"/>
      <c r="AR38" s="426"/>
      <c r="AS38" s="426"/>
      <c r="AT38" s="426"/>
      <c r="AU38" s="426"/>
      <c r="AV38" s="426"/>
      <c r="AW38" s="426"/>
      <c r="AX38" s="426"/>
      <c r="AY38" s="426"/>
      <c r="AZ38" s="426"/>
      <c r="BA38" s="426"/>
      <c r="BB38" s="426"/>
      <c r="BC38" s="426"/>
      <c r="BD38" s="426"/>
      <c r="BE38" s="426"/>
      <c r="BF38" s="426"/>
      <c r="BG38" s="426"/>
      <c r="BH38" s="426"/>
      <c r="BI38" s="426"/>
      <c r="BJ38" s="426"/>
      <c r="BK38" s="426"/>
      <c r="BL38" s="426"/>
      <c r="BM38" s="426"/>
      <c r="BN38" s="426"/>
      <c r="BO38" s="426"/>
      <c r="BP38" s="426"/>
      <c r="BQ38" s="426"/>
      <c r="BR38" s="426"/>
      <c r="BS38" s="426"/>
      <c r="BT38" s="426"/>
      <c r="BU38" s="426"/>
      <c r="BV38" s="426"/>
      <c r="BW38" s="426"/>
      <c r="BX38" s="426"/>
      <c r="BY38" s="426"/>
      <c r="BZ38" s="426"/>
      <c r="CA38" s="426"/>
      <c r="CB38" s="426"/>
      <c r="CC38" s="426"/>
      <c r="CD38" s="426"/>
      <c r="CE38" s="426"/>
      <c r="CF38" s="426"/>
      <c r="CG38" s="426"/>
      <c r="CH38" s="426"/>
      <c r="CI38" s="426"/>
      <c r="CJ38" s="426"/>
      <c r="CK38" s="426"/>
      <c r="CL38" s="426"/>
      <c r="CM38" s="426"/>
      <c r="CN38" s="426"/>
      <c r="CO38" s="426"/>
      <c r="CP38" s="426"/>
      <c r="CQ38" s="426"/>
      <c r="CR38" s="426"/>
      <c r="CS38" s="426"/>
      <c r="CT38" s="426"/>
      <c r="CU38" s="426"/>
      <c r="CV38" s="426"/>
      <c r="CW38" s="426"/>
      <c r="CX38" s="426"/>
      <c r="CY38" s="426"/>
      <c r="CZ38" s="426"/>
      <c r="DA38" s="426"/>
      <c r="DB38" s="426"/>
      <c r="DC38" s="426"/>
    </row>
    <row r="39" spans="1:107" s="131" customFormat="1" ht="12.75">
      <c r="A39" s="432" t="s">
        <v>673</v>
      </c>
      <c r="B39" s="27">
        <v>845319</v>
      </c>
      <c r="C39" s="27">
        <v>175800</v>
      </c>
      <c r="D39" s="629">
        <f t="shared" si="1"/>
        <v>20.796882596984098</v>
      </c>
      <c r="E39" s="27"/>
      <c r="F39" s="27"/>
      <c r="G39" s="629" t="e">
        <f t="shared" si="2"/>
        <v>#DIV/0!</v>
      </c>
      <c r="H39" s="27"/>
      <c r="I39" s="27"/>
      <c r="J39" s="631"/>
      <c r="K39" s="432" t="s">
        <v>673</v>
      </c>
      <c r="L39" s="632">
        <f t="shared" si="23"/>
        <v>845</v>
      </c>
      <c r="M39" s="27">
        <f t="shared" si="23"/>
        <v>176</v>
      </c>
      <c r="N39" s="629">
        <f t="shared" si="4"/>
        <v>20.828402366863905</v>
      </c>
      <c r="O39" s="27"/>
      <c r="P39" s="27"/>
      <c r="Q39" s="629"/>
      <c r="R39" s="27"/>
      <c r="S39" s="27"/>
      <c r="T39" s="629"/>
      <c r="U39" s="426"/>
      <c r="V39" s="426"/>
      <c r="W39" s="426"/>
      <c r="X39" s="426"/>
      <c r="Y39" s="426"/>
      <c r="Z39" s="426"/>
      <c r="AA39" s="426"/>
      <c r="AB39" s="426"/>
      <c r="AC39" s="426"/>
      <c r="AD39" s="426"/>
      <c r="AE39" s="426"/>
      <c r="AF39" s="426"/>
      <c r="AG39" s="426"/>
      <c r="AH39" s="426"/>
      <c r="AI39" s="426"/>
      <c r="AJ39" s="426"/>
      <c r="AK39" s="426"/>
      <c r="AL39" s="426"/>
      <c r="AM39" s="426"/>
      <c r="AN39" s="426"/>
      <c r="AO39" s="426"/>
      <c r="AP39" s="426"/>
      <c r="AQ39" s="426"/>
      <c r="AR39" s="426"/>
      <c r="AS39" s="426"/>
      <c r="AT39" s="426"/>
      <c r="AU39" s="426"/>
      <c r="AV39" s="426"/>
      <c r="AW39" s="426"/>
      <c r="AX39" s="426"/>
      <c r="AY39" s="426"/>
      <c r="AZ39" s="426"/>
      <c r="BA39" s="426"/>
      <c r="BB39" s="426"/>
      <c r="BC39" s="426"/>
      <c r="BD39" s="426"/>
      <c r="BE39" s="426"/>
      <c r="BF39" s="426"/>
      <c r="BG39" s="426"/>
      <c r="BH39" s="426"/>
      <c r="BI39" s="426"/>
      <c r="BJ39" s="426"/>
      <c r="BK39" s="426"/>
      <c r="BL39" s="426"/>
      <c r="BM39" s="426"/>
      <c r="BN39" s="426"/>
      <c r="BO39" s="426"/>
      <c r="BP39" s="426"/>
      <c r="BQ39" s="426"/>
      <c r="BR39" s="426"/>
      <c r="BS39" s="426"/>
      <c r="BT39" s="426"/>
      <c r="BU39" s="426"/>
      <c r="BV39" s="426"/>
      <c r="BW39" s="426"/>
      <c r="BX39" s="426"/>
      <c r="BY39" s="426"/>
      <c r="BZ39" s="426"/>
      <c r="CA39" s="426"/>
      <c r="CB39" s="426"/>
      <c r="CC39" s="426"/>
      <c r="CD39" s="426"/>
      <c r="CE39" s="426"/>
      <c r="CF39" s="426"/>
      <c r="CG39" s="426"/>
      <c r="CH39" s="426"/>
      <c r="CI39" s="426"/>
      <c r="CJ39" s="426"/>
      <c r="CK39" s="426"/>
      <c r="CL39" s="426"/>
      <c r="CM39" s="426"/>
      <c r="CN39" s="426"/>
      <c r="CO39" s="426"/>
      <c r="CP39" s="426"/>
      <c r="CQ39" s="426"/>
      <c r="CR39" s="426"/>
      <c r="CS39" s="426"/>
      <c r="CT39" s="426"/>
      <c r="CU39" s="426"/>
      <c r="CV39" s="426"/>
      <c r="CW39" s="426"/>
      <c r="CX39" s="426"/>
      <c r="CY39" s="426"/>
      <c r="CZ39" s="426"/>
      <c r="DA39" s="426"/>
      <c r="DB39" s="426"/>
      <c r="DC39" s="426"/>
    </row>
    <row r="40" spans="1:20" ht="12.75">
      <c r="A40" s="74" t="s">
        <v>995</v>
      </c>
      <c r="B40" s="430">
        <f>SUM(B41:B45)</f>
        <v>13991372</v>
      </c>
      <c r="C40" s="430">
        <f>SUM(C41:C45)</f>
        <v>761662</v>
      </c>
      <c r="D40" s="628">
        <f t="shared" si="1"/>
        <v>5.443797791953498</v>
      </c>
      <c r="E40" s="430">
        <f>SUM(E41:E45)</f>
        <v>11569875</v>
      </c>
      <c r="F40" s="430">
        <f>SUM(F41:F45)</f>
        <v>0</v>
      </c>
      <c r="G40" s="628">
        <f t="shared" si="2"/>
        <v>0</v>
      </c>
      <c r="H40" s="430">
        <f>SUM(H41:H45)</f>
        <v>71576564</v>
      </c>
      <c r="I40" s="430">
        <f>SUM(I41:I45)</f>
        <v>0</v>
      </c>
      <c r="J40" s="628">
        <f t="shared" si="6"/>
        <v>0</v>
      </c>
      <c r="K40" s="633" t="s">
        <v>995</v>
      </c>
      <c r="L40" s="430">
        <f>SUM(L41:L45)</f>
        <v>13991</v>
      </c>
      <c r="M40" s="430">
        <f>SUM(M41:M45)</f>
        <v>762</v>
      </c>
      <c r="N40" s="628">
        <f t="shared" si="4"/>
        <v>5.44635837323994</v>
      </c>
      <c r="O40" s="430">
        <f>SUM(O41:O45)</f>
        <v>11570</v>
      </c>
      <c r="P40" s="430">
        <f>SUM(P41:P45)</f>
        <v>0</v>
      </c>
      <c r="Q40" s="628">
        <f t="shared" si="5"/>
        <v>0</v>
      </c>
      <c r="R40" s="430">
        <f>SUM(R41:R45)</f>
        <v>71576</v>
      </c>
      <c r="S40" s="430">
        <f>SUM(S41:S45)</f>
        <v>0</v>
      </c>
      <c r="T40" s="628">
        <f t="shared" si="7"/>
        <v>0</v>
      </c>
    </row>
    <row r="41" spans="1:107" s="427" customFormat="1" ht="12.75">
      <c r="A41" s="432" t="s">
        <v>1059</v>
      </c>
      <c r="B41" s="27">
        <v>17200</v>
      </c>
      <c r="C41" s="27"/>
      <c r="D41" s="629">
        <f t="shared" si="1"/>
        <v>0</v>
      </c>
      <c r="E41" s="27">
        <v>7400</v>
      </c>
      <c r="F41" s="27"/>
      <c r="G41" s="629">
        <f t="shared" si="2"/>
        <v>0</v>
      </c>
      <c r="H41" s="27"/>
      <c r="I41" s="27"/>
      <c r="J41" s="629" t="e">
        <f t="shared" si="6"/>
        <v>#DIV/0!</v>
      </c>
      <c r="K41" s="432" t="s">
        <v>1059</v>
      </c>
      <c r="L41" s="27">
        <f aca="true" t="shared" si="25" ref="L41:M44">ROUND(B41/1000,0)</f>
        <v>17</v>
      </c>
      <c r="M41" s="27">
        <f t="shared" si="25"/>
        <v>0</v>
      </c>
      <c r="N41" s="629">
        <f t="shared" si="4"/>
        <v>0</v>
      </c>
      <c r="O41" s="27">
        <f>ROUND(E41/1000,0)</f>
        <v>7</v>
      </c>
      <c r="P41" s="27"/>
      <c r="Q41" s="629"/>
      <c r="R41" s="27"/>
      <c r="S41" s="27"/>
      <c r="T41" s="629"/>
      <c r="U41" s="426"/>
      <c r="V41" s="426"/>
      <c r="W41" s="426"/>
      <c r="X41" s="426"/>
      <c r="Y41" s="426"/>
      <c r="Z41" s="426"/>
      <c r="AA41" s="426"/>
      <c r="AB41" s="426"/>
      <c r="AC41" s="426"/>
      <c r="AD41" s="426"/>
      <c r="AE41" s="426"/>
      <c r="AF41" s="426"/>
      <c r="AG41" s="426"/>
      <c r="AH41" s="426"/>
      <c r="AI41" s="426"/>
      <c r="AJ41" s="426"/>
      <c r="AK41" s="426"/>
      <c r="AL41" s="426"/>
      <c r="AM41" s="426"/>
      <c r="AN41" s="426"/>
      <c r="AO41" s="426"/>
      <c r="AP41" s="426"/>
      <c r="AQ41" s="426"/>
      <c r="AR41" s="426"/>
      <c r="AS41" s="426"/>
      <c r="AT41" s="426"/>
      <c r="AU41" s="426"/>
      <c r="AV41" s="426"/>
      <c r="AW41" s="426"/>
      <c r="AX41" s="426"/>
      <c r="AY41" s="426"/>
      <c r="AZ41" s="426"/>
      <c r="BA41" s="426"/>
      <c r="BB41" s="426"/>
      <c r="BC41" s="426"/>
      <c r="BD41" s="426"/>
      <c r="BE41" s="426"/>
      <c r="BF41" s="426"/>
      <c r="BG41" s="426"/>
      <c r="BH41" s="426"/>
      <c r="BI41" s="426"/>
      <c r="BJ41" s="426"/>
      <c r="BK41" s="426"/>
      <c r="BL41" s="426"/>
      <c r="BM41" s="426"/>
      <c r="BN41" s="426"/>
      <c r="BO41" s="426"/>
      <c r="BP41" s="426"/>
      <c r="BQ41" s="426"/>
      <c r="BR41" s="426"/>
      <c r="BS41" s="426"/>
      <c r="BT41" s="426"/>
      <c r="BU41" s="426"/>
      <c r="BV41" s="426"/>
      <c r="BW41" s="426"/>
      <c r="BX41" s="426"/>
      <c r="BY41" s="426"/>
      <c r="BZ41" s="426"/>
      <c r="CA41" s="426"/>
      <c r="CB41" s="426"/>
      <c r="CC41" s="426"/>
      <c r="CD41" s="426"/>
      <c r="CE41" s="426"/>
      <c r="CF41" s="426"/>
      <c r="CG41" s="426"/>
      <c r="CH41" s="426"/>
      <c r="CI41" s="426"/>
      <c r="CJ41" s="426"/>
      <c r="CK41" s="426"/>
      <c r="CL41" s="426"/>
      <c r="CM41" s="426"/>
      <c r="CN41" s="426"/>
      <c r="CO41" s="426"/>
      <c r="CP41" s="426"/>
      <c r="CQ41" s="426"/>
      <c r="CR41" s="426"/>
      <c r="CS41" s="426"/>
      <c r="CT41" s="426"/>
      <c r="CU41" s="426"/>
      <c r="CV41" s="426"/>
      <c r="CW41" s="426"/>
      <c r="CX41" s="426"/>
      <c r="CY41" s="426"/>
      <c r="CZ41" s="426"/>
      <c r="DA41" s="426"/>
      <c r="DB41" s="426"/>
      <c r="DC41" s="426"/>
    </row>
    <row r="42" spans="1:107" s="427" customFormat="1" ht="12.75">
      <c r="A42" s="432" t="s">
        <v>671</v>
      </c>
      <c r="B42" s="27">
        <v>26680</v>
      </c>
      <c r="C42" s="27"/>
      <c r="D42" s="629">
        <f t="shared" si="1"/>
        <v>0</v>
      </c>
      <c r="E42" s="27">
        <v>26680</v>
      </c>
      <c r="F42" s="27"/>
      <c r="G42" s="629">
        <f t="shared" si="2"/>
        <v>0</v>
      </c>
      <c r="H42" s="27"/>
      <c r="I42" s="27"/>
      <c r="J42" s="629" t="e">
        <f t="shared" si="6"/>
        <v>#DIV/0!</v>
      </c>
      <c r="K42" s="432" t="s">
        <v>671</v>
      </c>
      <c r="L42" s="27">
        <f t="shared" si="25"/>
        <v>27</v>
      </c>
      <c r="M42" s="27">
        <f t="shared" si="25"/>
        <v>0</v>
      </c>
      <c r="N42" s="629">
        <f t="shared" si="4"/>
        <v>0</v>
      </c>
      <c r="O42" s="27">
        <f aca="true" t="shared" si="26" ref="O42:P44">ROUND(E42/1000,0)</f>
        <v>27</v>
      </c>
      <c r="P42" s="27"/>
      <c r="Q42" s="629"/>
      <c r="R42" s="27"/>
      <c r="S42" s="27"/>
      <c r="T42" s="629"/>
      <c r="U42" s="426"/>
      <c r="V42" s="426"/>
      <c r="W42" s="426"/>
      <c r="X42" s="426"/>
      <c r="Y42" s="426"/>
      <c r="Z42" s="426"/>
      <c r="AA42" s="426"/>
      <c r="AB42" s="426"/>
      <c r="AC42" s="426"/>
      <c r="AD42" s="426"/>
      <c r="AE42" s="426"/>
      <c r="AF42" s="426"/>
      <c r="AG42" s="426"/>
      <c r="AH42" s="426"/>
      <c r="AI42" s="426"/>
      <c r="AJ42" s="426"/>
      <c r="AK42" s="426"/>
      <c r="AL42" s="426"/>
      <c r="AM42" s="426"/>
      <c r="AN42" s="426"/>
      <c r="AO42" s="426"/>
      <c r="AP42" s="426"/>
      <c r="AQ42" s="426"/>
      <c r="AR42" s="426"/>
      <c r="AS42" s="426"/>
      <c r="AT42" s="426"/>
      <c r="AU42" s="426"/>
      <c r="AV42" s="426"/>
      <c r="AW42" s="426"/>
      <c r="AX42" s="426"/>
      <c r="AY42" s="426"/>
      <c r="AZ42" s="426"/>
      <c r="BA42" s="426"/>
      <c r="BB42" s="426"/>
      <c r="BC42" s="426"/>
      <c r="BD42" s="426"/>
      <c r="BE42" s="426"/>
      <c r="BF42" s="426"/>
      <c r="BG42" s="426"/>
      <c r="BH42" s="426"/>
      <c r="BI42" s="426"/>
      <c r="BJ42" s="426"/>
      <c r="BK42" s="426"/>
      <c r="BL42" s="426"/>
      <c r="BM42" s="426"/>
      <c r="BN42" s="426"/>
      <c r="BO42" s="426"/>
      <c r="BP42" s="426"/>
      <c r="BQ42" s="426"/>
      <c r="BR42" s="426"/>
      <c r="BS42" s="426"/>
      <c r="BT42" s="426"/>
      <c r="BU42" s="426"/>
      <c r="BV42" s="426"/>
      <c r="BW42" s="426"/>
      <c r="BX42" s="426"/>
      <c r="BY42" s="426"/>
      <c r="BZ42" s="426"/>
      <c r="CA42" s="426"/>
      <c r="CB42" s="426"/>
      <c r="CC42" s="426"/>
      <c r="CD42" s="426"/>
      <c r="CE42" s="426"/>
      <c r="CF42" s="426"/>
      <c r="CG42" s="426"/>
      <c r="CH42" s="426"/>
      <c r="CI42" s="426"/>
      <c r="CJ42" s="426"/>
      <c r="CK42" s="426"/>
      <c r="CL42" s="426"/>
      <c r="CM42" s="426"/>
      <c r="CN42" s="426"/>
      <c r="CO42" s="426"/>
      <c r="CP42" s="426"/>
      <c r="CQ42" s="426"/>
      <c r="CR42" s="426"/>
      <c r="CS42" s="426"/>
      <c r="CT42" s="426"/>
      <c r="CU42" s="426"/>
      <c r="CV42" s="426"/>
      <c r="CW42" s="426"/>
      <c r="CX42" s="426"/>
      <c r="CY42" s="426"/>
      <c r="CZ42" s="426"/>
      <c r="DA42" s="426"/>
      <c r="DB42" s="426"/>
      <c r="DC42" s="426"/>
    </row>
    <row r="43" spans="1:107" s="427" customFormat="1" ht="12.75">
      <c r="A43" s="432" t="s">
        <v>237</v>
      </c>
      <c r="B43" s="27">
        <v>10849457</v>
      </c>
      <c r="C43" s="27">
        <v>761662</v>
      </c>
      <c r="D43" s="629">
        <f t="shared" si="1"/>
        <v>7.020277604676436</v>
      </c>
      <c r="E43" s="27">
        <v>9882457</v>
      </c>
      <c r="F43" s="27"/>
      <c r="G43" s="629">
        <f t="shared" si="2"/>
        <v>0</v>
      </c>
      <c r="H43" s="27">
        <v>67534464</v>
      </c>
      <c r="I43" s="27"/>
      <c r="J43" s="629">
        <f t="shared" si="6"/>
        <v>0</v>
      </c>
      <c r="K43" s="432" t="s">
        <v>237</v>
      </c>
      <c r="L43" s="27">
        <f t="shared" si="25"/>
        <v>10849</v>
      </c>
      <c r="M43" s="27">
        <f>ROUND(C43/1000,0)</f>
        <v>762</v>
      </c>
      <c r="N43" s="629">
        <f t="shared" si="4"/>
        <v>7.023688819246013</v>
      </c>
      <c r="O43" s="27">
        <f t="shared" si="26"/>
        <v>9882</v>
      </c>
      <c r="P43" s="27">
        <f>ROUND(F43/1000,0)</f>
        <v>0</v>
      </c>
      <c r="Q43" s="629">
        <f t="shared" si="5"/>
        <v>0</v>
      </c>
      <c r="R43" s="27">
        <f>ROUND(H43/1000,0)</f>
        <v>67534</v>
      </c>
      <c r="S43" s="27">
        <f>ROUND(I43/1000,0)</f>
        <v>0</v>
      </c>
      <c r="T43" s="629">
        <f t="shared" si="7"/>
        <v>0</v>
      </c>
      <c r="U43" s="426"/>
      <c r="V43" s="426"/>
      <c r="W43" s="426"/>
      <c r="X43" s="426"/>
      <c r="Y43" s="426"/>
      <c r="Z43" s="426"/>
      <c r="AA43" s="426"/>
      <c r="AB43" s="426"/>
      <c r="AC43" s="426"/>
      <c r="AD43" s="426"/>
      <c r="AE43" s="426"/>
      <c r="AF43" s="426"/>
      <c r="AG43" s="426"/>
      <c r="AH43" s="426"/>
      <c r="AI43" s="426"/>
      <c r="AJ43" s="426"/>
      <c r="AK43" s="426"/>
      <c r="AL43" s="426"/>
      <c r="AM43" s="426"/>
      <c r="AN43" s="426"/>
      <c r="AO43" s="426"/>
      <c r="AP43" s="426"/>
      <c r="AQ43" s="426"/>
      <c r="AR43" s="426"/>
      <c r="AS43" s="426"/>
      <c r="AT43" s="426"/>
      <c r="AU43" s="426"/>
      <c r="AV43" s="426"/>
      <c r="AW43" s="426"/>
      <c r="AX43" s="426"/>
      <c r="AY43" s="426"/>
      <c r="AZ43" s="426"/>
      <c r="BA43" s="426"/>
      <c r="BB43" s="426"/>
      <c r="BC43" s="426"/>
      <c r="BD43" s="426"/>
      <c r="BE43" s="426"/>
      <c r="BF43" s="426"/>
      <c r="BG43" s="426"/>
      <c r="BH43" s="426"/>
      <c r="BI43" s="426"/>
      <c r="BJ43" s="426"/>
      <c r="BK43" s="426"/>
      <c r="BL43" s="426"/>
      <c r="BM43" s="426"/>
      <c r="BN43" s="426"/>
      <c r="BO43" s="426"/>
      <c r="BP43" s="426"/>
      <c r="BQ43" s="426"/>
      <c r="BR43" s="426"/>
      <c r="BS43" s="426"/>
      <c r="BT43" s="426"/>
      <c r="BU43" s="426"/>
      <c r="BV43" s="426"/>
      <c r="BW43" s="426"/>
      <c r="BX43" s="426"/>
      <c r="BY43" s="426"/>
      <c r="BZ43" s="426"/>
      <c r="CA43" s="426"/>
      <c r="CB43" s="426"/>
      <c r="CC43" s="426"/>
      <c r="CD43" s="426"/>
      <c r="CE43" s="426"/>
      <c r="CF43" s="426"/>
      <c r="CG43" s="426"/>
      <c r="CH43" s="426"/>
      <c r="CI43" s="426"/>
      <c r="CJ43" s="426"/>
      <c r="CK43" s="426"/>
      <c r="CL43" s="426"/>
      <c r="CM43" s="426"/>
      <c r="CN43" s="426"/>
      <c r="CO43" s="426"/>
      <c r="CP43" s="426"/>
      <c r="CQ43" s="426"/>
      <c r="CR43" s="426"/>
      <c r="CS43" s="426"/>
      <c r="CT43" s="426"/>
      <c r="CU43" s="426"/>
      <c r="CV43" s="426"/>
      <c r="CW43" s="426"/>
      <c r="CX43" s="426"/>
      <c r="CY43" s="426"/>
      <c r="CZ43" s="426"/>
      <c r="DA43" s="426"/>
      <c r="DB43" s="426"/>
      <c r="DC43" s="426"/>
    </row>
    <row r="44" spans="1:107" s="427" customFormat="1" ht="12.75">
      <c r="A44" s="432" t="s">
        <v>672</v>
      </c>
      <c r="B44" s="27">
        <v>249235</v>
      </c>
      <c r="C44" s="27"/>
      <c r="D44" s="629">
        <f t="shared" si="1"/>
        <v>0</v>
      </c>
      <c r="E44" s="27">
        <v>145838</v>
      </c>
      <c r="F44" s="27"/>
      <c r="G44" s="629">
        <f t="shared" si="2"/>
        <v>0</v>
      </c>
      <c r="H44" s="27"/>
      <c r="I44" s="27"/>
      <c r="J44" s="629" t="e">
        <f t="shared" si="6"/>
        <v>#DIV/0!</v>
      </c>
      <c r="K44" s="432" t="s">
        <v>672</v>
      </c>
      <c r="L44" s="27">
        <f t="shared" si="25"/>
        <v>249</v>
      </c>
      <c r="M44" s="27">
        <f t="shared" si="25"/>
        <v>0</v>
      </c>
      <c r="N44" s="629">
        <f t="shared" si="4"/>
        <v>0</v>
      </c>
      <c r="O44" s="27">
        <f t="shared" si="26"/>
        <v>146</v>
      </c>
      <c r="P44" s="27">
        <f t="shared" si="26"/>
        <v>0</v>
      </c>
      <c r="Q44" s="629">
        <f t="shared" si="5"/>
        <v>0</v>
      </c>
      <c r="R44" s="27"/>
      <c r="S44" s="27"/>
      <c r="T44" s="629"/>
      <c r="U44" s="426"/>
      <c r="V44" s="426"/>
      <c r="W44" s="426"/>
      <c r="X44" s="426"/>
      <c r="Y44" s="426"/>
      <c r="Z44" s="426"/>
      <c r="AA44" s="426"/>
      <c r="AB44" s="426"/>
      <c r="AC44" s="426"/>
      <c r="AD44" s="426"/>
      <c r="AE44" s="426"/>
      <c r="AF44" s="426"/>
      <c r="AG44" s="426"/>
      <c r="AH44" s="426"/>
      <c r="AI44" s="426"/>
      <c r="AJ44" s="426"/>
      <c r="AK44" s="426"/>
      <c r="AL44" s="426"/>
      <c r="AM44" s="426"/>
      <c r="AN44" s="426"/>
      <c r="AO44" s="426"/>
      <c r="AP44" s="426"/>
      <c r="AQ44" s="426"/>
      <c r="AR44" s="426"/>
      <c r="AS44" s="426"/>
      <c r="AT44" s="426"/>
      <c r="AU44" s="426"/>
      <c r="AV44" s="426"/>
      <c r="AW44" s="426"/>
      <c r="AX44" s="426"/>
      <c r="AY44" s="426"/>
      <c r="AZ44" s="426"/>
      <c r="BA44" s="426"/>
      <c r="BB44" s="426"/>
      <c r="BC44" s="426"/>
      <c r="BD44" s="426"/>
      <c r="BE44" s="426"/>
      <c r="BF44" s="426"/>
      <c r="BG44" s="426"/>
      <c r="BH44" s="426"/>
      <c r="BI44" s="426"/>
      <c r="BJ44" s="426"/>
      <c r="BK44" s="426"/>
      <c r="BL44" s="426"/>
      <c r="BM44" s="426"/>
      <c r="BN44" s="426"/>
      <c r="BO44" s="426"/>
      <c r="BP44" s="426"/>
      <c r="BQ44" s="426"/>
      <c r="BR44" s="426"/>
      <c r="BS44" s="426"/>
      <c r="BT44" s="426"/>
      <c r="BU44" s="426"/>
      <c r="BV44" s="426"/>
      <c r="BW44" s="426"/>
      <c r="BX44" s="426"/>
      <c r="BY44" s="426"/>
      <c r="BZ44" s="426"/>
      <c r="CA44" s="426"/>
      <c r="CB44" s="426"/>
      <c r="CC44" s="426"/>
      <c r="CD44" s="426"/>
      <c r="CE44" s="426"/>
      <c r="CF44" s="426"/>
      <c r="CG44" s="426"/>
      <c r="CH44" s="426"/>
      <c r="CI44" s="426"/>
      <c r="CJ44" s="426"/>
      <c r="CK44" s="426"/>
      <c r="CL44" s="426"/>
      <c r="CM44" s="426"/>
      <c r="CN44" s="426"/>
      <c r="CO44" s="426"/>
      <c r="CP44" s="426"/>
      <c r="CQ44" s="426"/>
      <c r="CR44" s="426"/>
      <c r="CS44" s="426"/>
      <c r="CT44" s="426"/>
      <c r="CU44" s="426"/>
      <c r="CV44" s="426"/>
      <c r="CW44" s="426"/>
      <c r="CX44" s="426"/>
      <c r="CY44" s="426"/>
      <c r="CZ44" s="426"/>
      <c r="DA44" s="426"/>
      <c r="DB44" s="426"/>
      <c r="DC44" s="426"/>
    </row>
    <row r="45" spans="1:107" s="427" customFormat="1" ht="12.75">
      <c r="A45" s="432" t="s">
        <v>673</v>
      </c>
      <c r="B45" s="27">
        <v>2848800</v>
      </c>
      <c r="C45" s="27"/>
      <c r="D45" s="629">
        <f t="shared" si="1"/>
        <v>0</v>
      </c>
      <c r="E45" s="27">
        <v>1507500</v>
      </c>
      <c r="F45" s="27"/>
      <c r="G45" s="629">
        <f t="shared" si="2"/>
        <v>0</v>
      </c>
      <c r="H45" s="27">
        <v>4042100</v>
      </c>
      <c r="I45" s="27"/>
      <c r="J45" s="629">
        <f t="shared" si="6"/>
        <v>0</v>
      </c>
      <c r="K45" s="432" t="s">
        <v>673</v>
      </c>
      <c r="L45" s="27">
        <f>ROUND(B45/1000,0)</f>
        <v>2849</v>
      </c>
      <c r="M45" s="27">
        <f>ROUND(C45/1000,0)</f>
        <v>0</v>
      </c>
      <c r="N45" s="629">
        <f>M45/L45*100</f>
        <v>0</v>
      </c>
      <c r="O45" s="27">
        <f>ROUND(E45/1000,0)</f>
        <v>1508</v>
      </c>
      <c r="P45" s="27">
        <f>ROUND(F45/1000,0)</f>
        <v>0</v>
      </c>
      <c r="Q45" s="629">
        <f>P45/O45*100</f>
        <v>0</v>
      </c>
      <c r="R45" s="27">
        <f>ROUND(H45/1000,0)</f>
        <v>4042</v>
      </c>
      <c r="S45" s="27">
        <f>ROUND(I45/1000,0)</f>
        <v>0</v>
      </c>
      <c r="T45" s="629">
        <f>S45/R45*100</f>
        <v>0</v>
      </c>
      <c r="U45" s="426"/>
      <c r="V45" s="426"/>
      <c r="W45" s="426"/>
      <c r="X45" s="426"/>
      <c r="Y45" s="426"/>
      <c r="Z45" s="426"/>
      <c r="AA45" s="426"/>
      <c r="AB45" s="426"/>
      <c r="AC45" s="426"/>
      <c r="AD45" s="426"/>
      <c r="AE45" s="426"/>
      <c r="AF45" s="426"/>
      <c r="AG45" s="426"/>
      <c r="AH45" s="426"/>
      <c r="AI45" s="426"/>
      <c r="AJ45" s="426"/>
      <c r="AK45" s="426"/>
      <c r="AL45" s="426"/>
      <c r="AM45" s="426"/>
      <c r="AN45" s="426"/>
      <c r="AO45" s="426"/>
      <c r="AP45" s="426"/>
      <c r="AQ45" s="426"/>
      <c r="AR45" s="426"/>
      <c r="AS45" s="426"/>
      <c r="AT45" s="426"/>
      <c r="AU45" s="426"/>
      <c r="AV45" s="426"/>
      <c r="AW45" s="426"/>
      <c r="AX45" s="426"/>
      <c r="AY45" s="426"/>
      <c r="AZ45" s="426"/>
      <c r="BA45" s="426"/>
      <c r="BB45" s="426"/>
      <c r="BC45" s="426"/>
      <c r="BD45" s="426"/>
      <c r="BE45" s="426"/>
      <c r="BF45" s="426"/>
      <c r="BG45" s="426"/>
      <c r="BH45" s="426"/>
      <c r="BI45" s="426"/>
      <c r="BJ45" s="426"/>
      <c r="BK45" s="426"/>
      <c r="BL45" s="426"/>
      <c r="BM45" s="426"/>
      <c r="BN45" s="426"/>
      <c r="BO45" s="426"/>
      <c r="BP45" s="426"/>
      <c r="BQ45" s="426"/>
      <c r="BR45" s="426"/>
      <c r="BS45" s="426"/>
      <c r="BT45" s="426"/>
      <c r="BU45" s="426"/>
      <c r="BV45" s="426"/>
      <c r="BW45" s="426"/>
      <c r="BX45" s="426"/>
      <c r="BY45" s="426"/>
      <c r="BZ45" s="426"/>
      <c r="CA45" s="426"/>
      <c r="CB45" s="426"/>
      <c r="CC45" s="426"/>
      <c r="CD45" s="426"/>
      <c r="CE45" s="426"/>
      <c r="CF45" s="426"/>
      <c r="CG45" s="426"/>
      <c r="CH45" s="426"/>
      <c r="CI45" s="426"/>
      <c r="CJ45" s="426"/>
      <c r="CK45" s="426"/>
      <c r="CL45" s="426"/>
      <c r="CM45" s="426"/>
      <c r="CN45" s="426"/>
      <c r="CO45" s="426"/>
      <c r="CP45" s="426"/>
      <c r="CQ45" s="426"/>
      <c r="CR45" s="426"/>
      <c r="CS45" s="426"/>
      <c r="CT45" s="426"/>
      <c r="CU45" s="426"/>
      <c r="CV45" s="426"/>
      <c r="CW45" s="426"/>
      <c r="CX45" s="426"/>
      <c r="CY45" s="426"/>
      <c r="CZ45" s="426"/>
      <c r="DA45" s="426"/>
      <c r="DB45" s="426"/>
      <c r="DC45" s="426"/>
    </row>
    <row r="46" spans="1:20" ht="12.75">
      <c r="A46" s="74" t="s">
        <v>997</v>
      </c>
      <c r="B46" s="430">
        <f>SUM(B47:B50)</f>
        <v>9394198</v>
      </c>
      <c r="C46" s="430">
        <f>SUM(C47:C50)</f>
        <v>0</v>
      </c>
      <c r="D46" s="628">
        <f t="shared" si="1"/>
        <v>0</v>
      </c>
      <c r="E46" s="430">
        <f>SUM(E47:E50)</f>
        <v>6755677</v>
      </c>
      <c r="F46" s="430">
        <f>SUM(F47:F50)</f>
        <v>0</v>
      </c>
      <c r="G46" s="628">
        <f t="shared" si="2"/>
        <v>0</v>
      </c>
      <c r="H46" s="430">
        <f>SUM(H47:H50)</f>
        <v>22381290</v>
      </c>
      <c r="I46" s="430">
        <f>SUM(I47:I50)</f>
        <v>0</v>
      </c>
      <c r="J46" s="628">
        <f t="shared" si="6"/>
        <v>0</v>
      </c>
      <c r="K46" s="74" t="s">
        <v>997</v>
      </c>
      <c r="L46" s="430">
        <f>SUM(L47:L50)</f>
        <v>9394</v>
      </c>
      <c r="M46" s="430">
        <f>SUM(M47:M50)</f>
        <v>0</v>
      </c>
      <c r="N46" s="628">
        <f t="shared" si="4"/>
        <v>0</v>
      </c>
      <c r="O46" s="430">
        <f>SUM(O47:O50)</f>
        <v>6755</v>
      </c>
      <c r="P46" s="430">
        <f>SUM(P47:P50)</f>
        <v>0</v>
      </c>
      <c r="Q46" s="628">
        <f t="shared" si="5"/>
        <v>0</v>
      </c>
      <c r="R46" s="430">
        <f>SUM(R47:R50)</f>
        <v>22381</v>
      </c>
      <c r="S46" s="430">
        <f>SUM(S47:S50)</f>
        <v>0</v>
      </c>
      <c r="T46" s="628">
        <f t="shared" si="7"/>
        <v>0</v>
      </c>
    </row>
    <row r="47" spans="1:107" s="427" customFormat="1" ht="12.75">
      <c r="A47" s="432" t="s">
        <v>671</v>
      </c>
      <c r="B47" s="27">
        <v>2873860</v>
      </c>
      <c r="C47" s="27"/>
      <c r="D47" s="629">
        <f t="shared" si="1"/>
        <v>0</v>
      </c>
      <c r="E47" s="27">
        <v>1813595</v>
      </c>
      <c r="F47" s="27"/>
      <c r="G47" s="629">
        <f t="shared" si="2"/>
        <v>0</v>
      </c>
      <c r="H47" s="27">
        <v>5623290</v>
      </c>
      <c r="I47" s="27"/>
      <c r="J47" s="629">
        <f t="shared" si="6"/>
        <v>0</v>
      </c>
      <c r="K47" s="432" t="s">
        <v>671</v>
      </c>
      <c r="L47" s="27">
        <f aca="true" t="shared" si="27" ref="L47:M50">ROUND(B47/1000,0)</f>
        <v>2874</v>
      </c>
      <c r="M47" s="27">
        <f t="shared" si="27"/>
        <v>0</v>
      </c>
      <c r="N47" s="629">
        <f t="shared" si="4"/>
        <v>0</v>
      </c>
      <c r="O47" s="27">
        <f>ROUND(E47/1000,0)-1</f>
        <v>1813</v>
      </c>
      <c r="P47" s="27">
        <f aca="true" t="shared" si="28" ref="O47:P49">ROUND(F47/1000,0)</f>
        <v>0</v>
      </c>
      <c r="Q47" s="629">
        <f t="shared" si="5"/>
        <v>0</v>
      </c>
      <c r="R47" s="27">
        <f>ROUND(H47/1000,0)</f>
        <v>5623</v>
      </c>
      <c r="S47" s="27">
        <f>ROUND(I47/1000,0)</f>
        <v>0</v>
      </c>
      <c r="T47" s="629">
        <f t="shared" si="7"/>
        <v>0</v>
      </c>
      <c r="U47" s="426"/>
      <c r="V47" s="426"/>
      <c r="W47" s="426"/>
      <c r="X47" s="426"/>
      <c r="Y47" s="426"/>
      <c r="Z47" s="426"/>
      <c r="AA47" s="426"/>
      <c r="AB47" s="426"/>
      <c r="AC47" s="426"/>
      <c r="AD47" s="426"/>
      <c r="AE47" s="426"/>
      <c r="AF47" s="426"/>
      <c r="AG47" s="426"/>
      <c r="AH47" s="426"/>
      <c r="AI47" s="426"/>
      <c r="AJ47" s="426"/>
      <c r="AK47" s="426"/>
      <c r="AL47" s="426"/>
      <c r="AM47" s="426"/>
      <c r="AN47" s="426"/>
      <c r="AO47" s="426"/>
      <c r="AP47" s="426"/>
      <c r="AQ47" s="426"/>
      <c r="AR47" s="426"/>
      <c r="AS47" s="426"/>
      <c r="AT47" s="426"/>
      <c r="AU47" s="426"/>
      <c r="AV47" s="426"/>
      <c r="AW47" s="426"/>
      <c r="AX47" s="426"/>
      <c r="AY47" s="426"/>
      <c r="AZ47" s="426"/>
      <c r="BA47" s="426"/>
      <c r="BB47" s="426"/>
      <c r="BC47" s="426"/>
      <c r="BD47" s="426"/>
      <c r="BE47" s="426"/>
      <c r="BF47" s="426"/>
      <c r="BG47" s="426"/>
      <c r="BH47" s="426"/>
      <c r="BI47" s="426"/>
      <c r="BJ47" s="426"/>
      <c r="BK47" s="426"/>
      <c r="BL47" s="426"/>
      <c r="BM47" s="426"/>
      <c r="BN47" s="426"/>
      <c r="BO47" s="426"/>
      <c r="BP47" s="426"/>
      <c r="BQ47" s="426"/>
      <c r="BR47" s="426"/>
      <c r="BS47" s="426"/>
      <c r="BT47" s="426"/>
      <c r="BU47" s="426"/>
      <c r="BV47" s="426"/>
      <c r="BW47" s="426"/>
      <c r="BX47" s="426"/>
      <c r="BY47" s="426"/>
      <c r="BZ47" s="426"/>
      <c r="CA47" s="426"/>
      <c r="CB47" s="426"/>
      <c r="CC47" s="426"/>
      <c r="CD47" s="426"/>
      <c r="CE47" s="426"/>
      <c r="CF47" s="426"/>
      <c r="CG47" s="426"/>
      <c r="CH47" s="426"/>
      <c r="CI47" s="426"/>
      <c r="CJ47" s="426"/>
      <c r="CK47" s="426"/>
      <c r="CL47" s="426"/>
      <c r="CM47" s="426"/>
      <c r="CN47" s="426"/>
      <c r="CO47" s="426"/>
      <c r="CP47" s="426"/>
      <c r="CQ47" s="426"/>
      <c r="CR47" s="426"/>
      <c r="CS47" s="426"/>
      <c r="CT47" s="426"/>
      <c r="CU47" s="426"/>
      <c r="CV47" s="426"/>
      <c r="CW47" s="426"/>
      <c r="CX47" s="426"/>
      <c r="CY47" s="426"/>
      <c r="CZ47" s="426"/>
      <c r="DA47" s="426"/>
      <c r="DB47" s="426"/>
      <c r="DC47" s="426"/>
    </row>
    <row r="48" spans="1:107" s="427" customFormat="1" ht="12.75">
      <c r="A48" s="432" t="s">
        <v>237</v>
      </c>
      <c r="B48" s="27">
        <v>6484820</v>
      </c>
      <c r="C48" s="27"/>
      <c r="D48" s="629">
        <f t="shared" si="1"/>
        <v>0</v>
      </c>
      <c r="E48" s="27">
        <v>4940820</v>
      </c>
      <c r="F48" s="27"/>
      <c r="G48" s="629">
        <f t="shared" si="2"/>
        <v>0</v>
      </c>
      <c r="H48" s="27">
        <v>16758000</v>
      </c>
      <c r="I48" s="27"/>
      <c r="J48" s="629">
        <f t="shared" si="6"/>
        <v>0</v>
      </c>
      <c r="K48" s="432" t="s">
        <v>237</v>
      </c>
      <c r="L48" s="27">
        <f t="shared" si="27"/>
        <v>6485</v>
      </c>
      <c r="M48" s="27">
        <f t="shared" si="27"/>
        <v>0</v>
      </c>
      <c r="N48" s="629">
        <f t="shared" si="4"/>
        <v>0</v>
      </c>
      <c r="O48" s="27">
        <f t="shared" si="28"/>
        <v>4941</v>
      </c>
      <c r="P48" s="27">
        <f t="shared" si="28"/>
        <v>0</v>
      </c>
      <c r="Q48" s="629">
        <f t="shared" si="5"/>
        <v>0</v>
      </c>
      <c r="R48" s="27">
        <f>ROUND(H48/1000,0)</f>
        <v>16758</v>
      </c>
      <c r="S48" s="27">
        <f>ROUND(I48/1000,0)</f>
        <v>0</v>
      </c>
      <c r="T48" s="629">
        <f t="shared" si="7"/>
        <v>0</v>
      </c>
      <c r="U48" s="426"/>
      <c r="V48" s="426"/>
      <c r="W48" s="426"/>
      <c r="X48" s="426"/>
      <c r="Y48" s="426"/>
      <c r="Z48" s="426"/>
      <c r="AA48" s="426"/>
      <c r="AB48" s="426"/>
      <c r="AC48" s="426"/>
      <c r="AD48" s="426"/>
      <c r="AE48" s="426"/>
      <c r="AF48" s="426"/>
      <c r="AG48" s="426"/>
      <c r="AH48" s="426"/>
      <c r="AI48" s="426"/>
      <c r="AJ48" s="426"/>
      <c r="AK48" s="426"/>
      <c r="AL48" s="426"/>
      <c r="AM48" s="426"/>
      <c r="AN48" s="426"/>
      <c r="AO48" s="426"/>
      <c r="AP48" s="426"/>
      <c r="AQ48" s="426"/>
      <c r="AR48" s="426"/>
      <c r="AS48" s="426"/>
      <c r="AT48" s="426"/>
      <c r="AU48" s="426"/>
      <c r="AV48" s="426"/>
      <c r="AW48" s="426"/>
      <c r="AX48" s="426"/>
      <c r="AY48" s="426"/>
      <c r="AZ48" s="426"/>
      <c r="BA48" s="426"/>
      <c r="BB48" s="426"/>
      <c r="BC48" s="426"/>
      <c r="BD48" s="426"/>
      <c r="BE48" s="426"/>
      <c r="BF48" s="426"/>
      <c r="BG48" s="426"/>
      <c r="BH48" s="426"/>
      <c r="BI48" s="426"/>
      <c r="BJ48" s="426"/>
      <c r="BK48" s="426"/>
      <c r="BL48" s="426"/>
      <c r="BM48" s="426"/>
      <c r="BN48" s="426"/>
      <c r="BO48" s="426"/>
      <c r="BP48" s="426"/>
      <c r="BQ48" s="426"/>
      <c r="BR48" s="426"/>
      <c r="BS48" s="426"/>
      <c r="BT48" s="426"/>
      <c r="BU48" s="426"/>
      <c r="BV48" s="426"/>
      <c r="BW48" s="426"/>
      <c r="BX48" s="426"/>
      <c r="BY48" s="426"/>
      <c r="BZ48" s="426"/>
      <c r="CA48" s="426"/>
      <c r="CB48" s="426"/>
      <c r="CC48" s="426"/>
      <c r="CD48" s="426"/>
      <c r="CE48" s="426"/>
      <c r="CF48" s="426"/>
      <c r="CG48" s="426"/>
      <c r="CH48" s="426"/>
      <c r="CI48" s="426"/>
      <c r="CJ48" s="426"/>
      <c r="CK48" s="426"/>
      <c r="CL48" s="426"/>
      <c r="CM48" s="426"/>
      <c r="CN48" s="426"/>
      <c r="CO48" s="426"/>
      <c r="CP48" s="426"/>
      <c r="CQ48" s="426"/>
      <c r="CR48" s="426"/>
      <c r="CS48" s="426"/>
      <c r="CT48" s="426"/>
      <c r="CU48" s="426"/>
      <c r="CV48" s="426"/>
      <c r="CW48" s="426"/>
      <c r="CX48" s="426"/>
      <c r="CY48" s="426"/>
      <c r="CZ48" s="426"/>
      <c r="DA48" s="426"/>
      <c r="DB48" s="426"/>
      <c r="DC48" s="426"/>
    </row>
    <row r="49" spans="1:107" s="427" customFormat="1" ht="12.75">
      <c r="A49" s="432" t="s">
        <v>672</v>
      </c>
      <c r="B49" s="27">
        <v>18269</v>
      </c>
      <c r="C49" s="27"/>
      <c r="D49" s="629">
        <f t="shared" si="1"/>
        <v>0</v>
      </c>
      <c r="E49" s="27">
        <v>1262</v>
      </c>
      <c r="F49" s="27"/>
      <c r="G49" s="629">
        <f t="shared" si="2"/>
        <v>0</v>
      </c>
      <c r="H49" s="27"/>
      <c r="I49" s="27"/>
      <c r="J49" s="629" t="e">
        <f t="shared" si="6"/>
        <v>#DIV/0!</v>
      </c>
      <c r="K49" s="432" t="s">
        <v>672</v>
      </c>
      <c r="L49" s="27">
        <f t="shared" si="27"/>
        <v>18</v>
      </c>
      <c r="M49" s="27">
        <f t="shared" si="27"/>
        <v>0</v>
      </c>
      <c r="N49" s="629">
        <f t="shared" si="4"/>
        <v>0</v>
      </c>
      <c r="O49" s="27">
        <f t="shared" si="28"/>
        <v>1</v>
      </c>
      <c r="P49" s="27">
        <f t="shared" si="28"/>
        <v>0</v>
      </c>
      <c r="Q49" s="629">
        <f t="shared" si="5"/>
        <v>0</v>
      </c>
      <c r="R49" s="27"/>
      <c r="S49" s="27"/>
      <c r="T49" s="629"/>
      <c r="U49" s="426"/>
      <c r="V49" s="426"/>
      <c r="W49" s="426"/>
      <c r="X49" s="426"/>
      <c r="Y49" s="426"/>
      <c r="Z49" s="426"/>
      <c r="AA49" s="426"/>
      <c r="AB49" s="426"/>
      <c r="AC49" s="426"/>
      <c r="AD49" s="426"/>
      <c r="AE49" s="426"/>
      <c r="AF49" s="426"/>
      <c r="AG49" s="426"/>
      <c r="AH49" s="426"/>
      <c r="AI49" s="426"/>
      <c r="AJ49" s="426"/>
      <c r="AK49" s="426"/>
      <c r="AL49" s="426"/>
      <c r="AM49" s="426"/>
      <c r="AN49" s="426"/>
      <c r="AO49" s="426"/>
      <c r="AP49" s="426"/>
      <c r="AQ49" s="426"/>
      <c r="AR49" s="426"/>
      <c r="AS49" s="426"/>
      <c r="AT49" s="426"/>
      <c r="AU49" s="426"/>
      <c r="AV49" s="426"/>
      <c r="AW49" s="426"/>
      <c r="AX49" s="426"/>
      <c r="AY49" s="426"/>
      <c r="AZ49" s="426"/>
      <c r="BA49" s="426"/>
      <c r="BB49" s="426"/>
      <c r="BC49" s="426"/>
      <c r="BD49" s="426"/>
      <c r="BE49" s="426"/>
      <c r="BF49" s="426"/>
      <c r="BG49" s="426"/>
      <c r="BH49" s="426"/>
      <c r="BI49" s="426"/>
      <c r="BJ49" s="426"/>
      <c r="BK49" s="426"/>
      <c r="BL49" s="426"/>
      <c r="BM49" s="426"/>
      <c r="BN49" s="426"/>
      <c r="BO49" s="426"/>
      <c r="BP49" s="426"/>
      <c r="BQ49" s="426"/>
      <c r="BR49" s="426"/>
      <c r="BS49" s="426"/>
      <c r="BT49" s="426"/>
      <c r="BU49" s="426"/>
      <c r="BV49" s="426"/>
      <c r="BW49" s="426"/>
      <c r="BX49" s="426"/>
      <c r="BY49" s="426"/>
      <c r="BZ49" s="426"/>
      <c r="CA49" s="426"/>
      <c r="CB49" s="426"/>
      <c r="CC49" s="426"/>
      <c r="CD49" s="426"/>
      <c r="CE49" s="426"/>
      <c r="CF49" s="426"/>
      <c r="CG49" s="426"/>
      <c r="CH49" s="426"/>
      <c r="CI49" s="426"/>
      <c r="CJ49" s="426"/>
      <c r="CK49" s="426"/>
      <c r="CL49" s="426"/>
      <c r="CM49" s="426"/>
      <c r="CN49" s="426"/>
      <c r="CO49" s="426"/>
      <c r="CP49" s="426"/>
      <c r="CQ49" s="426"/>
      <c r="CR49" s="426"/>
      <c r="CS49" s="426"/>
      <c r="CT49" s="426"/>
      <c r="CU49" s="426"/>
      <c r="CV49" s="426"/>
      <c r="CW49" s="426"/>
      <c r="CX49" s="426"/>
      <c r="CY49" s="426"/>
      <c r="CZ49" s="426"/>
      <c r="DA49" s="426"/>
      <c r="DB49" s="426"/>
      <c r="DC49" s="426"/>
    </row>
    <row r="50" spans="1:107" s="427" customFormat="1" ht="12.75">
      <c r="A50" s="432" t="s">
        <v>673</v>
      </c>
      <c r="B50" s="27">
        <v>17249</v>
      </c>
      <c r="C50" s="27"/>
      <c r="D50" s="629">
        <f t="shared" si="1"/>
        <v>0</v>
      </c>
      <c r="E50" s="27"/>
      <c r="F50" s="27"/>
      <c r="G50" s="629" t="e">
        <f t="shared" si="2"/>
        <v>#DIV/0!</v>
      </c>
      <c r="H50" s="27"/>
      <c r="I50" s="27"/>
      <c r="J50" s="629"/>
      <c r="K50" s="432" t="s">
        <v>673</v>
      </c>
      <c r="L50" s="27">
        <f t="shared" si="27"/>
        <v>17</v>
      </c>
      <c r="M50" s="27">
        <f t="shared" si="27"/>
        <v>0</v>
      </c>
      <c r="N50" s="629">
        <f t="shared" si="4"/>
        <v>0</v>
      </c>
      <c r="O50" s="27"/>
      <c r="P50" s="27"/>
      <c r="Q50" s="629"/>
      <c r="R50" s="27"/>
      <c r="S50" s="27"/>
      <c r="T50" s="629"/>
      <c r="U50" s="426"/>
      <c r="V50" s="426"/>
      <c r="W50" s="426"/>
      <c r="X50" s="426"/>
      <c r="Y50" s="426"/>
      <c r="Z50" s="426"/>
      <c r="AA50" s="426"/>
      <c r="AB50" s="426"/>
      <c r="AC50" s="426"/>
      <c r="AD50" s="426"/>
      <c r="AE50" s="426"/>
      <c r="AF50" s="426"/>
      <c r="AG50" s="426"/>
      <c r="AH50" s="426"/>
      <c r="AI50" s="426"/>
      <c r="AJ50" s="426"/>
      <c r="AK50" s="426"/>
      <c r="AL50" s="426"/>
      <c r="AM50" s="426"/>
      <c r="AN50" s="426"/>
      <c r="AO50" s="426"/>
      <c r="AP50" s="426"/>
      <c r="AQ50" s="426"/>
      <c r="AR50" s="426"/>
      <c r="AS50" s="426"/>
      <c r="AT50" s="426"/>
      <c r="AU50" s="426"/>
      <c r="AV50" s="426"/>
      <c r="AW50" s="426"/>
      <c r="AX50" s="426"/>
      <c r="AY50" s="426"/>
      <c r="AZ50" s="426"/>
      <c r="BA50" s="426"/>
      <c r="BB50" s="426"/>
      <c r="BC50" s="426"/>
      <c r="BD50" s="426"/>
      <c r="BE50" s="426"/>
      <c r="BF50" s="426"/>
      <c r="BG50" s="426"/>
      <c r="BH50" s="426"/>
      <c r="BI50" s="426"/>
      <c r="BJ50" s="426"/>
      <c r="BK50" s="426"/>
      <c r="BL50" s="426"/>
      <c r="BM50" s="426"/>
      <c r="BN50" s="426"/>
      <c r="BO50" s="426"/>
      <c r="BP50" s="426"/>
      <c r="BQ50" s="426"/>
      <c r="BR50" s="426"/>
      <c r="BS50" s="426"/>
      <c r="BT50" s="426"/>
      <c r="BU50" s="426"/>
      <c r="BV50" s="426"/>
      <c r="BW50" s="426"/>
      <c r="BX50" s="426"/>
      <c r="BY50" s="426"/>
      <c r="BZ50" s="426"/>
      <c r="CA50" s="426"/>
      <c r="CB50" s="426"/>
      <c r="CC50" s="426"/>
      <c r="CD50" s="426"/>
      <c r="CE50" s="426"/>
      <c r="CF50" s="426"/>
      <c r="CG50" s="426"/>
      <c r="CH50" s="426"/>
      <c r="CI50" s="426"/>
      <c r="CJ50" s="426"/>
      <c r="CK50" s="426"/>
      <c r="CL50" s="426"/>
      <c r="CM50" s="426"/>
      <c r="CN50" s="426"/>
      <c r="CO50" s="426"/>
      <c r="CP50" s="426"/>
      <c r="CQ50" s="426"/>
      <c r="CR50" s="426"/>
      <c r="CS50" s="426"/>
      <c r="CT50" s="426"/>
      <c r="CU50" s="426"/>
      <c r="CV50" s="426"/>
      <c r="CW50" s="426"/>
      <c r="CX50" s="426"/>
      <c r="CY50" s="426"/>
      <c r="CZ50" s="426"/>
      <c r="DA50" s="426"/>
      <c r="DB50" s="426"/>
      <c r="DC50" s="426"/>
    </row>
    <row r="51" spans="1:20" ht="12.75">
      <c r="A51" s="74" t="s">
        <v>999</v>
      </c>
      <c r="B51" s="430">
        <f>SUM(B52:B55)</f>
        <v>2137309</v>
      </c>
      <c r="C51" s="430">
        <f>SUM(C52:C55)</f>
        <v>0</v>
      </c>
      <c r="D51" s="628">
        <f t="shared" si="1"/>
        <v>0</v>
      </c>
      <c r="E51" s="430">
        <f>SUM(E52:E55)</f>
        <v>2105430</v>
      </c>
      <c r="F51" s="430">
        <f>SUM(F52:F55)</f>
        <v>0</v>
      </c>
      <c r="G51" s="628">
        <f t="shared" si="2"/>
        <v>0</v>
      </c>
      <c r="H51" s="430">
        <f>SUM(H52:H55)</f>
        <v>16732560</v>
      </c>
      <c r="I51" s="430">
        <f>SUM(I52:I55)</f>
        <v>0</v>
      </c>
      <c r="J51" s="628">
        <f t="shared" si="6"/>
        <v>0</v>
      </c>
      <c r="K51" s="74" t="s">
        <v>999</v>
      </c>
      <c r="L51" s="430">
        <f>SUM(L52:L55)</f>
        <v>2137</v>
      </c>
      <c r="M51" s="430">
        <f>SUM(M52:M55)</f>
        <v>0</v>
      </c>
      <c r="N51" s="628">
        <f t="shared" si="4"/>
        <v>0</v>
      </c>
      <c r="O51" s="430">
        <f>SUM(O52:O55)</f>
        <v>2105</v>
      </c>
      <c r="P51" s="430">
        <f>SUM(P52:P55)</f>
        <v>0</v>
      </c>
      <c r="Q51" s="628">
        <f t="shared" si="5"/>
        <v>0</v>
      </c>
      <c r="R51" s="430">
        <f>SUM(R52:R55)</f>
        <v>16734</v>
      </c>
      <c r="S51" s="430">
        <f>SUM(S52:S55)</f>
        <v>0</v>
      </c>
      <c r="T51" s="628">
        <f t="shared" si="7"/>
        <v>0</v>
      </c>
    </row>
    <row r="52" spans="1:107" s="427" customFormat="1" ht="12.75">
      <c r="A52" s="432" t="s">
        <v>670</v>
      </c>
      <c r="B52" s="27">
        <v>43888</v>
      </c>
      <c r="C52" s="27"/>
      <c r="D52" s="629">
        <f t="shared" si="1"/>
        <v>0</v>
      </c>
      <c r="E52" s="27">
        <v>40288</v>
      </c>
      <c r="F52" s="27"/>
      <c r="G52" s="629">
        <f t="shared" si="2"/>
        <v>0</v>
      </c>
      <c r="H52" s="27">
        <v>37522</v>
      </c>
      <c r="I52" s="27"/>
      <c r="J52" s="629">
        <f t="shared" si="6"/>
        <v>0</v>
      </c>
      <c r="K52" s="432" t="s">
        <v>670</v>
      </c>
      <c r="L52" s="27">
        <f>ROUND(B52/1000,0)</f>
        <v>44</v>
      </c>
      <c r="M52" s="27">
        <f>ROUND(C52/1000,0)</f>
        <v>0</v>
      </c>
      <c r="N52" s="629">
        <f t="shared" si="4"/>
        <v>0</v>
      </c>
      <c r="O52" s="27">
        <f>ROUND(E52/1000,0)</f>
        <v>40</v>
      </c>
      <c r="P52" s="27">
        <f>ROUND(F52/1000,0)</f>
        <v>0</v>
      </c>
      <c r="Q52" s="629">
        <f t="shared" si="5"/>
        <v>0</v>
      </c>
      <c r="R52" s="27">
        <f>ROUND(H52/1000,0)</f>
        <v>38</v>
      </c>
      <c r="S52" s="27">
        <f>ROUND(I52/1000,0)</f>
        <v>0</v>
      </c>
      <c r="T52" s="629">
        <f t="shared" si="7"/>
        <v>0</v>
      </c>
      <c r="U52" s="426"/>
      <c r="V52" s="426"/>
      <c r="W52" s="426"/>
      <c r="X52" s="426"/>
      <c r="Y52" s="426"/>
      <c r="Z52" s="426"/>
      <c r="AA52" s="426"/>
      <c r="AB52" s="426"/>
      <c r="AC52" s="426"/>
      <c r="AD52" s="426"/>
      <c r="AE52" s="426"/>
      <c r="AF52" s="426"/>
      <c r="AG52" s="426"/>
      <c r="AH52" s="426"/>
      <c r="AI52" s="426"/>
      <c r="AJ52" s="426"/>
      <c r="AK52" s="426"/>
      <c r="AL52" s="426"/>
      <c r="AM52" s="426"/>
      <c r="AN52" s="426"/>
      <c r="AO52" s="426"/>
      <c r="AP52" s="426"/>
      <c r="AQ52" s="426"/>
      <c r="AR52" s="426"/>
      <c r="AS52" s="426"/>
      <c r="AT52" s="426"/>
      <c r="AU52" s="426"/>
      <c r="AV52" s="426"/>
      <c r="AW52" s="426"/>
      <c r="AX52" s="426"/>
      <c r="AY52" s="426"/>
      <c r="AZ52" s="426"/>
      <c r="BA52" s="426"/>
      <c r="BB52" s="426"/>
      <c r="BC52" s="426"/>
      <c r="BD52" s="426"/>
      <c r="BE52" s="426"/>
      <c r="BF52" s="426"/>
      <c r="BG52" s="426"/>
      <c r="BH52" s="426"/>
      <c r="BI52" s="426"/>
      <c r="BJ52" s="426"/>
      <c r="BK52" s="426"/>
      <c r="BL52" s="426"/>
      <c r="BM52" s="426"/>
      <c r="BN52" s="426"/>
      <c r="BO52" s="426"/>
      <c r="BP52" s="426"/>
      <c r="BQ52" s="426"/>
      <c r="BR52" s="426"/>
      <c r="BS52" s="426"/>
      <c r="BT52" s="426"/>
      <c r="BU52" s="426"/>
      <c r="BV52" s="426"/>
      <c r="BW52" s="426"/>
      <c r="BX52" s="426"/>
      <c r="BY52" s="426"/>
      <c r="BZ52" s="426"/>
      <c r="CA52" s="426"/>
      <c r="CB52" s="426"/>
      <c r="CC52" s="426"/>
      <c r="CD52" s="426"/>
      <c r="CE52" s="426"/>
      <c r="CF52" s="426"/>
      <c r="CG52" s="426"/>
      <c r="CH52" s="426"/>
      <c r="CI52" s="426"/>
      <c r="CJ52" s="426"/>
      <c r="CK52" s="426"/>
      <c r="CL52" s="426"/>
      <c r="CM52" s="426"/>
      <c r="CN52" s="426"/>
      <c r="CO52" s="426"/>
      <c r="CP52" s="426"/>
      <c r="CQ52" s="426"/>
      <c r="CR52" s="426"/>
      <c r="CS52" s="426"/>
      <c r="CT52" s="426"/>
      <c r="CU52" s="426"/>
      <c r="CV52" s="426"/>
      <c r="CW52" s="426"/>
      <c r="CX52" s="426"/>
      <c r="CY52" s="426"/>
      <c r="CZ52" s="426"/>
      <c r="DA52" s="426"/>
      <c r="DB52" s="426"/>
      <c r="DC52" s="426"/>
    </row>
    <row r="53" spans="1:107" s="427" customFormat="1" ht="12.75">
      <c r="A53" s="432" t="s">
        <v>1059</v>
      </c>
      <c r="B53" s="27">
        <v>29487</v>
      </c>
      <c r="C53" s="27"/>
      <c r="D53" s="629">
        <f t="shared" si="1"/>
        <v>0</v>
      </c>
      <c r="E53" s="27">
        <v>28208</v>
      </c>
      <c r="F53" s="27"/>
      <c r="G53" s="629">
        <f t="shared" si="2"/>
        <v>0</v>
      </c>
      <c r="H53" s="27">
        <v>40008</v>
      </c>
      <c r="I53" s="27"/>
      <c r="J53" s="629">
        <f t="shared" si="6"/>
        <v>0</v>
      </c>
      <c r="K53" s="432" t="s">
        <v>1059</v>
      </c>
      <c r="L53" s="27">
        <f>ROUND(B53/1000,0)</f>
        <v>29</v>
      </c>
      <c r="M53" s="27">
        <f>ROUND(C53/1000,0)</f>
        <v>0</v>
      </c>
      <c r="N53" s="629">
        <f t="shared" si="4"/>
        <v>0</v>
      </c>
      <c r="O53" s="27">
        <f aca="true" t="shared" si="29" ref="O53:P55">ROUND(E53/1000,0)</f>
        <v>28</v>
      </c>
      <c r="P53" s="27">
        <f t="shared" si="29"/>
        <v>0</v>
      </c>
      <c r="Q53" s="629">
        <f t="shared" si="5"/>
        <v>0</v>
      </c>
      <c r="R53" s="27">
        <f aca="true" t="shared" si="30" ref="R53:S55">ROUND(H53/1000,0)</f>
        <v>40</v>
      </c>
      <c r="S53" s="27">
        <f t="shared" si="30"/>
        <v>0</v>
      </c>
      <c r="T53" s="629">
        <f t="shared" si="7"/>
        <v>0</v>
      </c>
      <c r="U53" s="426"/>
      <c r="V53" s="426"/>
      <c r="W53" s="426"/>
      <c r="X53" s="426"/>
      <c r="Y53" s="426"/>
      <c r="Z53" s="426"/>
      <c r="AA53" s="426"/>
      <c r="AB53" s="426"/>
      <c r="AC53" s="426"/>
      <c r="AD53" s="426"/>
      <c r="AE53" s="426"/>
      <c r="AF53" s="426"/>
      <c r="AG53" s="426"/>
      <c r="AH53" s="426"/>
      <c r="AI53" s="426"/>
      <c r="AJ53" s="426"/>
      <c r="AK53" s="426"/>
      <c r="AL53" s="426"/>
      <c r="AM53" s="426"/>
      <c r="AN53" s="426"/>
      <c r="AO53" s="426"/>
      <c r="AP53" s="426"/>
      <c r="AQ53" s="426"/>
      <c r="AR53" s="426"/>
      <c r="AS53" s="426"/>
      <c r="AT53" s="426"/>
      <c r="AU53" s="426"/>
      <c r="AV53" s="426"/>
      <c r="AW53" s="426"/>
      <c r="AX53" s="426"/>
      <c r="AY53" s="426"/>
      <c r="AZ53" s="426"/>
      <c r="BA53" s="426"/>
      <c r="BB53" s="426"/>
      <c r="BC53" s="426"/>
      <c r="BD53" s="426"/>
      <c r="BE53" s="426"/>
      <c r="BF53" s="426"/>
      <c r="BG53" s="426"/>
      <c r="BH53" s="426"/>
      <c r="BI53" s="426"/>
      <c r="BJ53" s="426"/>
      <c r="BK53" s="426"/>
      <c r="BL53" s="426"/>
      <c r="BM53" s="426"/>
      <c r="BN53" s="426"/>
      <c r="BO53" s="426"/>
      <c r="BP53" s="426"/>
      <c r="BQ53" s="426"/>
      <c r="BR53" s="426"/>
      <c r="BS53" s="426"/>
      <c r="BT53" s="426"/>
      <c r="BU53" s="426"/>
      <c r="BV53" s="426"/>
      <c r="BW53" s="426"/>
      <c r="BX53" s="426"/>
      <c r="BY53" s="426"/>
      <c r="BZ53" s="426"/>
      <c r="CA53" s="426"/>
      <c r="CB53" s="426"/>
      <c r="CC53" s="426"/>
      <c r="CD53" s="426"/>
      <c r="CE53" s="426"/>
      <c r="CF53" s="426"/>
      <c r="CG53" s="426"/>
      <c r="CH53" s="426"/>
      <c r="CI53" s="426"/>
      <c r="CJ53" s="426"/>
      <c r="CK53" s="426"/>
      <c r="CL53" s="426"/>
      <c r="CM53" s="426"/>
      <c r="CN53" s="426"/>
      <c r="CO53" s="426"/>
      <c r="CP53" s="426"/>
      <c r="CQ53" s="426"/>
      <c r="CR53" s="426"/>
      <c r="CS53" s="426"/>
      <c r="CT53" s="426"/>
      <c r="CU53" s="426"/>
      <c r="CV53" s="426"/>
      <c r="CW53" s="426"/>
      <c r="CX53" s="426"/>
      <c r="CY53" s="426"/>
      <c r="CZ53" s="426"/>
      <c r="DA53" s="426"/>
      <c r="DB53" s="426"/>
      <c r="DC53" s="426"/>
    </row>
    <row r="54" spans="1:107" s="427" customFormat="1" ht="12.75">
      <c r="A54" s="432" t="s">
        <v>671</v>
      </c>
      <c r="B54" s="27">
        <v>242510</v>
      </c>
      <c r="C54" s="27"/>
      <c r="D54" s="629">
        <f t="shared" si="1"/>
        <v>0</v>
      </c>
      <c r="E54" s="27">
        <v>242510</v>
      </c>
      <c r="F54" s="27"/>
      <c r="G54" s="629">
        <f t="shared" si="2"/>
        <v>0</v>
      </c>
      <c r="H54" s="27">
        <v>727530</v>
      </c>
      <c r="I54" s="27"/>
      <c r="J54" s="629">
        <f t="shared" si="6"/>
        <v>0</v>
      </c>
      <c r="K54" s="432" t="s">
        <v>671</v>
      </c>
      <c r="L54" s="27">
        <f>ROUND(B54/1000,0)-1</f>
        <v>242</v>
      </c>
      <c r="M54" s="27">
        <f>ROUND(C54/1000,0)</f>
        <v>0</v>
      </c>
      <c r="N54" s="629">
        <f t="shared" si="4"/>
        <v>0</v>
      </c>
      <c r="O54" s="27">
        <f>ROUND(E54/1000,0)-1</f>
        <v>242</v>
      </c>
      <c r="P54" s="27">
        <f t="shared" si="29"/>
        <v>0</v>
      </c>
      <c r="Q54" s="629">
        <f t="shared" si="5"/>
        <v>0</v>
      </c>
      <c r="R54" s="27">
        <f>ROUND(H54/1000,0)</f>
        <v>728</v>
      </c>
      <c r="S54" s="27">
        <f t="shared" si="30"/>
        <v>0</v>
      </c>
      <c r="T54" s="629">
        <f t="shared" si="7"/>
        <v>0</v>
      </c>
      <c r="U54" s="426"/>
      <c r="V54" s="426"/>
      <c r="W54" s="426"/>
      <c r="X54" s="426"/>
      <c r="Y54" s="426"/>
      <c r="Z54" s="426"/>
      <c r="AA54" s="426"/>
      <c r="AB54" s="426"/>
      <c r="AC54" s="426"/>
      <c r="AD54" s="426"/>
      <c r="AE54" s="426"/>
      <c r="AF54" s="426"/>
      <c r="AG54" s="426"/>
      <c r="AH54" s="426"/>
      <c r="AI54" s="426"/>
      <c r="AJ54" s="426"/>
      <c r="AK54" s="426"/>
      <c r="AL54" s="426"/>
      <c r="AM54" s="426"/>
      <c r="AN54" s="426"/>
      <c r="AO54" s="426"/>
      <c r="AP54" s="426"/>
      <c r="AQ54" s="426"/>
      <c r="AR54" s="426"/>
      <c r="AS54" s="426"/>
      <c r="AT54" s="426"/>
      <c r="AU54" s="426"/>
      <c r="AV54" s="426"/>
      <c r="AW54" s="426"/>
      <c r="AX54" s="426"/>
      <c r="AY54" s="426"/>
      <c r="AZ54" s="426"/>
      <c r="BA54" s="426"/>
      <c r="BB54" s="426"/>
      <c r="BC54" s="426"/>
      <c r="BD54" s="426"/>
      <c r="BE54" s="426"/>
      <c r="BF54" s="426"/>
      <c r="BG54" s="426"/>
      <c r="BH54" s="426"/>
      <c r="BI54" s="426"/>
      <c r="BJ54" s="426"/>
      <c r="BK54" s="426"/>
      <c r="BL54" s="426"/>
      <c r="BM54" s="426"/>
      <c r="BN54" s="426"/>
      <c r="BO54" s="426"/>
      <c r="BP54" s="426"/>
      <c r="BQ54" s="426"/>
      <c r="BR54" s="426"/>
      <c r="BS54" s="426"/>
      <c r="BT54" s="426"/>
      <c r="BU54" s="426"/>
      <c r="BV54" s="426"/>
      <c r="BW54" s="426"/>
      <c r="BX54" s="426"/>
      <c r="BY54" s="426"/>
      <c r="BZ54" s="426"/>
      <c r="CA54" s="426"/>
      <c r="CB54" s="426"/>
      <c r="CC54" s="426"/>
      <c r="CD54" s="426"/>
      <c r="CE54" s="426"/>
      <c r="CF54" s="426"/>
      <c r="CG54" s="426"/>
      <c r="CH54" s="426"/>
      <c r="CI54" s="426"/>
      <c r="CJ54" s="426"/>
      <c r="CK54" s="426"/>
      <c r="CL54" s="426"/>
      <c r="CM54" s="426"/>
      <c r="CN54" s="426"/>
      <c r="CO54" s="426"/>
      <c r="CP54" s="426"/>
      <c r="CQ54" s="426"/>
      <c r="CR54" s="426"/>
      <c r="CS54" s="426"/>
      <c r="CT54" s="426"/>
      <c r="CU54" s="426"/>
      <c r="CV54" s="426"/>
      <c r="CW54" s="426"/>
      <c r="CX54" s="426"/>
      <c r="CY54" s="426"/>
      <c r="CZ54" s="426"/>
      <c r="DA54" s="426"/>
      <c r="DB54" s="426"/>
      <c r="DC54" s="426"/>
    </row>
    <row r="55" spans="1:107" s="427" customFormat="1" ht="12.75">
      <c r="A55" s="432" t="s">
        <v>237</v>
      </c>
      <c r="B55" s="27">
        <v>1821424</v>
      </c>
      <c r="C55" s="27"/>
      <c r="D55" s="629">
        <f t="shared" si="1"/>
        <v>0</v>
      </c>
      <c r="E55" s="27">
        <v>1794424</v>
      </c>
      <c r="F55" s="27"/>
      <c r="G55" s="629">
        <f t="shared" si="2"/>
        <v>0</v>
      </c>
      <c r="H55" s="27">
        <v>15927500</v>
      </c>
      <c r="I55" s="27"/>
      <c r="J55" s="629">
        <f t="shared" si="6"/>
        <v>0</v>
      </c>
      <c r="K55" s="432" t="s">
        <v>237</v>
      </c>
      <c r="L55" s="27">
        <f>ROUND(B55/1000,0)+1</f>
        <v>1822</v>
      </c>
      <c r="M55" s="27">
        <f>ROUND(C55/1000,0)</f>
        <v>0</v>
      </c>
      <c r="N55" s="629">
        <f t="shared" si="4"/>
        <v>0</v>
      </c>
      <c r="O55" s="27">
        <f>ROUND(E55/1000,0)+1</f>
        <v>1795</v>
      </c>
      <c r="P55" s="27">
        <f t="shared" si="29"/>
        <v>0</v>
      </c>
      <c r="Q55" s="629">
        <f t="shared" si="5"/>
        <v>0</v>
      </c>
      <c r="R55" s="27">
        <f t="shared" si="30"/>
        <v>15928</v>
      </c>
      <c r="S55" s="27">
        <f t="shared" si="30"/>
        <v>0</v>
      </c>
      <c r="T55" s="629">
        <f t="shared" si="7"/>
        <v>0</v>
      </c>
      <c r="U55" s="426"/>
      <c r="V55" s="426"/>
      <c r="W55" s="426"/>
      <c r="X55" s="426"/>
      <c r="Y55" s="426"/>
      <c r="Z55" s="426"/>
      <c r="AA55" s="426"/>
      <c r="AB55" s="426"/>
      <c r="AC55" s="426"/>
      <c r="AD55" s="426"/>
      <c r="AE55" s="426"/>
      <c r="AF55" s="426"/>
      <c r="AG55" s="426"/>
      <c r="AH55" s="426"/>
      <c r="AI55" s="426"/>
      <c r="AJ55" s="426"/>
      <c r="AK55" s="426"/>
      <c r="AL55" s="426"/>
      <c r="AM55" s="426"/>
      <c r="AN55" s="426"/>
      <c r="AO55" s="426"/>
      <c r="AP55" s="426"/>
      <c r="AQ55" s="426"/>
      <c r="AR55" s="426"/>
      <c r="AS55" s="426"/>
      <c r="AT55" s="426"/>
      <c r="AU55" s="426"/>
      <c r="AV55" s="426"/>
      <c r="AW55" s="426"/>
      <c r="AX55" s="426"/>
      <c r="AY55" s="426"/>
      <c r="AZ55" s="426"/>
      <c r="BA55" s="426"/>
      <c r="BB55" s="426"/>
      <c r="BC55" s="426"/>
      <c r="BD55" s="426"/>
      <c r="BE55" s="426"/>
      <c r="BF55" s="426"/>
      <c r="BG55" s="426"/>
      <c r="BH55" s="426"/>
      <c r="BI55" s="426"/>
      <c r="BJ55" s="426"/>
      <c r="BK55" s="426"/>
      <c r="BL55" s="426"/>
      <c r="BM55" s="426"/>
      <c r="BN55" s="426"/>
      <c r="BO55" s="426"/>
      <c r="BP55" s="426"/>
      <c r="BQ55" s="426"/>
      <c r="BR55" s="426"/>
      <c r="BS55" s="426"/>
      <c r="BT55" s="426"/>
      <c r="BU55" s="426"/>
      <c r="BV55" s="426"/>
      <c r="BW55" s="426"/>
      <c r="BX55" s="426"/>
      <c r="BY55" s="426"/>
      <c r="BZ55" s="426"/>
      <c r="CA55" s="426"/>
      <c r="CB55" s="426"/>
      <c r="CC55" s="426"/>
      <c r="CD55" s="426"/>
      <c r="CE55" s="426"/>
      <c r="CF55" s="426"/>
      <c r="CG55" s="426"/>
      <c r="CH55" s="426"/>
      <c r="CI55" s="426"/>
      <c r="CJ55" s="426"/>
      <c r="CK55" s="426"/>
      <c r="CL55" s="426"/>
      <c r="CM55" s="426"/>
      <c r="CN55" s="426"/>
      <c r="CO55" s="426"/>
      <c r="CP55" s="426"/>
      <c r="CQ55" s="426"/>
      <c r="CR55" s="426"/>
      <c r="CS55" s="426"/>
      <c r="CT55" s="426"/>
      <c r="CU55" s="426"/>
      <c r="CV55" s="426"/>
      <c r="CW55" s="426"/>
      <c r="CX55" s="426"/>
      <c r="CY55" s="426"/>
      <c r="CZ55" s="426"/>
      <c r="DA55" s="426"/>
      <c r="DB55" s="426"/>
      <c r="DC55" s="426"/>
    </row>
    <row r="56" spans="1:20" ht="12.75">
      <c r="A56" s="74" t="s">
        <v>1001</v>
      </c>
      <c r="B56" s="430">
        <f>SUM(B57:B58)</f>
        <v>4420580</v>
      </c>
      <c r="C56" s="430">
        <f aca="true" t="shared" si="31" ref="C56:I56">SUM(C57:C58)</f>
        <v>0</v>
      </c>
      <c r="D56" s="628">
        <f t="shared" si="1"/>
        <v>0</v>
      </c>
      <c r="E56" s="430">
        <f t="shared" si="31"/>
        <v>4151580</v>
      </c>
      <c r="F56" s="430">
        <f t="shared" si="31"/>
        <v>0</v>
      </c>
      <c r="G56" s="628">
        <f t="shared" si="2"/>
        <v>0</v>
      </c>
      <c r="H56" s="430">
        <f t="shared" si="31"/>
        <v>17784580</v>
      </c>
      <c r="I56" s="430">
        <f t="shared" si="31"/>
        <v>0</v>
      </c>
      <c r="J56" s="628">
        <f t="shared" si="6"/>
        <v>0</v>
      </c>
      <c r="K56" s="74" t="s">
        <v>1001</v>
      </c>
      <c r="L56" s="430">
        <f aca="true" t="shared" si="32" ref="L56:S56">SUM(L57:L58)</f>
        <v>4421</v>
      </c>
      <c r="M56" s="430">
        <f t="shared" si="32"/>
        <v>0</v>
      </c>
      <c r="N56" s="628">
        <f t="shared" si="4"/>
        <v>0</v>
      </c>
      <c r="O56" s="430">
        <f t="shared" si="32"/>
        <v>4151</v>
      </c>
      <c r="P56" s="430">
        <f t="shared" si="32"/>
        <v>0</v>
      </c>
      <c r="Q56" s="628">
        <f t="shared" si="5"/>
        <v>0</v>
      </c>
      <c r="R56" s="430">
        <f t="shared" si="32"/>
        <v>17785</v>
      </c>
      <c r="S56" s="430">
        <f t="shared" si="32"/>
        <v>0</v>
      </c>
      <c r="T56" s="628">
        <f t="shared" si="7"/>
        <v>0</v>
      </c>
    </row>
    <row r="57" spans="1:107" s="427" customFormat="1" ht="12.75">
      <c r="A57" s="432" t="s">
        <v>671</v>
      </c>
      <c r="B57" s="27">
        <v>75580</v>
      </c>
      <c r="C57" s="27"/>
      <c r="D57" s="629">
        <f t="shared" si="1"/>
        <v>0</v>
      </c>
      <c r="E57" s="27">
        <v>75580</v>
      </c>
      <c r="F57" s="27"/>
      <c r="G57" s="629">
        <f t="shared" si="2"/>
        <v>0</v>
      </c>
      <c r="H57" s="27">
        <v>75580</v>
      </c>
      <c r="I57" s="27"/>
      <c r="J57" s="629">
        <f t="shared" si="6"/>
        <v>0</v>
      </c>
      <c r="K57" s="432" t="s">
        <v>671</v>
      </c>
      <c r="L57" s="27">
        <f>ROUND(B57/1000,0)</f>
        <v>76</v>
      </c>
      <c r="M57" s="27">
        <f>ROUND(C57/1000,0)</f>
        <v>0</v>
      </c>
      <c r="N57" s="629">
        <f t="shared" si="4"/>
        <v>0</v>
      </c>
      <c r="O57" s="27">
        <f>ROUND(E57/1000,0)-1</f>
        <v>75</v>
      </c>
      <c r="P57" s="27">
        <f>ROUND(F57/1000,0)</f>
        <v>0</v>
      </c>
      <c r="Q57" s="629">
        <f t="shared" si="5"/>
        <v>0</v>
      </c>
      <c r="R57" s="27">
        <f>ROUND(H57/1000,0)</f>
        <v>76</v>
      </c>
      <c r="S57" s="27">
        <f>ROUND(I57/1000,0)</f>
        <v>0</v>
      </c>
      <c r="T57" s="629">
        <f t="shared" si="7"/>
        <v>0</v>
      </c>
      <c r="U57" s="426"/>
      <c r="V57" s="426"/>
      <c r="W57" s="426"/>
      <c r="X57" s="426"/>
      <c r="Y57" s="426"/>
      <c r="Z57" s="426"/>
      <c r="AA57" s="426"/>
      <c r="AB57" s="426"/>
      <c r="AC57" s="426"/>
      <c r="AD57" s="426"/>
      <c r="AE57" s="426"/>
      <c r="AF57" s="426"/>
      <c r="AG57" s="426"/>
      <c r="AH57" s="426"/>
      <c r="AI57" s="426"/>
      <c r="AJ57" s="426"/>
      <c r="AK57" s="426"/>
      <c r="AL57" s="426"/>
      <c r="AM57" s="426"/>
      <c r="AN57" s="426"/>
      <c r="AO57" s="426"/>
      <c r="AP57" s="426"/>
      <c r="AQ57" s="426"/>
      <c r="AR57" s="426"/>
      <c r="AS57" s="426"/>
      <c r="AT57" s="426"/>
      <c r="AU57" s="426"/>
      <c r="AV57" s="426"/>
      <c r="AW57" s="426"/>
      <c r="AX57" s="426"/>
      <c r="AY57" s="426"/>
      <c r="AZ57" s="426"/>
      <c r="BA57" s="426"/>
      <c r="BB57" s="426"/>
      <c r="BC57" s="426"/>
      <c r="BD57" s="426"/>
      <c r="BE57" s="426"/>
      <c r="BF57" s="426"/>
      <c r="BG57" s="426"/>
      <c r="BH57" s="426"/>
      <c r="BI57" s="426"/>
      <c r="BJ57" s="426"/>
      <c r="BK57" s="426"/>
      <c r="BL57" s="426"/>
      <c r="BM57" s="426"/>
      <c r="BN57" s="426"/>
      <c r="BO57" s="426"/>
      <c r="BP57" s="426"/>
      <c r="BQ57" s="426"/>
      <c r="BR57" s="426"/>
      <c r="BS57" s="426"/>
      <c r="BT57" s="426"/>
      <c r="BU57" s="426"/>
      <c r="BV57" s="426"/>
      <c r="BW57" s="426"/>
      <c r="BX57" s="426"/>
      <c r="BY57" s="426"/>
      <c r="BZ57" s="426"/>
      <c r="CA57" s="426"/>
      <c r="CB57" s="426"/>
      <c r="CC57" s="426"/>
      <c r="CD57" s="426"/>
      <c r="CE57" s="426"/>
      <c r="CF57" s="426"/>
      <c r="CG57" s="426"/>
      <c r="CH57" s="426"/>
      <c r="CI57" s="426"/>
      <c r="CJ57" s="426"/>
      <c r="CK57" s="426"/>
      <c r="CL57" s="426"/>
      <c r="CM57" s="426"/>
      <c r="CN57" s="426"/>
      <c r="CO57" s="426"/>
      <c r="CP57" s="426"/>
      <c r="CQ57" s="426"/>
      <c r="CR57" s="426"/>
      <c r="CS57" s="426"/>
      <c r="CT57" s="426"/>
      <c r="CU57" s="426"/>
      <c r="CV57" s="426"/>
      <c r="CW57" s="426"/>
      <c r="CX57" s="426"/>
      <c r="CY57" s="426"/>
      <c r="CZ57" s="426"/>
      <c r="DA57" s="426"/>
      <c r="DB57" s="426"/>
      <c r="DC57" s="426"/>
    </row>
    <row r="58" spans="1:107" s="427" customFormat="1" ht="12.75">
      <c r="A58" s="432" t="s">
        <v>237</v>
      </c>
      <c r="B58" s="27">
        <v>4345000</v>
      </c>
      <c r="C58" s="27"/>
      <c r="D58" s="629">
        <f t="shared" si="1"/>
        <v>0</v>
      </c>
      <c r="E58" s="27">
        <v>4076000</v>
      </c>
      <c r="F58" s="27"/>
      <c r="G58" s="629">
        <f t="shared" si="2"/>
        <v>0</v>
      </c>
      <c r="H58" s="27">
        <v>17709000</v>
      </c>
      <c r="I58" s="27"/>
      <c r="J58" s="629">
        <f t="shared" si="6"/>
        <v>0</v>
      </c>
      <c r="K58" s="432" t="s">
        <v>237</v>
      </c>
      <c r="L58" s="27">
        <f>ROUND(B58/1000,0)</f>
        <v>4345</v>
      </c>
      <c r="M58" s="27">
        <f>ROUND(C58/1000,0)</f>
        <v>0</v>
      </c>
      <c r="N58" s="629">
        <f t="shared" si="4"/>
        <v>0</v>
      </c>
      <c r="O58" s="27">
        <f>ROUND(E58/1000,0)</f>
        <v>4076</v>
      </c>
      <c r="P58" s="27">
        <f>ROUND(F58/1000,0)</f>
        <v>0</v>
      </c>
      <c r="Q58" s="629">
        <f t="shared" si="5"/>
        <v>0</v>
      </c>
      <c r="R58" s="27">
        <f>ROUND(H58/1000,0)</f>
        <v>17709</v>
      </c>
      <c r="S58" s="27">
        <f>ROUND(I58/1000,0)</f>
        <v>0</v>
      </c>
      <c r="T58" s="629">
        <f t="shared" si="7"/>
        <v>0</v>
      </c>
      <c r="U58" s="426"/>
      <c r="V58" s="426"/>
      <c r="W58" s="426"/>
      <c r="X58" s="426"/>
      <c r="Y58" s="426"/>
      <c r="Z58" s="426"/>
      <c r="AA58" s="426"/>
      <c r="AB58" s="426"/>
      <c r="AC58" s="426"/>
      <c r="AD58" s="426"/>
      <c r="AE58" s="426"/>
      <c r="AF58" s="426"/>
      <c r="AG58" s="426"/>
      <c r="AH58" s="426"/>
      <c r="AI58" s="426"/>
      <c r="AJ58" s="426"/>
      <c r="AK58" s="426"/>
      <c r="AL58" s="426"/>
      <c r="AM58" s="426"/>
      <c r="AN58" s="426"/>
      <c r="AO58" s="426"/>
      <c r="AP58" s="426"/>
      <c r="AQ58" s="426"/>
      <c r="AR58" s="426"/>
      <c r="AS58" s="426"/>
      <c r="AT58" s="426"/>
      <c r="AU58" s="426"/>
      <c r="AV58" s="426"/>
      <c r="AW58" s="426"/>
      <c r="AX58" s="426"/>
      <c r="AY58" s="426"/>
      <c r="AZ58" s="426"/>
      <c r="BA58" s="426"/>
      <c r="BB58" s="426"/>
      <c r="BC58" s="426"/>
      <c r="BD58" s="426"/>
      <c r="BE58" s="426"/>
      <c r="BF58" s="426"/>
      <c r="BG58" s="426"/>
      <c r="BH58" s="426"/>
      <c r="BI58" s="426"/>
      <c r="BJ58" s="426"/>
      <c r="BK58" s="426"/>
      <c r="BL58" s="426"/>
      <c r="BM58" s="426"/>
      <c r="BN58" s="426"/>
      <c r="BO58" s="426"/>
      <c r="BP58" s="426"/>
      <c r="BQ58" s="426"/>
      <c r="BR58" s="426"/>
      <c r="BS58" s="426"/>
      <c r="BT58" s="426"/>
      <c r="BU58" s="426"/>
      <c r="BV58" s="426"/>
      <c r="BW58" s="426"/>
      <c r="BX58" s="426"/>
      <c r="BY58" s="426"/>
      <c r="BZ58" s="426"/>
      <c r="CA58" s="426"/>
      <c r="CB58" s="426"/>
      <c r="CC58" s="426"/>
      <c r="CD58" s="426"/>
      <c r="CE58" s="426"/>
      <c r="CF58" s="426"/>
      <c r="CG58" s="426"/>
      <c r="CH58" s="426"/>
      <c r="CI58" s="426"/>
      <c r="CJ58" s="426"/>
      <c r="CK58" s="426"/>
      <c r="CL58" s="426"/>
      <c r="CM58" s="426"/>
      <c r="CN58" s="426"/>
      <c r="CO58" s="426"/>
      <c r="CP58" s="426"/>
      <c r="CQ58" s="426"/>
      <c r="CR58" s="426"/>
      <c r="CS58" s="426"/>
      <c r="CT58" s="426"/>
      <c r="CU58" s="426"/>
      <c r="CV58" s="426"/>
      <c r="CW58" s="426"/>
      <c r="CX58" s="426"/>
      <c r="CY58" s="426"/>
      <c r="CZ58" s="426"/>
      <c r="DA58" s="426"/>
      <c r="DB58" s="426"/>
      <c r="DC58" s="426"/>
    </row>
    <row r="59" spans="1:20" ht="12.75">
      <c r="A59" s="74" t="s">
        <v>1003</v>
      </c>
      <c r="B59" s="430">
        <f>SUM(B60:B62)</f>
        <v>1930383</v>
      </c>
      <c r="C59" s="430">
        <f aca="true" t="shared" si="33" ref="C59:I59">SUM(C60:C62)</f>
        <v>33983</v>
      </c>
      <c r="D59" s="628">
        <f t="shared" si="1"/>
        <v>1.760427852918307</v>
      </c>
      <c r="E59" s="430">
        <f t="shared" si="33"/>
        <v>3176974</v>
      </c>
      <c r="F59" s="430">
        <f t="shared" si="33"/>
        <v>38774</v>
      </c>
      <c r="G59" s="628">
        <f t="shared" si="2"/>
        <v>1.2204695411419797</v>
      </c>
      <c r="H59" s="430">
        <f t="shared" si="33"/>
        <v>973330</v>
      </c>
      <c r="I59" s="430">
        <f t="shared" si="33"/>
        <v>72330</v>
      </c>
      <c r="J59" s="628">
        <f t="shared" si="6"/>
        <v>7.431189832841893</v>
      </c>
      <c r="K59" s="74" t="s">
        <v>1003</v>
      </c>
      <c r="L59" s="430">
        <f aca="true" t="shared" si="34" ref="L59:S59">SUM(L60:L62)</f>
        <v>1930</v>
      </c>
      <c r="M59" s="430">
        <f t="shared" si="34"/>
        <v>34</v>
      </c>
      <c r="N59" s="628">
        <f t="shared" si="4"/>
        <v>1.7616580310880827</v>
      </c>
      <c r="O59" s="430">
        <f t="shared" si="34"/>
        <v>3177</v>
      </c>
      <c r="P59" s="430">
        <f t="shared" si="34"/>
        <v>39</v>
      </c>
      <c r="Q59" s="628">
        <f t="shared" si="5"/>
        <v>1.2275731822474032</v>
      </c>
      <c r="R59" s="430">
        <f t="shared" si="34"/>
        <v>973</v>
      </c>
      <c r="S59" s="430">
        <f t="shared" si="34"/>
        <v>72</v>
      </c>
      <c r="T59" s="628">
        <f t="shared" si="7"/>
        <v>7.399794450154163</v>
      </c>
    </row>
    <row r="60" spans="1:107" s="427" customFormat="1" ht="12.75">
      <c r="A60" s="432" t="s">
        <v>1059</v>
      </c>
      <c r="B60" s="27">
        <v>33983</v>
      </c>
      <c r="C60" s="27">
        <v>33983</v>
      </c>
      <c r="D60" s="629">
        <f t="shared" si="1"/>
        <v>100</v>
      </c>
      <c r="E60" s="27">
        <v>38774</v>
      </c>
      <c r="F60" s="27">
        <v>38774</v>
      </c>
      <c r="G60" s="629">
        <f t="shared" si="2"/>
        <v>100</v>
      </c>
      <c r="H60" s="27">
        <v>72330</v>
      </c>
      <c r="I60" s="27">
        <v>72330</v>
      </c>
      <c r="J60" s="629">
        <f t="shared" si="6"/>
        <v>100</v>
      </c>
      <c r="K60" s="432" t="s">
        <v>1059</v>
      </c>
      <c r="L60" s="27">
        <f aca="true" t="shared" si="35" ref="L60:M62">ROUND(B60/1000,0)</f>
        <v>34</v>
      </c>
      <c r="M60" s="27">
        <f t="shared" si="35"/>
        <v>34</v>
      </c>
      <c r="N60" s="629">
        <f t="shared" si="4"/>
        <v>100</v>
      </c>
      <c r="O60" s="27">
        <f aca="true" t="shared" si="36" ref="O60:P62">ROUND(E60/1000,0)</f>
        <v>39</v>
      </c>
      <c r="P60" s="27">
        <f>ROUND(F60/1000,0)</f>
        <v>39</v>
      </c>
      <c r="Q60" s="629">
        <f t="shared" si="5"/>
        <v>100</v>
      </c>
      <c r="R60" s="27">
        <f aca="true" t="shared" si="37" ref="R60:S62">ROUND(H60/1000,0)</f>
        <v>72</v>
      </c>
      <c r="S60" s="27">
        <f t="shared" si="37"/>
        <v>72</v>
      </c>
      <c r="T60" s="629">
        <f t="shared" si="7"/>
        <v>100</v>
      </c>
      <c r="U60" s="426"/>
      <c r="V60" s="426"/>
      <c r="W60" s="426"/>
      <c r="X60" s="426"/>
      <c r="Y60" s="426"/>
      <c r="Z60" s="426"/>
      <c r="AA60" s="426"/>
      <c r="AB60" s="426"/>
      <c r="AC60" s="426"/>
      <c r="AD60" s="426"/>
      <c r="AE60" s="426"/>
      <c r="AF60" s="426"/>
      <c r="AG60" s="426"/>
      <c r="AH60" s="426"/>
      <c r="AI60" s="426"/>
      <c r="AJ60" s="426"/>
      <c r="AK60" s="426"/>
      <c r="AL60" s="426"/>
      <c r="AM60" s="426"/>
      <c r="AN60" s="426"/>
      <c r="AO60" s="426"/>
      <c r="AP60" s="426"/>
      <c r="AQ60" s="426"/>
      <c r="AR60" s="426"/>
      <c r="AS60" s="426"/>
      <c r="AT60" s="426"/>
      <c r="AU60" s="426"/>
      <c r="AV60" s="426"/>
      <c r="AW60" s="426"/>
      <c r="AX60" s="426"/>
      <c r="AY60" s="426"/>
      <c r="AZ60" s="426"/>
      <c r="BA60" s="426"/>
      <c r="BB60" s="426"/>
      <c r="BC60" s="426"/>
      <c r="BD60" s="426"/>
      <c r="BE60" s="426"/>
      <c r="BF60" s="426"/>
      <c r="BG60" s="426"/>
      <c r="BH60" s="426"/>
      <c r="BI60" s="426"/>
      <c r="BJ60" s="426"/>
      <c r="BK60" s="426"/>
      <c r="BL60" s="426"/>
      <c r="BM60" s="426"/>
      <c r="BN60" s="426"/>
      <c r="BO60" s="426"/>
      <c r="BP60" s="426"/>
      <c r="BQ60" s="426"/>
      <c r="BR60" s="426"/>
      <c r="BS60" s="426"/>
      <c r="BT60" s="426"/>
      <c r="BU60" s="426"/>
      <c r="BV60" s="426"/>
      <c r="BW60" s="426"/>
      <c r="BX60" s="426"/>
      <c r="BY60" s="426"/>
      <c r="BZ60" s="426"/>
      <c r="CA60" s="426"/>
      <c r="CB60" s="426"/>
      <c r="CC60" s="426"/>
      <c r="CD60" s="426"/>
      <c r="CE60" s="426"/>
      <c r="CF60" s="426"/>
      <c r="CG60" s="426"/>
      <c r="CH60" s="426"/>
      <c r="CI60" s="426"/>
      <c r="CJ60" s="426"/>
      <c r="CK60" s="426"/>
      <c r="CL60" s="426"/>
      <c r="CM60" s="426"/>
      <c r="CN60" s="426"/>
      <c r="CO60" s="426"/>
      <c r="CP60" s="426"/>
      <c r="CQ60" s="426"/>
      <c r="CR60" s="426"/>
      <c r="CS60" s="426"/>
      <c r="CT60" s="426"/>
      <c r="CU60" s="426"/>
      <c r="CV60" s="426"/>
      <c r="CW60" s="426"/>
      <c r="CX60" s="426"/>
      <c r="CY60" s="426"/>
      <c r="CZ60" s="426"/>
      <c r="DA60" s="426"/>
      <c r="DB60" s="426"/>
      <c r="DC60" s="426"/>
    </row>
    <row r="61" spans="1:107" s="427" customFormat="1" ht="12.75">
      <c r="A61" s="432" t="s">
        <v>671</v>
      </c>
      <c r="B61" s="27">
        <v>514400</v>
      </c>
      <c r="C61" s="27"/>
      <c r="D61" s="629">
        <f t="shared" si="1"/>
        <v>0</v>
      </c>
      <c r="E61" s="27">
        <v>514400</v>
      </c>
      <c r="F61" s="27"/>
      <c r="G61" s="629">
        <f t="shared" si="2"/>
        <v>0</v>
      </c>
      <c r="H61" s="27"/>
      <c r="I61" s="27"/>
      <c r="J61" s="629" t="e">
        <f t="shared" si="6"/>
        <v>#DIV/0!</v>
      </c>
      <c r="K61" s="432" t="s">
        <v>671</v>
      </c>
      <c r="L61" s="27">
        <f t="shared" si="35"/>
        <v>514</v>
      </c>
      <c r="M61" s="27">
        <f t="shared" si="35"/>
        <v>0</v>
      </c>
      <c r="N61" s="629">
        <f t="shared" si="4"/>
        <v>0</v>
      </c>
      <c r="O61" s="27">
        <f t="shared" si="36"/>
        <v>514</v>
      </c>
      <c r="P61" s="27">
        <f t="shared" si="36"/>
        <v>0</v>
      </c>
      <c r="Q61" s="629">
        <f t="shared" si="5"/>
        <v>0</v>
      </c>
      <c r="R61" s="27"/>
      <c r="S61" s="27"/>
      <c r="T61" s="629"/>
      <c r="U61" s="426"/>
      <c r="V61" s="426"/>
      <c r="W61" s="426"/>
      <c r="X61" s="426"/>
      <c r="Y61" s="426"/>
      <c r="Z61" s="426"/>
      <c r="AA61" s="426"/>
      <c r="AB61" s="426"/>
      <c r="AC61" s="426"/>
      <c r="AD61" s="426"/>
      <c r="AE61" s="426"/>
      <c r="AF61" s="426"/>
      <c r="AG61" s="426"/>
      <c r="AH61" s="426"/>
      <c r="AI61" s="426"/>
      <c r="AJ61" s="426"/>
      <c r="AK61" s="426"/>
      <c r="AL61" s="426"/>
      <c r="AM61" s="426"/>
      <c r="AN61" s="426"/>
      <c r="AO61" s="426"/>
      <c r="AP61" s="426"/>
      <c r="AQ61" s="426"/>
      <c r="AR61" s="426"/>
      <c r="AS61" s="426"/>
      <c r="AT61" s="426"/>
      <c r="AU61" s="426"/>
      <c r="AV61" s="426"/>
      <c r="AW61" s="426"/>
      <c r="AX61" s="426"/>
      <c r="AY61" s="426"/>
      <c r="AZ61" s="426"/>
      <c r="BA61" s="426"/>
      <c r="BB61" s="426"/>
      <c r="BC61" s="426"/>
      <c r="BD61" s="426"/>
      <c r="BE61" s="426"/>
      <c r="BF61" s="426"/>
      <c r="BG61" s="426"/>
      <c r="BH61" s="426"/>
      <c r="BI61" s="426"/>
      <c r="BJ61" s="426"/>
      <c r="BK61" s="426"/>
      <c r="BL61" s="426"/>
      <c r="BM61" s="426"/>
      <c r="BN61" s="426"/>
      <c r="BO61" s="426"/>
      <c r="BP61" s="426"/>
      <c r="BQ61" s="426"/>
      <c r="BR61" s="426"/>
      <c r="BS61" s="426"/>
      <c r="BT61" s="426"/>
      <c r="BU61" s="426"/>
      <c r="BV61" s="426"/>
      <c r="BW61" s="426"/>
      <c r="BX61" s="426"/>
      <c r="BY61" s="426"/>
      <c r="BZ61" s="426"/>
      <c r="CA61" s="426"/>
      <c r="CB61" s="426"/>
      <c r="CC61" s="426"/>
      <c r="CD61" s="426"/>
      <c r="CE61" s="426"/>
      <c r="CF61" s="426"/>
      <c r="CG61" s="426"/>
      <c r="CH61" s="426"/>
      <c r="CI61" s="426"/>
      <c r="CJ61" s="426"/>
      <c r="CK61" s="426"/>
      <c r="CL61" s="426"/>
      <c r="CM61" s="426"/>
      <c r="CN61" s="426"/>
      <c r="CO61" s="426"/>
      <c r="CP61" s="426"/>
      <c r="CQ61" s="426"/>
      <c r="CR61" s="426"/>
      <c r="CS61" s="426"/>
      <c r="CT61" s="426"/>
      <c r="CU61" s="426"/>
      <c r="CV61" s="426"/>
      <c r="CW61" s="426"/>
      <c r="CX61" s="426"/>
      <c r="CY61" s="426"/>
      <c r="CZ61" s="426"/>
      <c r="DA61" s="426"/>
      <c r="DB61" s="426"/>
      <c r="DC61" s="426"/>
    </row>
    <row r="62" spans="1:107" s="427" customFormat="1" ht="12.75">
      <c r="A62" s="432" t="s">
        <v>237</v>
      </c>
      <c r="B62" s="27">
        <v>1382000</v>
      </c>
      <c r="C62" s="27"/>
      <c r="D62" s="629">
        <f t="shared" si="1"/>
        <v>0</v>
      </c>
      <c r="E62" s="27">
        <v>2623800</v>
      </c>
      <c r="F62" s="27"/>
      <c r="G62" s="629">
        <f t="shared" si="2"/>
        <v>0</v>
      </c>
      <c r="H62" s="27">
        <v>901000</v>
      </c>
      <c r="I62" s="27"/>
      <c r="J62" s="629">
        <f t="shared" si="6"/>
        <v>0</v>
      </c>
      <c r="K62" s="432" t="s">
        <v>237</v>
      </c>
      <c r="L62" s="27">
        <f t="shared" si="35"/>
        <v>1382</v>
      </c>
      <c r="M62" s="27">
        <f t="shared" si="35"/>
        <v>0</v>
      </c>
      <c r="N62" s="629">
        <f t="shared" si="4"/>
        <v>0</v>
      </c>
      <c r="O62" s="27">
        <f t="shared" si="36"/>
        <v>2624</v>
      </c>
      <c r="P62" s="27">
        <f t="shared" si="36"/>
        <v>0</v>
      </c>
      <c r="Q62" s="629">
        <f t="shared" si="5"/>
        <v>0</v>
      </c>
      <c r="R62" s="27">
        <f t="shared" si="37"/>
        <v>901</v>
      </c>
      <c r="S62" s="27">
        <f t="shared" si="37"/>
        <v>0</v>
      </c>
      <c r="T62" s="629">
        <f t="shared" si="7"/>
        <v>0</v>
      </c>
      <c r="U62" s="426"/>
      <c r="V62" s="426"/>
      <c r="W62" s="426"/>
      <c r="X62" s="426"/>
      <c r="Y62" s="426"/>
      <c r="Z62" s="426"/>
      <c r="AA62" s="426"/>
      <c r="AB62" s="426"/>
      <c r="AC62" s="426"/>
      <c r="AD62" s="426"/>
      <c r="AE62" s="426"/>
      <c r="AF62" s="426"/>
      <c r="AG62" s="426"/>
      <c r="AH62" s="426"/>
      <c r="AI62" s="426"/>
      <c r="AJ62" s="426"/>
      <c r="AK62" s="426"/>
      <c r="AL62" s="426"/>
      <c r="AM62" s="426"/>
      <c r="AN62" s="426"/>
      <c r="AO62" s="426"/>
      <c r="AP62" s="426"/>
      <c r="AQ62" s="426"/>
      <c r="AR62" s="426"/>
      <c r="AS62" s="426"/>
      <c r="AT62" s="426"/>
      <c r="AU62" s="426"/>
      <c r="AV62" s="426"/>
      <c r="AW62" s="426"/>
      <c r="AX62" s="426"/>
      <c r="AY62" s="426"/>
      <c r="AZ62" s="426"/>
      <c r="BA62" s="426"/>
      <c r="BB62" s="426"/>
      <c r="BC62" s="426"/>
      <c r="BD62" s="426"/>
      <c r="BE62" s="426"/>
      <c r="BF62" s="426"/>
      <c r="BG62" s="426"/>
      <c r="BH62" s="426"/>
      <c r="BI62" s="426"/>
      <c r="BJ62" s="426"/>
      <c r="BK62" s="426"/>
      <c r="BL62" s="426"/>
      <c r="BM62" s="426"/>
      <c r="BN62" s="426"/>
      <c r="BO62" s="426"/>
      <c r="BP62" s="426"/>
      <c r="BQ62" s="426"/>
      <c r="BR62" s="426"/>
      <c r="BS62" s="426"/>
      <c r="BT62" s="426"/>
      <c r="BU62" s="426"/>
      <c r="BV62" s="426"/>
      <c r="BW62" s="426"/>
      <c r="BX62" s="426"/>
      <c r="BY62" s="426"/>
      <c r="BZ62" s="426"/>
      <c r="CA62" s="426"/>
      <c r="CB62" s="426"/>
      <c r="CC62" s="426"/>
      <c r="CD62" s="426"/>
      <c r="CE62" s="426"/>
      <c r="CF62" s="426"/>
      <c r="CG62" s="426"/>
      <c r="CH62" s="426"/>
      <c r="CI62" s="426"/>
      <c r="CJ62" s="426"/>
      <c r="CK62" s="426"/>
      <c r="CL62" s="426"/>
      <c r="CM62" s="426"/>
      <c r="CN62" s="426"/>
      <c r="CO62" s="426"/>
      <c r="CP62" s="426"/>
      <c r="CQ62" s="426"/>
      <c r="CR62" s="426"/>
      <c r="CS62" s="426"/>
      <c r="CT62" s="426"/>
      <c r="CU62" s="426"/>
      <c r="CV62" s="426"/>
      <c r="CW62" s="426"/>
      <c r="CX62" s="426"/>
      <c r="CY62" s="426"/>
      <c r="CZ62" s="426"/>
      <c r="DA62" s="426"/>
      <c r="DB62" s="426"/>
      <c r="DC62" s="426"/>
    </row>
    <row r="63" spans="1:20" ht="12.75">
      <c r="A63" s="74" t="s">
        <v>261</v>
      </c>
      <c r="B63" s="430">
        <f>SUM(B64:B65)</f>
        <v>2884000</v>
      </c>
      <c r="C63" s="430">
        <f aca="true" t="shared" si="38" ref="C63:H63">SUM(C64:C65)</f>
        <v>975000</v>
      </c>
      <c r="D63" s="628">
        <f t="shared" si="1"/>
        <v>33.80721220527046</v>
      </c>
      <c r="E63" s="430">
        <f t="shared" si="38"/>
        <v>1642000</v>
      </c>
      <c r="F63" s="430">
        <f t="shared" si="38"/>
        <v>872000</v>
      </c>
      <c r="G63" s="628">
        <f t="shared" si="2"/>
        <v>53.10596833130329</v>
      </c>
      <c r="H63" s="430">
        <f t="shared" si="38"/>
        <v>2880000</v>
      </c>
      <c r="I63" s="430">
        <f>SUM(I64:I65)</f>
        <v>1745000</v>
      </c>
      <c r="J63" s="628">
        <f t="shared" si="6"/>
        <v>60.59027777777778</v>
      </c>
      <c r="K63" s="74" t="s">
        <v>261</v>
      </c>
      <c r="L63" s="430">
        <f aca="true" t="shared" si="39" ref="L63:S63">SUM(L64:L65)</f>
        <v>2884</v>
      </c>
      <c r="M63" s="430">
        <f t="shared" si="39"/>
        <v>975</v>
      </c>
      <c r="N63" s="628">
        <f t="shared" si="4"/>
        <v>33.80721220527046</v>
      </c>
      <c r="O63" s="430">
        <f t="shared" si="39"/>
        <v>1642</v>
      </c>
      <c r="P63" s="430">
        <f t="shared" si="39"/>
        <v>872</v>
      </c>
      <c r="Q63" s="628">
        <f t="shared" si="5"/>
        <v>53.10596833130329</v>
      </c>
      <c r="R63" s="430">
        <f t="shared" si="39"/>
        <v>2880</v>
      </c>
      <c r="S63" s="430">
        <f t="shared" si="39"/>
        <v>1745</v>
      </c>
      <c r="T63" s="628">
        <f t="shared" si="7"/>
        <v>60.59027777777778</v>
      </c>
    </row>
    <row r="64" spans="1:107" s="427" customFormat="1" ht="12.75">
      <c r="A64" s="432" t="s">
        <v>671</v>
      </c>
      <c r="B64" s="27">
        <v>10000</v>
      </c>
      <c r="C64" s="27">
        <v>10000</v>
      </c>
      <c r="D64" s="629">
        <f t="shared" si="1"/>
        <v>100</v>
      </c>
      <c r="E64" s="27">
        <v>10000</v>
      </c>
      <c r="F64" s="27">
        <v>10000</v>
      </c>
      <c r="G64" s="629">
        <f t="shared" si="2"/>
        <v>100</v>
      </c>
      <c r="H64" s="27">
        <v>50000</v>
      </c>
      <c r="I64" s="27">
        <v>50000</v>
      </c>
      <c r="J64" s="629">
        <f t="shared" si="6"/>
        <v>100</v>
      </c>
      <c r="K64" s="432" t="s">
        <v>671</v>
      </c>
      <c r="L64" s="27">
        <f>ROUND(B64/1000,0)</f>
        <v>10</v>
      </c>
      <c r="M64" s="27">
        <f>ROUND(C64/1000,0)</f>
        <v>10</v>
      </c>
      <c r="N64" s="629">
        <f t="shared" si="4"/>
        <v>100</v>
      </c>
      <c r="O64" s="27">
        <f>ROUND(E64/1000,0)</f>
        <v>10</v>
      </c>
      <c r="P64" s="27">
        <f>ROUND(F64/1000,0)</f>
        <v>10</v>
      </c>
      <c r="Q64" s="629">
        <f t="shared" si="5"/>
        <v>100</v>
      </c>
      <c r="R64" s="27">
        <f>ROUND(H64/1000,0)</f>
        <v>50</v>
      </c>
      <c r="S64" s="27">
        <f>ROUND(I64/1000,0)</f>
        <v>50</v>
      </c>
      <c r="T64" s="629">
        <f t="shared" si="7"/>
        <v>100</v>
      </c>
      <c r="U64" s="426"/>
      <c r="V64" s="426"/>
      <c r="W64" s="426"/>
      <c r="X64" s="426"/>
      <c r="Y64" s="426"/>
      <c r="Z64" s="426"/>
      <c r="AA64" s="426"/>
      <c r="AB64" s="426"/>
      <c r="AC64" s="426"/>
      <c r="AD64" s="426"/>
      <c r="AE64" s="426"/>
      <c r="AF64" s="426"/>
      <c r="AG64" s="426"/>
      <c r="AH64" s="426"/>
      <c r="AI64" s="426"/>
      <c r="AJ64" s="426"/>
      <c r="AK64" s="426"/>
      <c r="AL64" s="426"/>
      <c r="AM64" s="426"/>
      <c r="AN64" s="426"/>
      <c r="AO64" s="426"/>
      <c r="AP64" s="426"/>
      <c r="AQ64" s="426"/>
      <c r="AR64" s="426"/>
      <c r="AS64" s="426"/>
      <c r="AT64" s="426"/>
      <c r="AU64" s="426"/>
      <c r="AV64" s="426"/>
      <c r="AW64" s="426"/>
      <c r="AX64" s="426"/>
      <c r="AY64" s="426"/>
      <c r="AZ64" s="426"/>
      <c r="BA64" s="426"/>
      <c r="BB64" s="426"/>
      <c r="BC64" s="426"/>
      <c r="BD64" s="426"/>
      <c r="BE64" s="426"/>
      <c r="BF64" s="426"/>
      <c r="BG64" s="426"/>
      <c r="BH64" s="426"/>
      <c r="BI64" s="426"/>
      <c r="BJ64" s="426"/>
      <c r="BK64" s="426"/>
      <c r="BL64" s="426"/>
      <c r="BM64" s="426"/>
      <c r="BN64" s="426"/>
      <c r="BO64" s="426"/>
      <c r="BP64" s="426"/>
      <c r="BQ64" s="426"/>
      <c r="BR64" s="426"/>
      <c r="BS64" s="426"/>
      <c r="BT64" s="426"/>
      <c r="BU64" s="426"/>
      <c r="BV64" s="426"/>
      <c r="BW64" s="426"/>
      <c r="BX64" s="426"/>
      <c r="BY64" s="426"/>
      <c r="BZ64" s="426"/>
      <c r="CA64" s="426"/>
      <c r="CB64" s="426"/>
      <c r="CC64" s="426"/>
      <c r="CD64" s="426"/>
      <c r="CE64" s="426"/>
      <c r="CF64" s="426"/>
      <c r="CG64" s="426"/>
      <c r="CH64" s="426"/>
      <c r="CI64" s="426"/>
      <c r="CJ64" s="426"/>
      <c r="CK64" s="426"/>
      <c r="CL64" s="426"/>
      <c r="CM64" s="426"/>
      <c r="CN64" s="426"/>
      <c r="CO64" s="426"/>
      <c r="CP64" s="426"/>
      <c r="CQ64" s="426"/>
      <c r="CR64" s="426"/>
      <c r="CS64" s="426"/>
      <c r="CT64" s="426"/>
      <c r="CU64" s="426"/>
      <c r="CV64" s="426"/>
      <c r="CW64" s="426"/>
      <c r="CX64" s="426"/>
      <c r="CY64" s="426"/>
      <c r="CZ64" s="426"/>
      <c r="DA64" s="426"/>
      <c r="DB64" s="426"/>
      <c r="DC64" s="426"/>
    </row>
    <row r="65" spans="1:107" s="427" customFormat="1" ht="12.75">
      <c r="A65" s="432" t="s">
        <v>237</v>
      </c>
      <c r="B65" s="27">
        <v>2874000</v>
      </c>
      <c r="C65" s="27">
        <f>165000+800000</f>
        <v>965000</v>
      </c>
      <c r="D65" s="629">
        <f t="shared" si="1"/>
        <v>33.57689631176061</v>
      </c>
      <c r="E65" s="27">
        <v>1632000</v>
      </c>
      <c r="F65" s="27">
        <f>62000+800000</f>
        <v>862000</v>
      </c>
      <c r="G65" s="629">
        <f t="shared" si="2"/>
        <v>52.818627450980394</v>
      </c>
      <c r="H65" s="27">
        <v>2830000</v>
      </c>
      <c r="I65" s="27">
        <v>1695000</v>
      </c>
      <c r="J65" s="629">
        <f t="shared" si="6"/>
        <v>59.8939929328622</v>
      </c>
      <c r="K65" s="432" t="s">
        <v>237</v>
      </c>
      <c r="L65" s="27">
        <f>ROUND(B65/1000,0)</f>
        <v>2874</v>
      </c>
      <c r="M65" s="27">
        <f>ROUND(C65/1000,0)</f>
        <v>965</v>
      </c>
      <c r="N65" s="629">
        <f t="shared" si="4"/>
        <v>33.57689631176061</v>
      </c>
      <c r="O65" s="27">
        <f>ROUND(E65/1000,0)</f>
        <v>1632</v>
      </c>
      <c r="P65" s="27">
        <f>ROUND(F65/1000,0)</f>
        <v>862</v>
      </c>
      <c r="Q65" s="629">
        <f t="shared" si="5"/>
        <v>52.818627450980394</v>
      </c>
      <c r="R65" s="27">
        <f>ROUND(H65/1000,0)</f>
        <v>2830</v>
      </c>
      <c r="S65" s="27">
        <f>ROUND(I65/1000,0)</f>
        <v>1695</v>
      </c>
      <c r="T65" s="629">
        <f t="shared" si="7"/>
        <v>59.8939929328622</v>
      </c>
      <c r="U65" s="426"/>
      <c r="V65" s="426"/>
      <c r="W65" s="426"/>
      <c r="X65" s="426"/>
      <c r="Y65" s="426"/>
      <c r="Z65" s="426"/>
      <c r="AA65" s="426"/>
      <c r="AB65" s="426"/>
      <c r="AC65" s="426"/>
      <c r="AD65" s="426"/>
      <c r="AE65" s="426"/>
      <c r="AF65" s="426"/>
      <c r="AG65" s="426"/>
      <c r="AH65" s="426"/>
      <c r="AI65" s="426"/>
      <c r="AJ65" s="426"/>
      <c r="AK65" s="426"/>
      <c r="AL65" s="426"/>
      <c r="AM65" s="426"/>
      <c r="AN65" s="426"/>
      <c r="AO65" s="426"/>
      <c r="AP65" s="426"/>
      <c r="AQ65" s="426"/>
      <c r="AR65" s="426"/>
      <c r="AS65" s="426"/>
      <c r="AT65" s="426"/>
      <c r="AU65" s="426"/>
      <c r="AV65" s="426"/>
      <c r="AW65" s="426"/>
      <c r="AX65" s="426"/>
      <c r="AY65" s="426"/>
      <c r="AZ65" s="426"/>
      <c r="BA65" s="426"/>
      <c r="BB65" s="426"/>
      <c r="BC65" s="426"/>
      <c r="BD65" s="426"/>
      <c r="BE65" s="426"/>
      <c r="BF65" s="426"/>
      <c r="BG65" s="426"/>
      <c r="BH65" s="426"/>
      <c r="BI65" s="426"/>
      <c r="BJ65" s="426"/>
      <c r="BK65" s="426"/>
      <c r="BL65" s="426"/>
      <c r="BM65" s="426"/>
      <c r="BN65" s="426"/>
      <c r="BO65" s="426"/>
      <c r="BP65" s="426"/>
      <c r="BQ65" s="426"/>
      <c r="BR65" s="426"/>
      <c r="BS65" s="426"/>
      <c r="BT65" s="426"/>
      <c r="BU65" s="426"/>
      <c r="BV65" s="426"/>
      <c r="BW65" s="426"/>
      <c r="BX65" s="426"/>
      <c r="BY65" s="426"/>
      <c r="BZ65" s="426"/>
      <c r="CA65" s="426"/>
      <c r="CB65" s="426"/>
      <c r="CC65" s="426"/>
      <c r="CD65" s="426"/>
      <c r="CE65" s="426"/>
      <c r="CF65" s="426"/>
      <c r="CG65" s="426"/>
      <c r="CH65" s="426"/>
      <c r="CI65" s="426"/>
      <c r="CJ65" s="426"/>
      <c r="CK65" s="426"/>
      <c r="CL65" s="426"/>
      <c r="CM65" s="426"/>
      <c r="CN65" s="426"/>
      <c r="CO65" s="426"/>
      <c r="CP65" s="426"/>
      <c r="CQ65" s="426"/>
      <c r="CR65" s="426"/>
      <c r="CS65" s="426"/>
      <c r="CT65" s="426"/>
      <c r="CU65" s="426"/>
      <c r="CV65" s="426"/>
      <c r="CW65" s="426"/>
      <c r="CX65" s="426"/>
      <c r="CY65" s="426"/>
      <c r="CZ65" s="426"/>
      <c r="DA65" s="426"/>
      <c r="DB65" s="426"/>
      <c r="DC65" s="426"/>
    </row>
    <row r="66" spans="1:20" ht="12.75">
      <c r="A66" s="74" t="s">
        <v>1007</v>
      </c>
      <c r="B66" s="430">
        <f>SUM(B67:B68)</f>
        <v>2105510</v>
      </c>
      <c r="C66" s="430">
        <f aca="true" t="shared" si="40" ref="C66:H66">SUM(C67:C68)</f>
        <v>0</v>
      </c>
      <c r="D66" s="628">
        <f t="shared" si="1"/>
        <v>0</v>
      </c>
      <c r="E66" s="430">
        <f t="shared" si="40"/>
        <v>888660</v>
      </c>
      <c r="F66" s="430">
        <f t="shared" si="40"/>
        <v>0</v>
      </c>
      <c r="G66" s="628">
        <f t="shared" si="2"/>
        <v>0</v>
      </c>
      <c r="H66" s="430">
        <f t="shared" si="40"/>
        <v>618660</v>
      </c>
      <c r="I66" s="430">
        <f>SUM(I67:I68)</f>
        <v>0</v>
      </c>
      <c r="J66" s="628">
        <f t="shared" si="6"/>
        <v>0</v>
      </c>
      <c r="K66" s="74" t="s">
        <v>1007</v>
      </c>
      <c r="L66" s="430">
        <f aca="true" t="shared" si="41" ref="L66:S66">SUM(L67:L68)</f>
        <v>2105</v>
      </c>
      <c r="M66" s="430">
        <f t="shared" si="41"/>
        <v>0</v>
      </c>
      <c r="N66" s="628">
        <f t="shared" si="4"/>
        <v>0</v>
      </c>
      <c r="O66" s="430">
        <f t="shared" si="41"/>
        <v>889</v>
      </c>
      <c r="P66" s="430">
        <f t="shared" si="41"/>
        <v>0</v>
      </c>
      <c r="Q66" s="628">
        <f t="shared" si="5"/>
        <v>0</v>
      </c>
      <c r="R66" s="430">
        <f t="shared" si="41"/>
        <v>619</v>
      </c>
      <c r="S66" s="430">
        <f t="shared" si="41"/>
        <v>0</v>
      </c>
      <c r="T66" s="628">
        <f t="shared" si="7"/>
        <v>0</v>
      </c>
    </row>
    <row r="67" spans="1:107" s="427" customFormat="1" ht="12.75">
      <c r="A67" s="432" t="s">
        <v>671</v>
      </c>
      <c r="B67" s="27">
        <v>390510</v>
      </c>
      <c r="C67" s="27"/>
      <c r="D67" s="629">
        <f t="shared" si="1"/>
        <v>0</v>
      </c>
      <c r="E67" s="27">
        <v>558660</v>
      </c>
      <c r="F67" s="27"/>
      <c r="G67" s="629">
        <f t="shared" si="2"/>
        <v>0</v>
      </c>
      <c r="H67" s="27">
        <v>558660</v>
      </c>
      <c r="I67" s="27"/>
      <c r="J67" s="629">
        <f t="shared" si="6"/>
        <v>0</v>
      </c>
      <c r="K67" s="432" t="s">
        <v>671</v>
      </c>
      <c r="L67" s="27">
        <f>ROUND(B67/1000,0)-1</f>
        <v>390</v>
      </c>
      <c r="M67" s="27">
        <f>ROUND(C67/1000,0)</f>
        <v>0</v>
      </c>
      <c r="N67" s="629">
        <f t="shared" si="4"/>
        <v>0</v>
      </c>
      <c r="O67" s="27">
        <f>ROUND(E67/1000,0)</f>
        <v>559</v>
      </c>
      <c r="P67" s="27">
        <f>ROUND(F67/1000,0)</f>
        <v>0</v>
      </c>
      <c r="Q67" s="629">
        <f t="shared" si="5"/>
        <v>0</v>
      </c>
      <c r="R67" s="27">
        <f>ROUND(H67/1000,0)</f>
        <v>559</v>
      </c>
      <c r="S67" s="27">
        <f>ROUND(I67/1000,0)</f>
        <v>0</v>
      </c>
      <c r="T67" s="629">
        <f t="shared" si="7"/>
        <v>0</v>
      </c>
      <c r="U67" s="426"/>
      <c r="V67" s="426"/>
      <c r="W67" s="426"/>
      <c r="X67" s="426"/>
      <c r="Y67" s="426"/>
      <c r="Z67" s="426"/>
      <c r="AA67" s="426"/>
      <c r="AB67" s="426"/>
      <c r="AC67" s="426"/>
      <c r="AD67" s="426"/>
      <c r="AE67" s="426"/>
      <c r="AF67" s="426"/>
      <c r="AG67" s="426"/>
      <c r="AH67" s="426"/>
      <c r="AI67" s="426"/>
      <c r="AJ67" s="426"/>
      <c r="AK67" s="426"/>
      <c r="AL67" s="426"/>
      <c r="AM67" s="426"/>
      <c r="AN67" s="426"/>
      <c r="AO67" s="426"/>
      <c r="AP67" s="426"/>
      <c r="AQ67" s="426"/>
      <c r="AR67" s="426"/>
      <c r="AS67" s="426"/>
      <c r="AT67" s="426"/>
      <c r="AU67" s="426"/>
      <c r="AV67" s="426"/>
      <c r="AW67" s="426"/>
      <c r="AX67" s="426"/>
      <c r="AY67" s="426"/>
      <c r="AZ67" s="426"/>
      <c r="BA67" s="426"/>
      <c r="BB67" s="426"/>
      <c r="BC67" s="426"/>
      <c r="BD67" s="426"/>
      <c r="BE67" s="426"/>
      <c r="BF67" s="426"/>
      <c r="BG67" s="426"/>
      <c r="BH67" s="426"/>
      <c r="BI67" s="426"/>
      <c r="BJ67" s="426"/>
      <c r="BK67" s="426"/>
      <c r="BL67" s="426"/>
      <c r="BM67" s="426"/>
      <c r="BN67" s="426"/>
      <c r="BO67" s="426"/>
      <c r="BP67" s="426"/>
      <c r="BQ67" s="426"/>
      <c r="BR67" s="426"/>
      <c r="BS67" s="426"/>
      <c r="BT67" s="426"/>
      <c r="BU67" s="426"/>
      <c r="BV67" s="426"/>
      <c r="BW67" s="426"/>
      <c r="BX67" s="426"/>
      <c r="BY67" s="426"/>
      <c r="BZ67" s="426"/>
      <c r="CA67" s="426"/>
      <c r="CB67" s="426"/>
      <c r="CC67" s="426"/>
      <c r="CD67" s="426"/>
      <c r="CE67" s="426"/>
      <c r="CF67" s="426"/>
      <c r="CG67" s="426"/>
      <c r="CH67" s="426"/>
      <c r="CI67" s="426"/>
      <c r="CJ67" s="426"/>
      <c r="CK67" s="426"/>
      <c r="CL67" s="426"/>
      <c r="CM67" s="426"/>
      <c r="CN67" s="426"/>
      <c r="CO67" s="426"/>
      <c r="CP67" s="426"/>
      <c r="CQ67" s="426"/>
      <c r="CR67" s="426"/>
      <c r="CS67" s="426"/>
      <c r="CT67" s="426"/>
      <c r="CU67" s="426"/>
      <c r="CV67" s="426"/>
      <c r="CW67" s="426"/>
      <c r="CX67" s="426"/>
      <c r="CY67" s="426"/>
      <c r="CZ67" s="426"/>
      <c r="DA67" s="426"/>
      <c r="DB67" s="426"/>
      <c r="DC67" s="426"/>
    </row>
    <row r="68" spans="1:107" s="427" customFormat="1" ht="12.75">
      <c r="A68" s="432" t="s">
        <v>237</v>
      </c>
      <c r="B68" s="27">
        <v>1715000</v>
      </c>
      <c r="C68" s="27"/>
      <c r="D68" s="629">
        <f t="shared" si="1"/>
        <v>0</v>
      </c>
      <c r="E68" s="27">
        <v>330000</v>
      </c>
      <c r="F68" s="27"/>
      <c r="G68" s="629">
        <f t="shared" si="2"/>
        <v>0</v>
      </c>
      <c r="H68" s="27">
        <v>60000</v>
      </c>
      <c r="I68" s="27"/>
      <c r="J68" s="629">
        <f t="shared" si="6"/>
        <v>0</v>
      </c>
      <c r="K68" s="432" t="s">
        <v>237</v>
      </c>
      <c r="L68" s="27">
        <f>ROUND(B68/1000,0)</f>
        <v>1715</v>
      </c>
      <c r="M68" s="27">
        <f>ROUND(C68/1000,0)</f>
        <v>0</v>
      </c>
      <c r="N68" s="629">
        <f t="shared" si="4"/>
        <v>0</v>
      </c>
      <c r="O68" s="27">
        <f>ROUND(E68/1000,0)</f>
        <v>330</v>
      </c>
      <c r="P68" s="27">
        <f>ROUND(F68/1000,0)</f>
        <v>0</v>
      </c>
      <c r="Q68" s="629">
        <f t="shared" si="5"/>
        <v>0</v>
      </c>
      <c r="R68" s="27">
        <f>ROUND(H68/1000,0)</f>
        <v>60</v>
      </c>
      <c r="S68" s="27">
        <f>ROUND(I68/1000,0)</f>
        <v>0</v>
      </c>
      <c r="T68" s="629">
        <f t="shared" si="7"/>
        <v>0</v>
      </c>
      <c r="U68" s="426"/>
      <c r="V68" s="426"/>
      <c r="W68" s="426"/>
      <c r="X68" s="426"/>
      <c r="Y68" s="426"/>
      <c r="Z68" s="426"/>
      <c r="AA68" s="426"/>
      <c r="AB68" s="426"/>
      <c r="AC68" s="426"/>
      <c r="AD68" s="426"/>
      <c r="AE68" s="426"/>
      <c r="AF68" s="426"/>
      <c r="AG68" s="426"/>
      <c r="AH68" s="426"/>
      <c r="AI68" s="426"/>
      <c r="AJ68" s="426"/>
      <c r="AK68" s="426"/>
      <c r="AL68" s="426"/>
      <c r="AM68" s="426"/>
      <c r="AN68" s="426"/>
      <c r="AO68" s="426"/>
      <c r="AP68" s="426"/>
      <c r="AQ68" s="426"/>
      <c r="AR68" s="426"/>
      <c r="AS68" s="426"/>
      <c r="AT68" s="426"/>
      <c r="AU68" s="426"/>
      <c r="AV68" s="426"/>
      <c r="AW68" s="426"/>
      <c r="AX68" s="426"/>
      <c r="AY68" s="426"/>
      <c r="AZ68" s="426"/>
      <c r="BA68" s="426"/>
      <c r="BB68" s="426"/>
      <c r="BC68" s="426"/>
      <c r="BD68" s="426"/>
      <c r="BE68" s="426"/>
      <c r="BF68" s="426"/>
      <c r="BG68" s="426"/>
      <c r="BH68" s="426"/>
      <c r="BI68" s="426"/>
      <c r="BJ68" s="426"/>
      <c r="BK68" s="426"/>
      <c r="BL68" s="426"/>
      <c r="BM68" s="426"/>
      <c r="BN68" s="426"/>
      <c r="BO68" s="426"/>
      <c r="BP68" s="426"/>
      <c r="BQ68" s="426"/>
      <c r="BR68" s="426"/>
      <c r="BS68" s="426"/>
      <c r="BT68" s="426"/>
      <c r="BU68" s="426"/>
      <c r="BV68" s="426"/>
      <c r="BW68" s="426"/>
      <c r="BX68" s="426"/>
      <c r="BY68" s="426"/>
      <c r="BZ68" s="426"/>
      <c r="CA68" s="426"/>
      <c r="CB68" s="426"/>
      <c r="CC68" s="426"/>
      <c r="CD68" s="426"/>
      <c r="CE68" s="426"/>
      <c r="CF68" s="426"/>
      <c r="CG68" s="426"/>
      <c r="CH68" s="426"/>
      <c r="CI68" s="426"/>
      <c r="CJ68" s="426"/>
      <c r="CK68" s="426"/>
      <c r="CL68" s="426"/>
      <c r="CM68" s="426"/>
      <c r="CN68" s="426"/>
      <c r="CO68" s="426"/>
      <c r="CP68" s="426"/>
      <c r="CQ68" s="426"/>
      <c r="CR68" s="426"/>
      <c r="CS68" s="426"/>
      <c r="CT68" s="426"/>
      <c r="CU68" s="426"/>
      <c r="CV68" s="426"/>
      <c r="CW68" s="426"/>
      <c r="CX68" s="426"/>
      <c r="CY68" s="426"/>
      <c r="CZ68" s="426"/>
      <c r="DA68" s="426"/>
      <c r="DB68" s="426"/>
      <c r="DC68" s="426"/>
    </row>
    <row r="69" spans="1:20" ht="12.75">
      <c r="A69" s="74" t="s">
        <v>674</v>
      </c>
      <c r="B69" s="430">
        <f>SUM(B70:B71)</f>
        <v>429090</v>
      </c>
      <c r="C69" s="430">
        <f aca="true" t="shared" si="42" ref="C69:I69">SUM(C70:C71)</f>
        <v>0</v>
      </c>
      <c r="D69" s="628">
        <f t="shared" si="1"/>
        <v>0</v>
      </c>
      <c r="E69" s="430">
        <f t="shared" si="42"/>
        <v>429090</v>
      </c>
      <c r="F69" s="430">
        <f t="shared" si="42"/>
        <v>0</v>
      </c>
      <c r="G69" s="628">
        <f t="shared" si="2"/>
        <v>0</v>
      </c>
      <c r="H69" s="430">
        <f t="shared" si="42"/>
        <v>1853180</v>
      </c>
      <c r="I69" s="430">
        <f t="shared" si="42"/>
        <v>0</v>
      </c>
      <c r="J69" s="628"/>
      <c r="K69" s="74" t="s">
        <v>674</v>
      </c>
      <c r="L69" s="430">
        <f aca="true" t="shared" si="43" ref="L69:S69">SUM(L70:L71)</f>
        <v>429</v>
      </c>
      <c r="M69" s="430">
        <f t="shared" si="43"/>
        <v>0</v>
      </c>
      <c r="N69" s="628">
        <f t="shared" si="4"/>
        <v>0</v>
      </c>
      <c r="O69" s="430">
        <f t="shared" si="43"/>
        <v>429</v>
      </c>
      <c r="P69" s="430">
        <f t="shared" si="43"/>
        <v>0</v>
      </c>
      <c r="Q69" s="628">
        <f t="shared" si="5"/>
        <v>0</v>
      </c>
      <c r="R69" s="430">
        <f t="shared" si="43"/>
        <v>1853</v>
      </c>
      <c r="S69" s="430">
        <f t="shared" si="43"/>
        <v>0</v>
      </c>
      <c r="T69" s="628">
        <f t="shared" si="7"/>
        <v>0</v>
      </c>
    </row>
    <row r="70" spans="1:107" s="427" customFormat="1" ht="12.75">
      <c r="A70" s="432" t="s">
        <v>671</v>
      </c>
      <c r="B70" s="27">
        <v>61090</v>
      </c>
      <c r="C70" s="27"/>
      <c r="D70" s="629">
        <f t="shared" si="1"/>
        <v>0</v>
      </c>
      <c r="E70" s="27">
        <v>61090</v>
      </c>
      <c r="F70" s="27"/>
      <c r="G70" s="629">
        <f t="shared" si="2"/>
        <v>0</v>
      </c>
      <c r="H70" s="27">
        <v>242180</v>
      </c>
      <c r="I70" s="27"/>
      <c r="J70" s="629"/>
      <c r="K70" s="432" t="s">
        <v>671</v>
      </c>
      <c r="L70" s="27">
        <f>ROUND(B70/1000,0)</f>
        <v>61</v>
      </c>
      <c r="M70" s="27">
        <f>ROUND(C70/1000,0)</f>
        <v>0</v>
      </c>
      <c r="N70" s="629">
        <f t="shared" si="4"/>
        <v>0</v>
      </c>
      <c r="O70" s="27">
        <f>ROUND(E70/1000,0)</f>
        <v>61</v>
      </c>
      <c r="P70" s="27">
        <f>ROUND(F70/1000,0)</f>
        <v>0</v>
      </c>
      <c r="Q70" s="629">
        <f t="shared" si="5"/>
        <v>0</v>
      </c>
      <c r="R70" s="27">
        <f>ROUND(H70/1000,0)</f>
        <v>242</v>
      </c>
      <c r="S70" s="27">
        <f>ROUND(I70/1000,0)</f>
        <v>0</v>
      </c>
      <c r="T70" s="629">
        <f t="shared" si="7"/>
        <v>0</v>
      </c>
      <c r="U70" s="426"/>
      <c r="V70" s="426"/>
      <c r="W70" s="426"/>
      <c r="X70" s="426"/>
      <c r="Y70" s="426"/>
      <c r="Z70" s="426"/>
      <c r="AA70" s="426"/>
      <c r="AB70" s="426"/>
      <c r="AC70" s="426"/>
      <c r="AD70" s="426"/>
      <c r="AE70" s="426"/>
      <c r="AF70" s="426"/>
      <c r="AG70" s="426"/>
      <c r="AH70" s="426"/>
      <c r="AI70" s="426"/>
      <c r="AJ70" s="426"/>
      <c r="AK70" s="426"/>
      <c r="AL70" s="426"/>
      <c r="AM70" s="426"/>
      <c r="AN70" s="426"/>
      <c r="AO70" s="426"/>
      <c r="AP70" s="426"/>
      <c r="AQ70" s="426"/>
      <c r="AR70" s="426"/>
      <c r="AS70" s="426"/>
      <c r="AT70" s="426"/>
      <c r="AU70" s="426"/>
      <c r="AV70" s="426"/>
      <c r="AW70" s="426"/>
      <c r="AX70" s="426"/>
      <c r="AY70" s="426"/>
      <c r="AZ70" s="426"/>
      <c r="BA70" s="426"/>
      <c r="BB70" s="426"/>
      <c r="BC70" s="426"/>
      <c r="BD70" s="426"/>
      <c r="BE70" s="426"/>
      <c r="BF70" s="426"/>
      <c r="BG70" s="426"/>
      <c r="BH70" s="426"/>
      <c r="BI70" s="426"/>
      <c r="BJ70" s="426"/>
      <c r="BK70" s="426"/>
      <c r="BL70" s="426"/>
      <c r="BM70" s="426"/>
      <c r="BN70" s="426"/>
      <c r="BO70" s="426"/>
      <c r="BP70" s="426"/>
      <c r="BQ70" s="426"/>
      <c r="BR70" s="426"/>
      <c r="BS70" s="426"/>
      <c r="BT70" s="426"/>
      <c r="BU70" s="426"/>
      <c r="BV70" s="426"/>
      <c r="BW70" s="426"/>
      <c r="BX70" s="426"/>
      <c r="BY70" s="426"/>
      <c r="BZ70" s="426"/>
      <c r="CA70" s="426"/>
      <c r="CB70" s="426"/>
      <c r="CC70" s="426"/>
      <c r="CD70" s="426"/>
      <c r="CE70" s="426"/>
      <c r="CF70" s="426"/>
      <c r="CG70" s="426"/>
      <c r="CH70" s="426"/>
      <c r="CI70" s="426"/>
      <c r="CJ70" s="426"/>
      <c r="CK70" s="426"/>
      <c r="CL70" s="426"/>
      <c r="CM70" s="426"/>
      <c r="CN70" s="426"/>
      <c r="CO70" s="426"/>
      <c r="CP70" s="426"/>
      <c r="CQ70" s="426"/>
      <c r="CR70" s="426"/>
      <c r="CS70" s="426"/>
      <c r="CT70" s="426"/>
      <c r="CU70" s="426"/>
      <c r="CV70" s="426"/>
      <c r="CW70" s="426"/>
      <c r="CX70" s="426"/>
      <c r="CY70" s="426"/>
      <c r="CZ70" s="426"/>
      <c r="DA70" s="426"/>
      <c r="DB70" s="426"/>
      <c r="DC70" s="426"/>
    </row>
    <row r="71" spans="1:107" s="427" customFormat="1" ht="12.75">
      <c r="A71" s="432" t="s">
        <v>237</v>
      </c>
      <c r="B71" s="27">
        <v>368000</v>
      </c>
      <c r="C71" s="27"/>
      <c r="D71" s="629">
        <f t="shared" si="1"/>
        <v>0</v>
      </c>
      <c r="E71" s="27">
        <v>368000</v>
      </c>
      <c r="F71" s="27"/>
      <c r="G71" s="629">
        <f t="shared" si="2"/>
        <v>0</v>
      </c>
      <c r="H71" s="27">
        <v>1611000</v>
      </c>
      <c r="I71" s="27"/>
      <c r="J71" s="629"/>
      <c r="K71" s="432" t="s">
        <v>237</v>
      </c>
      <c r="L71" s="27">
        <f>ROUND(B71/1000,0)</f>
        <v>368</v>
      </c>
      <c r="M71" s="27">
        <f>ROUND(C71/1000,0)</f>
        <v>0</v>
      </c>
      <c r="N71" s="629">
        <f t="shared" si="4"/>
        <v>0</v>
      </c>
      <c r="O71" s="27">
        <f>ROUND(E71/1000,0)</f>
        <v>368</v>
      </c>
      <c r="P71" s="27">
        <f>ROUND(F71/1000,0)</f>
        <v>0</v>
      </c>
      <c r="Q71" s="629">
        <f t="shared" si="5"/>
        <v>0</v>
      </c>
      <c r="R71" s="27">
        <f>ROUND(H71/1000,0)</f>
        <v>1611</v>
      </c>
      <c r="S71" s="27">
        <f>ROUND(I71/1000,0)</f>
        <v>0</v>
      </c>
      <c r="T71" s="629">
        <f t="shared" si="7"/>
        <v>0</v>
      </c>
      <c r="U71" s="426"/>
      <c r="V71" s="426"/>
      <c r="W71" s="426"/>
      <c r="X71" s="426"/>
      <c r="Y71" s="426"/>
      <c r="Z71" s="426"/>
      <c r="AA71" s="426"/>
      <c r="AB71" s="426"/>
      <c r="AC71" s="426"/>
      <c r="AD71" s="426"/>
      <c r="AE71" s="426"/>
      <c r="AF71" s="426"/>
      <c r="AG71" s="426"/>
      <c r="AH71" s="426"/>
      <c r="AI71" s="426"/>
      <c r="AJ71" s="426"/>
      <c r="AK71" s="426"/>
      <c r="AL71" s="426"/>
      <c r="AM71" s="426"/>
      <c r="AN71" s="426"/>
      <c r="AO71" s="426"/>
      <c r="AP71" s="426"/>
      <c r="AQ71" s="426"/>
      <c r="AR71" s="426"/>
      <c r="AS71" s="426"/>
      <c r="AT71" s="426"/>
      <c r="AU71" s="426"/>
      <c r="AV71" s="426"/>
      <c r="AW71" s="426"/>
      <c r="AX71" s="426"/>
      <c r="AY71" s="426"/>
      <c r="AZ71" s="426"/>
      <c r="BA71" s="426"/>
      <c r="BB71" s="426"/>
      <c r="BC71" s="426"/>
      <c r="BD71" s="426"/>
      <c r="BE71" s="426"/>
      <c r="BF71" s="426"/>
      <c r="BG71" s="426"/>
      <c r="BH71" s="426"/>
      <c r="BI71" s="426"/>
      <c r="BJ71" s="426"/>
      <c r="BK71" s="426"/>
      <c r="BL71" s="426"/>
      <c r="BM71" s="426"/>
      <c r="BN71" s="426"/>
      <c r="BO71" s="426"/>
      <c r="BP71" s="426"/>
      <c r="BQ71" s="426"/>
      <c r="BR71" s="426"/>
      <c r="BS71" s="426"/>
      <c r="BT71" s="426"/>
      <c r="BU71" s="426"/>
      <c r="BV71" s="426"/>
      <c r="BW71" s="426"/>
      <c r="BX71" s="426"/>
      <c r="BY71" s="426"/>
      <c r="BZ71" s="426"/>
      <c r="CA71" s="426"/>
      <c r="CB71" s="426"/>
      <c r="CC71" s="426"/>
      <c r="CD71" s="426"/>
      <c r="CE71" s="426"/>
      <c r="CF71" s="426"/>
      <c r="CG71" s="426"/>
      <c r="CH71" s="426"/>
      <c r="CI71" s="426"/>
      <c r="CJ71" s="426"/>
      <c r="CK71" s="426"/>
      <c r="CL71" s="426"/>
      <c r="CM71" s="426"/>
      <c r="CN71" s="426"/>
      <c r="CO71" s="426"/>
      <c r="CP71" s="426"/>
      <c r="CQ71" s="426"/>
      <c r="CR71" s="426"/>
      <c r="CS71" s="426"/>
      <c r="CT71" s="426"/>
      <c r="CU71" s="426"/>
      <c r="CV71" s="426"/>
      <c r="CW71" s="426"/>
      <c r="CX71" s="426"/>
      <c r="CY71" s="426"/>
      <c r="CZ71" s="426"/>
      <c r="DA71" s="426"/>
      <c r="DB71" s="426"/>
      <c r="DC71" s="426"/>
    </row>
    <row r="72" spans="1:20" ht="12.75">
      <c r="A72" s="74" t="s">
        <v>1011</v>
      </c>
      <c r="B72" s="430">
        <f>SUM(B73:B76)</f>
        <v>174585</v>
      </c>
      <c r="C72" s="430">
        <f>SUM(C73:C76)</f>
        <v>0</v>
      </c>
      <c r="D72" s="628">
        <f t="shared" si="1"/>
        <v>0</v>
      </c>
      <c r="E72" s="430">
        <f>SUM(E73:E76)</f>
        <v>159876</v>
      </c>
      <c r="F72" s="430">
        <f>SUM(F73:F76)</f>
        <v>0</v>
      </c>
      <c r="G72" s="628">
        <f t="shared" si="2"/>
        <v>0</v>
      </c>
      <c r="H72" s="430">
        <f>SUM(H73:H76)</f>
        <v>1268784</v>
      </c>
      <c r="I72" s="430">
        <f>SUM(I73:I76)</f>
        <v>0</v>
      </c>
      <c r="J72" s="628">
        <f t="shared" si="6"/>
        <v>0</v>
      </c>
      <c r="K72" s="74" t="s">
        <v>1011</v>
      </c>
      <c r="L72" s="430">
        <f>SUM(L73:L76)</f>
        <v>174</v>
      </c>
      <c r="M72" s="430">
        <f>SUM(M73:M76)</f>
        <v>0</v>
      </c>
      <c r="N72" s="628">
        <f t="shared" si="4"/>
        <v>0</v>
      </c>
      <c r="O72" s="430">
        <f>SUM(O73:O76)</f>
        <v>159</v>
      </c>
      <c r="P72" s="430">
        <f>SUM(P73:P76)</f>
        <v>0</v>
      </c>
      <c r="Q72" s="628">
        <f t="shared" si="5"/>
        <v>0</v>
      </c>
      <c r="R72" s="430">
        <f>SUM(R73:R76)</f>
        <v>1268</v>
      </c>
      <c r="S72" s="430">
        <f>SUM(S73:S76)</f>
        <v>0</v>
      </c>
      <c r="T72" s="628">
        <f t="shared" si="7"/>
        <v>0</v>
      </c>
    </row>
    <row r="73" spans="1:107" s="427" customFormat="1" ht="12.75">
      <c r="A73" s="432" t="s">
        <v>670</v>
      </c>
      <c r="B73" s="27">
        <v>103272</v>
      </c>
      <c r="C73" s="27"/>
      <c r="D73" s="629">
        <f t="shared" si="1"/>
        <v>0</v>
      </c>
      <c r="E73" s="27">
        <v>103272</v>
      </c>
      <c r="F73" s="27"/>
      <c r="G73" s="629">
        <f t="shared" si="2"/>
        <v>0</v>
      </c>
      <c r="H73" s="27">
        <v>820548</v>
      </c>
      <c r="I73" s="27"/>
      <c r="J73" s="629">
        <f t="shared" si="6"/>
        <v>0</v>
      </c>
      <c r="K73" s="432" t="s">
        <v>670</v>
      </c>
      <c r="L73" s="27">
        <f>ROUND(B73/1000,0)</f>
        <v>103</v>
      </c>
      <c r="M73" s="27">
        <f>ROUND(C73/1000,0)</f>
        <v>0</v>
      </c>
      <c r="N73" s="629">
        <f>M73/L73*100</f>
        <v>0</v>
      </c>
      <c r="O73" s="27">
        <f>ROUND(E73/1000,0)</f>
        <v>103</v>
      </c>
      <c r="P73" s="27">
        <f>ROUND(F73/1000,0)</f>
        <v>0</v>
      </c>
      <c r="Q73" s="629">
        <f>P73/O73*100</f>
        <v>0</v>
      </c>
      <c r="R73" s="27">
        <f>ROUND(H73/1000,0)-1</f>
        <v>820</v>
      </c>
      <c r="S73" s="27">
        <f>ROUND(I73/1000,0)</f>
        <v>0</v>
      </c>
      <c r="T73" s="629">
        <f>S73/R73*100</f>
        <v>0</v>
      </c>
      <c r="U73" s="426"/>
      <c r="V73" s="426"/>
      <c r="W73" s="426"/>
      <c r="X73" s="426"/>
      <c r="Y73" s="426"/>
      <c r="Z73" s="426"/>
      <c r="AA73" s="426"/>
      <c r="AB73" s="426"/>
      <c r="AC73" s="426"/>
      <c r="AD73" s="426"/>
      <c r="AE73" s="426"/>
      <c r="AF73" s="426"/>
      <c r="AG73" s="426"/>
      <c r="AH73" s="426"/>
      <c r="AI73" s="426"/>
      <c r="AJ73" s="426"/>
      <c r="AK73" s="426"/>
      <c r="AL73" s="426"/>
      <c r="AM73" s="426"/>
      <c r="AN73" s="426"/>
      <c r="AO73" s="426"/>
      <c r="AP73" s="426"/>
      <c r="AQ73" s="426"/>
      <c r="AR73" s="426"/>
      <c r="AS73" s="426"/>
      <c r="AT73" s="426"/>
      <c r="AU73" s="426"/>
      <c r="AV73" s="426"/>
      <c r="AW73" s="426"/>
      <c r="AX73" s="426"/>
      <c r="AY73" s="426"/>
      <c r="AZ73" s="426"/>
      <c r="BA73" s="426"/>
      <c r="BB73" s="426"/>
      <c r="BC73" s="426"/>
      <c r="BD73" s="426"/>
      <c r="BE73" s="426"/>
      <c r="BF73" s="426"/>
      <c r="BG73" s="426"/>
      <c r="BH73" s="426"/>
      <c r="BI73" s="426"/>
      <c r="BJ73" s="426"/>
      <c r="BK73" s="426"/>
      <c r="BL73" s="426"/>
      <c r="BM73" s="426"/>
      <c r="BN73" s="426"/>
      <c r="BO73" s="426"/>
      <c r="BP73" s="426"/>
      <c r="BQ73" s="426"/>
      <c r="BR73" s="426"/>
      <c r="BS73" s="426"/>
      <c r="BT73" s="426"/>
      <c r="BU73" s="426"/>
      <c r="BV73" s="426"/>
      <c r="BW73" s="426"/>
      <c r="BX73" s="426"/>
      <c r="BY73" s="426"/>
      <c r="BZ73" s="426"/>
      <c r="CA73" s="426"/>
      <c r="CB73" s="426"/>
      <c r="CC73" s="426"/>
      <c r="CD73" s="426"/>
      <c r="CE73" s="426"/>
      <c r="CF73" s="426"/>
      <c r="CG73" s="426"/>
      <c r="CH73" s="426"/>
      <c r="CI73" s="426"/>
      <c r="CJ73" s="426"/>
      <c r="CK73" s="426"/>
      <c r="CL73" s="426"/>
      <c r="CM73" s="426"/>
      <c r="CN73" s="426"/>
      <c r="CO73" s="426"/>
      <c r="CP73" s="426"/>
      <c r="CQ73" s="426"/>
      <c r="CR73" s="426"/>
      <c r="CS73" s="426"/>
      <c r="CT73" s="426"/>
      <c r="CU73" s="426"/>
      <c r="CV73" s="426"/>
      <c r="CW73" s="426"/>
      <c r="CX73" s="426"/>
      <c r="CY73" s="426"/>
      <c r="CZ73" s="426"/>
      <c r="DA73" s="426"/>
      <c r="DB73" s="426"/>
      <c r="DC73" s="426"/>
    </row>
    <row r="74" spans="1:107" s="427" customFormat="1" ht="12.75">
      <c r="A74" s="432" t="s">
        <v>1059</v>
      </c>
      <c r="B74" s="27">
        <v>58103</v>
      </c>
      <c r="C74" s="27"/>
      <c r="D74" s="629">
        <f t="shared" si="1"/>
        <v>0</v>
      </c>
      <c r="E74" s="27">
        <v>54394</v>
      </c>
      <c r="F74" s="27"/>
      <c r="G74" s="629">
        <f t="shared" si="2"/>
        <v>0</v>
      </c>
      <c r="H74" s="27">
        <v>437186</v>
      </c>
      <c r="I74" s="27"/>
      <c r="J74" s="629">
        <f t="shared" si="6"/>
        <v>0</v>
      </c>
      <c r="K74" s="432" t="s">
        <v>1059</v>
      </c>
      <c r="L74" s="27">
        <f>ROUND(B74/1000,0)</f>
        <v>58</v>
      </c>
      <c r="M74" s="27">
        <f aca="true" t="shared" si="44" ref="M74:S76">ROUND(C74/1000,0)</f>
        <v>0</v>
      </c>
      <c r="N74" s="629">
        <f t="shared" si="4"/>
        <v>0</v>
      </c>
      <c r="O74" s="27">
        <f>ROUND(E74/1000,0)</f>
        <v>54</v>
      </c>
      <c r="P74" s="27">
        <f t="shared" si="44"/>
        <v>0</v>
      </c>
      <c r="Q74" s="629">
        <f t="shared" si="5"/>
        <v>0</v>
      </c>
      <c r="R74" s="27">
        <f t="shared" si="44"/>
        <v>437</v>
      </c>
      <c r="S74" s="27">
        <f t="shared" si="44"/>
        <v>0</v>
      </c>
      <c r="T74" s="629">
        <f t="shared" si="7"/>
        <v>0</v>
      </c>
      <c r="U74" s="426"/>
      <c r="V74" s="426"/>
      <c r="W74" s="426"/>
      <c r="X74" s="426"/>
      <c r="Y74" s="426"/>
      <c r="Z74" s="426"/>
      <c r="AA74" s="426"/>
      <c r="AB74" s="426"/>
      <c r="AC74" s="426"/>
      <c r="AD74" s="426"/>
      <c r="AE74" s="426"/>
      <c r="AF74" s="426"/>
      <c r="AG74" s="426"/>
      <c r="AH74" s="426"/>
      <c r="AI74" s="426"/>
      <c r="AJ74" s="426"/>
      <c r="AK74" s="426"/>
      <c r="AL74" s="426"/>
      <c r="AM74" s="426"/>
      <c r="AN74" s="426"/>
      <c r="AO74" s="426"/>
      <c r="AP74" s="426"/>
      <c r="AQ74" s="426"/>
      <c r="AR74" s="426"/>
      <c r="AS74" s="426"/>
      <c r="AT74" s="426"/>
      <c r="AU74" s="426"/>
      <c r="AV74" s="426"/>
      <c r="AW74" s="426"/>
      <c r="AX74" s="426"/>
      <c r="AY74" s="426"/>
      <c r="AZ74" s="426"/>
      <c r="BA74" s="426"/>
      <c r="BB74" s="426"/>
      <c r="BC74" s="426"/>
      <c r="BD74" s="426"/>
      <c r="BE74" s="426"/>
      <c r="BF74" s="426"/>
      <c r="BG74" s="426"/>
      <c r="BH74" s="426"/>
      <c r="BI74" s="426"/>
      <c r="BJ74" s="426"/>
      <c r="BK74" s="426"/>
      <c r="BL74" s="426"/>
      <c r="BM74" s="426"/>
      <c r="BN74" s="426"/>
      <c r="BO74" s="426"/>
      <c r="BP74" s="426"/>
      <c r="BQ74" s="426"/>
      <c r="BR74" s="426"/>
      <c r="BS74" s="426"/>
      <c r="BT74" s="426"/>
      <c r="BU74" s="426"/>
      <c r="BV74" s="426"/>
      <c r="BW74" s="426"/>
      <c r="BX74" s="426"/>
      <c r="BY74" s="426"/>
      <c r="BZ74" s="426"/>
      <c r="CA74" s="426"/>
      <c r="CB74" s="426"/>
      <c r="CC74" s="426"/>
      <c r="CD74" s="426"/>
      <c r="CE74" s="426"/>
      <c r="CF74" s="426"/>
      <c r="CG74" s="426"/>
      <c r="CH74" s="426"/>
      <c r="CI74" s="426"/>
      <c r="CJ74" s="426"/>
      <c r="CK74" s="426"/>
      <c r="CL74" s="426"/>
      <c r="CM74" s="426"/>
      <c r="CN74" s="426"/>
      <c r="CO74" s="426"/>
      <c r="CP74" s="426"/>
      <c r="CQ74" s="426"/>
      <c r="CR74" s="426"/>
      <c r="CS74" s="426"/>
      <c r="CT74" s="426"/>
      <c r="CU74" s="426"/>
      <c r="CV74" s="426"/>
      <c r="CW74" s="426"/>
      <c r="CX74" s="426"/>
      <c r="CY74" s="426"/>
      <c r="CZ74" s="426"/>
      <c r="DA74" s="426"/>
      <c r="DB74" s="426"/>
      <c r="DC74" s="426"/>
    </row>
    <row r="75" spans="1:107" s="427" customFormat="1" ht="12.75">
      <c r="A75" s="432" t="s">
        <v>671</v>
      </c>
      <c r="B75" s="27">
        <v>2210</v>
      </c>
      <c r="C75" s="27"/>
      <c r="D75" s="629">
        <f t="shared" si="1"/>
        <v>0</v>
      </c>
      <c r="E75" s="27">
        <v>2210</v>
      </c>
      <c r="F75" s="27"/>
      <c r="G75" s="629">
        <f t="shared" si="2"/>
        <v>0</v>
      </c>
      <c r="H75" s="27">
        <v>11050</v>
      </c>
      <c r="I75" s="27"/>
      <c r="J75" s="629">
        <f t="shared" si="6"/>
        <v>0</v>
      </c>
      <c r="K75" s="432" t="s">
        <v>671</v>
      </c>
      <c r="L75" s="27">
        <f>ROUND(B75/1000,0)</f>
        <v>2</v>
      </c>
      <c r="M75" s="27">
        <f t="shared" si="44"/>
        <v>0</v>
      </c>
      <c r="N75" s="629">
        <f t="shared" si="4"/>
        <v>0</v>
      </c>
      <c r="O75" s="27">
        <f t="shared" si="44"/>
        <v>2</v>
      </c>
      <c r="P75" s="27">
        <f t="shared" si="44"/>
        <v>0</v>
      </c>
      <c r="Q75" s="629">
        <f t="shared" si="5"/>
        <v>0</v>
      </c>
      <c r="R75" s="27">
        <f t="shared" si="44"/>
        <v>11</v>
      </c>
      <c r="S75" s="27">
        <f t="shared" si="44"/>
        <v>0</v>
      </c>
      <c r="T75" s="629">
        <f t="shared" si="7"/>
        <v>0</v>
      </c>
      <c r="U75" s="426"/>
      <c r="V75" s="426"/>
      <c r="W75" s="426"/>
      <c r="X75" s="426"/>
      <c r="Y75" s="426"/>
      <c r="Z75" s="426"/>
      <c r="AA75" s="426"/>
      <c r="AB75" s="426"/>
      <c r="AC75" s="426"/>
      <c r="AD75" s="426"/>
      <c r="AE75" s="426"/>
      <c r="AF75" s="426"/>
      <c r="AG75" s="426"/>
      <c r="AH75" s="426"/>
      <c r="AI75" s="426"/>
      <c r="AJ75" s="426"/>
      <c r="AK75" s="426"/>
      <c r="AL75" s="426"/>
      <c r="AM75" s="426"/>
      <c r="AN75" s="426"/>
      <c r="AO75" s="426"/>
      <c r="AP75" s="426"/>
      <c r="AQ75" s="426"/>
      <c r="AR75" s="426"/>
      <c r="AS75" s="426"/>
      <c r="AT75" s="426"/>
      <c r="AU75" s="426"/>
      <c r="AV75" s="426"/>
      <c r="AW75" s="426"/>
      <c r="AX75" s="426"/>
      <c r="AY75" s="426"/>
      <c r="AZ75" s="426"/>
      <c r="BA75" s="426"/>
      <c r="BB75" s="426"/>
      <c r="BC75" s="426"/>
      <c r="BD75" s="426"/>
      <c r="BE75" s="426"/>
      <c r="BF75" s="426"/>
      <c r="BG75" s="426"/>
      <c r="BH75" s="426"/>
      <c r="BI75" s="426"/>
      <c r="BJ75" s="426"/>
      <c r="BK75" s="426"/>
      <c r="BL75" s="426"/>
      <c r="BM75" s="426"/>
      <c r="BN75" s="426"/>
      <c r="BO75" s="426"/>
      <c r="BP75" s="426"/>
      <c r="BQ75" s="426"/>
      <c r="BR75" s="426"/>
      <c r="BS75" s="426"/>
      <c r="BT75" s="426"/>
      <c r="BU75" s="426"/>
      <c r="BV75" s="426"/>
      <c r="BW75" s="426"/>
      <c r="BX75" s="426"/>
      <c r="BY75" s="426"/>
      <c r="BZ75" s="426"/>
      <c r="CA75" s="426"/>
      <c r="CB75" s="426"/>
      <c r="CC75" s="426"/>
      <c r="CD75" s="426"/>
      <c r="CE75" s="426"/>
      <c r="CF75" s="426"/>
      <c r="CG75" s="426"/>
      <c r="CH75" s="426"/>
      <c r="CI75" s="426"/>
      <c r="CJ75" s="426"/>
      <c r="CK75" s="426"/>
      <c r="CL75" s="426"/>
      <c r="CM75" s="426"/>
      <c r="CN75" s="426"/>
      <c r="CO75" s="426"/>
      <c r="CP75" s="426"/>
      <c r="CQ75" s="426"/>
      <c r="CR75" s="426"/>
      <c r="CS75" s="426"/>
      <c r="CT75" s="426"/>
      <c r="CU75" s="426"/>
      <c r="CV75" s="426"/>
      <c r="CW75" s="426"/>
      <c r="CX75" s="426"/>
      <c r="CY75" s="426"/>
      <c r="CZ75" s="426"/>
      <c r="DA75" s="426"/>
      <c r="DB75" s="426"/>
      <c r="DC75" s="426"/>
    </row>
    <row r="76" spans="1:107" s="427" customFormat="1" ht="12.75">
      <c r="A76" s="432" t="s">
        <v>237</v>
      </c>
      <c r="B76" s="27">
        <v>11000</v>
      </c>
      <c r="C76" s="27"/>
      <c r="D76" s="629">
        <f aca="true" t="shared" si="45" ref="D76:D86">C76/B76*100</f>
        <v>0</v>
      </c>
      <c r="E76" s="27"/>
      <c r="F76" s="27"/>
      <c r="G76" s="629"/>
      <c r="H76" s="27"/>
      <c r="I76" s="27"/>
      <c r="J76" s="629"/>
      <c r="K76" s="432" t="s">
        <v>237</v>
      </c>
      <c r="L76" s="27">
        <f>ROUND(B76/1000,0)</f>
        <v>11</v>
      </c>
      <c r="M76" s="27">
        <f t="shared" si="44"/>
        <v>0</v>
      </c>
      <c r="N76" s="629">
        <f aca="true" t="shared" si="46" ref="N76:N86">M76/L76*100</f>
        <v>0</v>
      </c>
      <c r="O76" s="27"/>
      <c r="P76" s="27"/>
      <c r="Q76" s="629"/>
      <c r="R76" s="27"/>
      <c r="S76" s="27"/>
      <c r="T76" s="629"/>
      <c r="U76" s="426"/>
      <c r="V76" s="426"/>
      <c r="W76" s="426"/>
      <c r="X76" s="426"/>
      <c r="Y76" s="426"/>
      <c r="Z76" s="426"/>
      <c r="AA76" s="426"/>
      <c r="AB76" s="426"/>
      <c r="AC76" s="426"/>
      <c r="AD76" s="426"/>
      <c r="AE76" s="426"/>
      <c r="AF76" s="426"/>
      <c r="AG76" s="426"/>
      <c r="AH76" s="426"/>
      <c r="AI76" s="426"/>
      <c r="AJ76" s="426"/>
      <c r="AK76" s="426"/>
      <c r="AL76" s="426"/>
      <c r="AM76" s="426"/>
      <c r="AN76" s="426"/>
      <c r="AO76" s="426"/>
      <c r="AP76" s="426"/>
      <c r="AQ76" s="426"/>
      <c r="AR76" s="426"/>
      <c r="AS76" s="426"/>
      <c r="AT76" s="426"/>
      <c r="AU76" s="426"/>
      <c r="AV76" s="426"/>
      <c r="AW76" s="426"/>
      <c r="AX76" s="426"/>
      <c r="AY76" s="426"/>
      <c r="AZ76" s="426"/>
      <c r="BA76" s="426"/>
      <c r="BB76" s="426"/>
      <c r="BC76" s="426"/>
      <c r="BD76" s="426"/>
      <c r="BE76" s="426"/>
      <c r="BF76" s="426"/>
      <c r="BG76" s="426"/>
      <c r="BH76" s="426"/>
      <c r="BI76" s="426"/>
      <c r="BJ76" s="426"/>
      <c r="BK76" s="426"/>
      <c r="BL76" s="426"/>
      <c r="BM76" s="426"/>
      <c r="BN76" s="426"/>
      <c r="BO76" s="426"/>
      <c r="BP76" s="426"/>
      <c r="BQ76" s="426"/>
      <c r="BR76" s="426"/>
      <c r="BS76" s="426"/>
      <c r="BT76" s="426"/>
      <c r="BU76" s="426"/>
      <c r="BV76" s="426"/>
      <c r="BW76" s="426"/>
      <c r="BX76" s="426"/>
      <c r="BY76" s="426"/>
      <c r="BZ76" s="426"/>
      <c r="CA76" s="426"/>
      <c r="CB76" s="426"/>
      <c r="CC76" s="426"/>
      <c r="CD76" s="426"/>
      <c r="CE76" s="426"/>
      <c r="CF76" s="426"/>
      <c r="CG76" s="426"/>
      <c r="CH76" s="426"/>
      <c r="CI76" s="426"/>
      <c r="CJ76" s="426"/>
      <c r="CK76" s="426"/>
      <c r="CL76" s="426"/>
      <c r="CM76" s="426"/>
      <c r="CN76" s="426"/>
      <c r="CO76" s="426"/>
      <c r="CP76" s="426"/>
      <c r="CQ76" s="426"/>
      <c r="CR76" s="426"/>
      <c r="CS76" s="426"/>
      <c r="CT76" s="426"/>
      <c r="CU76" s="426"/>
      <c r="CV76" s="426"/>
      <c r="CW76" s="426"/>
      <c r="CX76" s="426"/>
      <c r="CY76" s="426"/>
      <c r="CZ76" s="426"/>
      <c r="DA76" s="426"/>
      <c r="DB76" s="426"/>
      <c r="DC76" s="426"/>
    </row>
    <row r="77" spans="1:20" ht="12.75">
      <c r="A77" s="74" t="s">
        <v>1013</v>
      </c>
      <c r="B77" s="430">
        <f>SUM(B78)</f>
        <v>500</v>
      </c>
      <c r="C77" s="430">
        <f aca="true" t="shared" si="47" ref="C77:I77">SUM(C78)</f>
        <v>0</v>
      </c>
      <c r="D77" s="628">
        <f t="shared" si="45"/>
        <v>0</v>
      </c>
      <c r="E77" s="430">
        <f t="shared" si="47"/>
        <v>500</v>
      </c>
      <c r="F77" s="430">
        <f t="shared" si="47"/>
        <v>0</v>
      </c>
      <c r="G77" s="628">
        <f aca="true" t="shared" si="48" ref="G77:G86">F77/E77*100</f>
        <v>0</v>
      </c>
      <c r="H77" s="430">
        <f t="shared" si="47"/>
        <v>1000</v>
      </c>
      <c r="I77" s="430">
        <f t="shared" si="47"/>
        <v>0</v>
      </c>
      <c r="J77" s="628">
        <f aca="true" t="shared" si="49" ref="J77:J86">I77/H77*100</f>
        <v>0</v>
      </c>
      <c r="K77" s="74" t="s">
        <v>1013</v>
      </c>
      <c r="L77" s="430">
        <f aca="true" t="shared" si="50" ref="L77:S77">SUM(L78)</f>
        <v>1</v>
      </c>
      <c r="M77" s="430">
        <f t="shared" si="50"/>
        <v>0</v>
      </c>
      <c r="N77" s="628">
        <f t="shared" si="46"/>
        <v>0</v>
      </c>
      <c r="O77" s="430">
        <f t="shared" si="50"/>
        <v>1</v>
      </c>
      <c r="P77" s="430">
        <f t="shared" si="50"/>
        <v>0</v>
      </c>
      <c r="Q77" s="628">
        <f aca="true" t="shared" si="51" ref="Q77:Q86">P77/O77*100</f>
        <v>0</v>
      </c>
      <c r="R77" s="430">
        <f t="shared" si="50"/>
        <v>1</v>
      </c>
      <c r="S77" s="430">
        <f t="shared" si="50"/>
        <v>0</v>
      </c>
      <c r="T77" s="628">
        <f aca="true" t="shared" si="52" ref="T77:T84">S77/R77*100</f>
        <v>0</v>
      </c>
    </row>
    <row r="78" spans="1:107" s="427" customFormat="1" ht="12.75">
      <c r="A78" s="432" t="s">
        <v>671</v>
      </c>
      <c r="B78" s="27">
        <v>500</v>
      </c>
      <c r="C78" s="27"/>
      <c r="D78" s="629">
        <f t="shared" si="45"/>
        <v>0</v>
      </c>
      <c r="E78" s="27">
        <v>500</v>
      </c>
      <c r="F78" s="27"/>
      <c r="G78" s="629">
        <f t="shared" si="48"/>
        <v>0</v>
      </c>
      <c r="H78" s="27">
        <v>1000</v>
      </c>
      <c r="I78" s="27"/>
      <c r="J78" s="629">
        <f t="shared" si="49"/>
        <v>0</v>
      </c>
      <c r="K78" s="432" t="s">
        <v>671</v>
      </c>
      <c r="L78" s="27">
        <f aca="true" t="shared" si="53" ref="L78:S78">ROUND(B78/1000,0)</f>
        <v>1</v>
      </c>
      <c r="M78" s="27">
        <f t="shared" si="53"/>
        <v>0</v>
      </c>
      <c r="N78" s="629">
        <f t="shared" si="46"/>
        <v>0</v>
      </c>
      <c r="O78" s="27">
        <f t="shared" si="53"/>
        <v>1</v>
      </c>
      <c r="P78" s="27">
        <f t="shared" si="53"/>
        <v>0</v>
      </c>
      <c r="Q78" s="629">
        <f t="shared" si="51"/>
        <v>0</v>
      </c>
      <c r="R78" s="27">
        <f t="shared" si="53"/>
        <v>1</v>
      </c>
      <c r="S78" s="27">
        <f t="shared" si="53"/>
        <v>0</v>
      </c>
      <c r="T78" s="629">
        <f t="shared" si="52"/>
        <v>0</v>
      </c>
      <c r="U78" s="426"/>
      <c r="V78" s="426"/>
      <c r="W78" s="426"/>
      <c r="X78" s="426"/>
      <c r="Y78" s="426"/>
      <c r="Z78" s="426"/>
      <c r="AA78" s="426"/>
      <c r="AB78" s="426"/>
      <c r="AC78" s="426"/>
      <c r="AD78" s="426"/>
      <c r="AE78" s="426"/>
      <c r="AF78" s="426"/>
      <c r="AG78" s="426"/>
      <c r="AH78" s="426"/>
      <c r="AI78" s="426"/>
      <c r="AJ78" s="426"/>
      <c r="AK78" s="426"/>
      <c r="AL78" s="426"/>
      <c r="AM78" s="426"/>
      <c r="AN78" s="426"/>
      <c r="AO78" s="426"/>
      <c r="AP78" s="426"/>
      <c r="AQ78" s="426"/>
      <c r="AR78" s="426"/>
      <c r="AS78" s="426"/>
      <c r="AT78" s="426"/>
      <c r="AU78" s="426"/>
      <c r="AV78" s="426"/>
      <c r="AW78" s="426"/>
      <c r="AX78" s="426"/>
      <c r="AY78" s="426"/>
      <c r="AZ78" s="426"/>
      <c r="BA78" s="426"/>
      <c r="BB78" s="426"/>
      <c r="BC78" s="426"/>
      <c r="BD78" s="426"/>
      <c r="BE78" s="426"/>
      <c r="BF78" s="426"/>
      <c r="BG78" s="426"/>
      <c r="BH78" s="426"/>
      <c r="BI78" s="426"/>
      <c r="BJ78" s="426"/>
      <c r="BK78" s="426"/>
      <c r="BL78" s="426"/>
      <c r="BM78" s="426"/>
      <c r="BN78" s="426"/>
      <c r="BO78" s="426"/>
      <c r="BP78" s="426"/>
      <c r="BQ78" s="426"/>
      <c r="BR78" s="426"/>
      <c r="BS78" s="426"/>
      <c r="BT78" s="426"/>
      <c r="BU78" s="426"/>
      <c r="BV78" s="426"/>
      <c r="BW78" s="426"/>
      <c r="BX78" s="426"/>
      <c r="BY78" s="426"/>
      <c r="BZ78" s="426"/>
      <c r="CA78" s="426"/>
      <c r="CB78" s="426"/>
      <c r="CC78" s="426"/>
      <c r="CD78" s="426"/>
      <c r="CE78" s="426"/>
      <c r="CF78" s="426"/>
      <c r="CG78" s="426"/>
      <c r="CH78" s="426"/>
      <c r="CI78" s="426"/>
      <c r="CJ78" s="426"/>
      <c r="CK78" s="426"/>
      <c r="CL78" s="426"/>
      <c r="CM78" s="426"/>
      <c r="CN78" s="426"/>
      <c r="CO78" s="426"/>
      <c r="CP78" s="426"/>
      <c r="CQ78" s="426"/>
      <c r="CR78" s="426"/>
      <c r="CS78" s="426"/>
      <c r="CT78" s="426"/>
      <c r="CU78" s="426"/>
      <c r="CV78" s="426"/>
      <c r="CW78" s="426"/>
      <c r="CX78" s="426"/>
      <c r="CY78" s="426"/>
      <c r="CZ78" s="426"/>
      <c r="DA78" s="426"/>
      <c r="DB78" s="426"/>
      <c r="DC78" s="426"/>
    </row>
    <row r="79" spans="1:20" ht="12.75">
      <c r="A79" s="74" t="s">
        <v>1021</v>
      </c>
      <c r="B79" s="430">
        <f>SUM(B80)</f>
        <v>600</v>
      </c>
      <c r="C79" s="430">
        <f>SUM(C80)</f>
        <v>0</v>
      </c>
      <c r="D79" s="628">
        <f t="shared" si="45"/>
        <v>0</v>
      </c>
      <c r="E79" s="430">
        <f>SUM(E80)</f>
        <v>600</v>
      </c>
      <c r="F79" s="430">
        <f>SUM(F80)</f>
        <v>0</v>
      </c>
      <c r="G79" s="628">
        <f t="shared" si="48"/>
        <v>0</v>
      </c>
      <c r="H79" s="430">
        <f>SUM(H80)</f>
        <v>0</v>
      </c>
      <c r="I79" s="430">
        <f>SUM(I80)</f>
        <v>0</v>
      </c>
      <c r="J79" s="629" t="e">
        <f t="shared" si="49"/>
        <v>#DIV/0!</v>
      </c>
      <c r="K79" s="74" t="s">
        <v>1021</v>
      </c>
      <c r="L79" s="430">
        <f>SUM(L80)</f>
        <v>1</v>
      </c>
      <c r="M79" s="430">
        <f>SUM(M80)</f>
        <v>0</v>
      </c>
      <c r="N79" s="628">
        <f t="shared" si="46"/>
        <v>0</v>
      </c>
      <c r="O79" s="430">
        <f>SUM(O80)</f>
        <v>1</v>
      </c>
      <c r="P79" s="430">
        <f>SUM(P80)</f>
        <v>0</v>
      </c>
      <c r="Q79" s="628">
        <f t="shared" si="51"/>
        <v>0</v>
      </c>
      <c r="R79" s="430"/>
      <c r="S79" s="430"/>
      <c r="T79" s="628"/>
    </row>
    <row r="80" spans="1:107" s="427" customFormat="1" ht="12.75">
      <c r="A80" s="432" t="s">
        <v>671</v>
      </c>
      <c r="B80" s="27">
        <v>600</v>
      </c>
      <c r="C80" s="27"/>
      <c r="D80" s="629">
        <f t="shared" si="45"/>
        <v>0</v>
      </c>
      <c r="E80" s="27">
        <v>600</v>
      </c>
      <c r="F80" s="27"/>
      <c r="G80" s="629">
        <f t="shared" si="48"/>
        <v>0</v>
      </c>
      <c r="H80" s="27"/>
      <c r="I80" s="27"/>
      <c r="J80" s="629" t="e">
        <f t="shared" si="49"/>
        <v>#DIV/0!</v>
      </c>
      <c r="K80" s="432" t="s">
        <v>671</v>
      </c>
      <c r="L80" s="27">
        <f>ROUND(B80/1000,0)</f>
        <v>1</v>
      </c>
      <c r="M80" s="27">
        <f>ROUND(C80/1000,0)</f>
        <v>0</v>
      </c>
      <c r="N80" s="629">
        <f t="shared" si="46"/>
        <v>0</v>
      </c>
      <c r="O80" s="27">
        <f>ROUND(E80/1000,0)</f>
        <v>1</v>
      </c>
      <c r="P80" s="27">
        <f>ROUND(F80/1000,0)</f>
        <v>0</v>
      </c>
      <c r="Q80" s="629">
        <f t="shared" si="51"/>
        <v>0</v>
      </c>
      <c r="R80" s="27"/>
      <c r="S80" s="27"/>
      <c r="T80" s="629"/>
      <c r="U80" s="426"/>
      <c r="V80" s="426"/>
      <c r="W80" s="426"/>
      <c r="X80" s="426"/>
      <c r="Y80" s="426"/>
      <c r="Z80" s="426"/>
      <c r="AA80" s="426"/>
      <c r="AB80" s="426"/>
      <c r="AC80" s="426"/>
      <c r="AD80" s="426"/>
      <c r="AE80" s="426"/>
      <c r="AF80" s="426"/>
      <c r="AG80" s="426"/>
      <c r="AH80" s="426"/>
      <c r="AI80" s="426"/>
      <c r="AJ80" s="426"/>
      <c r="AK80" s="426"/>
      <c r="AL80" s="426"/>
      <c r="AM80" s="426"/>
      <c r="AN80" s="426"/>
      <c r="AO80" s="426"/>
      <c r="AP80" s="426"/>
      <c r="AQ80" s="426"/>
      <c r="AR80" s="426"/>
      <c r="AS80" s="426"/>
      <c r="AT80" s="426"/>
      <c r="AU80" s="426"/>
      <c r="AV80" s="426"/>
      <c r="AW80" s="426"/>
      <c r="AX80" s="426"/>
      <c r="AY80" s="426"/>
      <c r="AZ80" s="426"/>
      <c r="BA80" s="426"/>
      <c r="BB80" s="426"/>
      <c r="BC80" s="426"/>
      <c r="BD80" s="426"/>
      <c r="BE80" s="426"/>
      <c r="BF80" s="426"/>
      <c r="BG80" s="426"/>
      <c r="BH80" s="426"/>
      <c r="BI80" s="426"/>
      <c r="BJ80" s="426"/>
      <c r="BK80" s="426"/>
      <c r="BL80" s="426"/>
      <c r="BM80" s="426"/>
      <c r="BN80" s="426"/>
      <c r="BO80" s="426"/>
      <c r="BP80" s="426"/>
      <c r="BQ80" s="426"/>
      <c r="BR80" s="426"/>
      <c r="BS80" s="426"/>
      <c r="BT80" s="426"/>
      <c r="BU80" s="426"/>
      <c r="BV80" s="426"/>
      <c r="BW80" s="426"/>
      <c r="BX80" s="426"/>
      <c r="BY80" s="426"/>
      <c r="BZ80" s="426"/>
      <c r="CA80" s="426"/>
      <c r="CB80" s="426"/>
      <c r="CC80" s="426"/>
      <c r="CD80" s="426"/>
      <c r="CE80" s="426"/>
      <c r="CF80" s="426"/>
      <c r="CG80" s="426"/>
      <c r="CH80" s="426"/>
      <c r="CI80" s="426"/>
      <c r="CJ80" s="426"/>
      <c r="CK80" s="426"/>
      <c r="CL80" s="426"/>
      <c r="CM80" s="426"/>
      <c r="CN80" s="426"/>
      <c r="CO80" s="426"/>
      <c r="CP80" s="426"/>
      <c r="CQ80" s="426"/>
      <c r="CR80" s="426"/>
      <c r="CS80" s="426"/>
      <c r="CT80" s="426"/>
      <c r="CU80" s="426"/>
      <c r="CV80" s="426"/>
      <c r="CW80" s="426"/>
      <c r="CX80" s="426"/>
      <c r="CY80" s="426"/>
      <c r="CZ80" s="426"/>
      <c r="DA80" s="426"/>
      <c r="DB80" s="426"/>
      <c r="DC80" s="426"/>
    </row>
    <row r="81" spans="1:20" ht="12.75">
      <c r="A81" s="74" t="s">
        <v>1025</v>
      </c>
      <c r="B81" s="430">
        <f>B82</f>
        <v>143476</v>
      </c>
      <c r="C81" s="430">
        <f aca="true" t="shared" si="54" ref="C81:I81">C82</f>
        <v>0</v>
      </c>
      <c r="D81" s="628">
        <f t="shared" si="45"/>
        <v>0</v>
      </c>
      <c r="E81" s="430">
        <f t="shared" si="54"/>
        <v>190356</v>
      </c>
      <c r="F81" s="430">
        <f t="shared" si="54"/>
        <v>0</v>
      </c>
      <c r="G81" s="628">
        <f t="shared" si="48"/>
        <v>0</v>
      </c>
      <c r="H81" s="430">
        <f t="shared" si="54"/>
        <v>190356</v>
      </c>
      <c r="I81" s="430">
        <f t="shared" si="54"/>
        <v>0</v>
      </c>
      <c r="J81" s="629">
        <f t="shared" si="49"/>
        <v>0</v>
      </c>
      <c r="K81" s="74" t="s">
        <v>1025</v>
      </c>
      <c r="L81" s="430">
        <f>L82</f>
        <v>144</v>
      </c>
      <c r="M81" s="430">
        <f>M82</f>
        <v>0</v>
      </c>
      <c r="N81" s="628">
        <f t="shared" si="46"/>
        <v>0</v>
      </c>
      <c r="O81" s="430">
        <f>O82</f>
        <v>190</v>
      </c>
      <c r="P81" s="430">
        <f>P82</f>
        <v>0</v>
      </c>
      <c r="Q81" s="628">
        <f t="shared" si="51"/>
        <v>0</v>
      </c>
      <c r="R81" s="430">
        <f>R82</f>
        <v>190</v>
      </c>
      <c r="S81" s="430">
        <f>S82</f>
        <v>0</v>
      </c>
      <c r="T81" s="628">
        <f t="shared" si="52"/>
        <v>0</v>
      </c>
    </row>
    <row r="82" spans="1:107" s="427" customFormat="1" ht="12.75">
      <c r="A82" s="432" t="s">
        <v>673</v>
      </c>
      <c r="B82" s="27">
        <v>143476</v>
      </c>
      <c r="C82" s="27"/>
      <c r="D82" s="629">
        <f t="shared" si="45"/>
        <v>0</v>
      </c>
      <c r="E82" s="27">
        <v>190356</v>
      </c>
      <c r="F82" s="27"/>
      <c r="G82" s="629">
        <f t="shared" si="48"/>
        <v>0</v>
      </c>
      <c r="H82" s="27">
        <v>190356</v>
      </c>
      <c r="I82" s="27"/>
      <c r="J82" s="629">
        <f t="shared" si="49"/>
        <v>0</v>
      </c>
      <c r="K82" s="432" t="s">
        <v>673</v>
      </c>
      <c r="L82" s="27">
        <f>ROUND(B82/1000,0)+1</f>
        <v>144</v>
      </c>
      <c r="M82" s="27">
        <f>ROUND(C82/1000,0)</f>
        <v>0</v>
      </c>
      <c r="N82" s="629">
        <f t="shared" si="46"/>
        <v>0</v>
      </c>
      <c r="O82" s="27">
        <f aca="true" t="shared" si="55" ref="O82:P84">ROUND(E82/1000,0)</f>
        <v>190</v>
      </c>
      <c r="P82" s="27">
        <f t="shared" si="55"/>
        <v>0</v>
      </c>
      <c r="Q82" s="629">
        <f t="shared" si="51"/>
        <v>0</v>
      </c>
      <c r="R82" s="27">
        <f aca="true" t="shared" si="56" ref="R82:S84">ROUND(H82/1000,0)</f>
        <v>190</v>
      </c>
      <c r="S82" s="27">
        <f t="shared" si="56"/>
        <v>0</v>
      </c>
      <c r="T82" s="629">
        <f t="shared" si="52"/>
        <v>0</v>
      </c>
      <c r="U82" s="426"/>
      <c r="V82" s="426"/>
      <c r="W82" s="426"/>
      <c r="X82" s="426"/>
      <c r="Y82" s="426"/>
      <c r="Z82" s="426"/>
      <c r="AA82" s="426"/>
      <c r="AB82" s="426"/>
      <c r="AC82" s="426"/>
      <c r="AD82" s="426"/>
      <c r="AE82" s="426"/>
      <c r="AF82" s="426"/>
      <c r="AG82" s="426"/>
      <c r="AH82" s="426"/>
      <c r="AI82" s="426"/>
      <c r="AJ82" s="426"/>
      <c r="AK82" s="426"/>
      <c r="AL82" s="426"/>
      <c r="AM82" s="426"/>
      <c r="AN82" s="426"/>
      <c r="AO82" s="426"/>
      <c r="AP82" s="426"/>
      <c r="AQ82" s="426"/>
      <c r="AR82" s="426"/>
      <c r="AS82" s="426"/>
      <c r="AT82" s="426"/>
      <c r="AU82" s="426"/>
      <c r="AV82" s="426"/>
      <c r="AW82" s="426"/>
      <c r="AX82" s="426"/>
      <c r="AY82" s="426"/>
      <c r="AZ82" s="426"/>
      <c r="BA82" s="426"/>
      <c r="BB82" s="426"/>
      <c r="BC82" s="426"/>
      <c r="BD82" s="426"/>
      <c r="BE82" s="426"/>
      <c r="BF82" s="426"/>
      <c r="BG82" s="426"/>
      <c r="BH82" s="426"/>
      <c r="BI82" s="426"/>
      <c r="BJ82" s="426"/>
      <c r="BK82" s="426"/>
      <c r="BL82" s="426"/>
      <c r="BM82" s="426"/>
      <c r="BN82" s="426"/>
      <c r="BO82" s="426"/>
      <c r="BP82" s="426"/>
      <c r="BQ82" s="426"/>
      <c r="BR82" s="426"/>
      <c r="BS82" s="426"/>
      <c r="BT82" s="426"/>
      <c r="BU82" s="426"/>
      <c r="BV82" s="426"/>
      <c r="BW82" s="426"/>
      <c r="BX82" s="426"/>
      <c r="BY82" s="426"/>
      <c r="BZ82" s="426"/>
      <c r="CA82" s="426"/>
      <c r="CB82" s="426"/>
      <c r="CC82" s="426"/>
      <c r="CD82" s="426"/>
      <c r="CE82" s="426"/>
      <c r="CF82" s="426"/>
      <c r="CG82" s="426"/>
      <c r="CH82" s="426"/>
      <c r="CI82" s="426"/>
      <c r="CJ82" s="426"/>
      <c r="CK82" s="426"/>
      <c r="CL82" s="426"/>
      <c r="CM82" s="426"/>
      <c r="CN82" s="426"/>
      <c r="CO82" s="426"/>
      <c r="CP82" s="426"/>
      <c r="CQ82" s="426"/>
      <c r="CR82" s="426"/>
      <c r="CS82" s="426"/>
      <c r="CT82" s="426"/>
      <c r="CU82" s="426"/>
      <c r="CV82" s="426"/>
      <c r="CW82" s="426"/>
      <c r="CX82" s="426"/>
      <c r="CY82" s="426"/>
      <c r="CZ82" s="426"/>
      <c r="DA82" s="426"/>
      <c r="DB82" s="426"/>
      <c r="DC82" s="426"/>
    </row>
    <row r="83" spans="1:20" ht="12.75">
      <c r="A83" s="74" t="s">
        <v>1026</v>
      </c>
      <c r="B83" s="430">
        <f>SUM(B84)</f>
        <v>216000</v>
      </c>
      <c r="C83" s="430">
        <f aca="true" t="shared" si="57" ref="C83:I83">SUM(C84)</f>
        <v>0</v>
      </c>
      <c r="D83" s="628">
        <f t="shared" si="45"/>
        <v>0</v>
      </c>
      <c r="E83" s="430">
        <f t="shared" si="57"/>
        <v>200000</v>
      </c>
      <c r="F83" s="430">
        <f t="shared" si="57"/>
        <v>0</v>
      </c>
      <c r="G83" s="628">
        <f t="shared" si="48"/>
        <v>0</v>
      </c>
      <c r="H83" s="430">
        <f t="shared" si="57"/>
        <v>400000</v>
      </c>
      <c r="I83" s="430">
        <f t="shared" si="57"/>
        <v>0</v>
      </c>
      <c r="J83" s="629">
        <f t="shared" si="49"/>
        <v>0</v>
      </c>
      <c r="K83" s="74" t="s">
        <v>1026</v>
      </c>
      <c r="L83" s="430">
        <f>SUM(L84)</f>
        <v>216</v>
      </c>
      <c r="M83" s="430">
        <f>ROUND(C83/1000,0)</f>
        <v>0</v>
      </c>
      <c r="N83" s="628">
        <f t="shared" si="46"/>
        <v>0</v>
      </c>
      <c r="O83" s="430">
        <f t="shared" si="55"/>
        <v>200</v>
      </c>
      <c r="P83" s="430">
        <f t="shared" si="55"/>
        <v>0</v>
      </c>
      <c r="Q83" s="628">
        <f t="shared" si="51"/>
        <v>0</v>
      </c>
      <c r="R83" s="430">
        <f t="shared" si="56"/>
        <v>400</v>
      </c>
      <c r="S83" s="430">
        <f t="shared" si="56"/>
        <v>0</v>
      </c>
      <c r="T83" s="628">
        <f t="shared" si="52"/>
        <v>0</v>
      </c>
    </row>
    <row r="84" spans="1:107" s="427" customFormat="1" ht="12.75">
      <c r="A84" s="432" t="s">
        <v>237</v>
      </c>
      <c r="B84" s="27">
        <v>216000</v>
      </c>
      <c r="C84" s="27"/>
      <c r="D84" s="629">
        <f t="shared" si="45"/>
        <v>0</v>
      </c>
      <c r="E84" s="27">
        <v>200000</v>
      </c>
      <c r="F84" s="27"/>
      <c r="G84" s="629">
        <f t="shared" si="48"/>
        <v>0</v>
      </c>
      <c r="H84" s="27">
        <v>400000</v>
      </c>
      <c r="I84" s="27"/>
      <c r="J84" s="629">
        <f t="shared" si="49"/>
        <v>0</v>
      </c>
      <c r="K84" s="432" t="s">
        <v>237</v>
      </c>
      <c r="L84" s="27">
        <f>ROUND(B84/1000,0)</f>
        <v>216</v>
      </c>
      <c r="M84" s="27">
        <f>ROUND(C84/1000,0)</f>
        <v>0</v>
      </c>
      <c r="N84" s="629">
        <f t="shared" si="46"/>
        <v>0</v>
      </c>
      <c r="O84" s="27">
        <f t="shared" si="55"/>
        <v>200</v>
      </c>
      <c r="P84" s="27">
        <f t="shared" si="55"/>
        <v>0</v>
      </c>
      <c r="Q84" s="629">
        <f t="shared" si="51"/>
        <v>0</v>
      </c>
      <c r="R84" s="27">
        <f t="shared" si="56"/>
        <v>400</v>
      </c>
      <c r="S84" s="27">
        <f t="shared" si="56"/>
        <v>0</v>
      </c>
      <c r="T84" s="629">
        <f t="shared" si="52"/>
        <v>0</v>
      </c>
      <c r="U84" s="426"/>
      <c r="V84" s="426"/>
      <c r="W84" s="426"/>
      <c r="X84" s="426"/>
      <c r="Y84" s="426"/>
      <c r="Z84" s="426"/>
      <c r="AA84" s="426"/>
      <c r="AB84" s="426"/>
      <c r="AC84" s="426"/>
      <c r="AD84" s="426"/>
      <c r="AE84" s="426"/>
      <c r="AF84" s="426"/>
      <c r="AG84" s="426"/>
      <c r="AH84" s="426"/>
      <c r="AI84" s="426"/>
      <c r="AJ84" s="426"/>
      <c r="AK84" s="426"/>
      <c r="AL84" s="426"/>
      <c r="AM84" s="426"/>
      <c r="AN84" s="426"/>
      <c r="AO84" s="426"/>
      <c r="AP84" s="426"/>
      <c r="AQ84" s="426"/>
      <c r="AR84" s="426"/>
      <c r="AS84" s="426"/>
      <c r="AT84" s="426"/>
      <c r="AU84" s="426"/>
      <c r="AV84" s="426"/>
      <c r="AW84" s="426"/>
      <c r="AX84" s="426"/>
      <c r="AY84" s="426"/>
      <c r="AZ84" s="426"/>
      <c r="BA84" s="426"/>
      <c r="BB84" s="426"/>
      <c r="BC84" s="426"/>
      <c r="BD84" s="426"/>
      <c r="BE84" s="426"/>
      <c r="BF84" s="426"/>
      <c r="BG84" s="426"/>
      <c r="BH84" s="426"/>
      <c r="BI84" s="426"/>
      <c r="BJ84" s="426"/>
      <c r="BK84" s="426"/>
      <c r="BL84" s="426"/>
      <c r="BM84" s="426"/>
      <c r="BN84" s="426"/>
      <c r="BO84" s="426"/>
      <c r="BP84" s="426"/>
      <c r="BQ84" s="426"/>
      <c r="BR84" s="426"/>
      <c r="BS84" s="426"/>
      <c r="BT84" s="426"/>
      <c r="BU84" s="426"/>
      <c r="BV84" s="426"/>
      <c r="BW84" s="426"/>
      <c r="BX84" s="426"/>
      <c r="BY84" s="426"/>
      <c r="BZ84" s="426"/>
      <c r="CA84" s="426"/>
      <c r="CB84" s="426"/>
      <c r="CC84" s="426"/>
      <c r="CD84" s="426"/>
      <c r="CE84" s="426"/>
      <c r="CF84" s="426"/>
      <c r="CG84" s="426"/>
      <c r="CH84" s="426"/>
      <c r="CI84" s="426"/>
      <c r="CJ84" s="426"/>
      <c r="CK84" s="426"/>
      <c r="CL84" s="426"/>
      <c r="CM84" s="426"/>
      <c r="CN84" s="426"/>
      <c r="CO84" s="426"/>
      <c r="CP84" s="426"/>
      <c r="CQ84" s="426"/>
      <c r="CR84" s="426"/>
      <c r="CS84" s="426"/>
      <c r="CT84" s="426"/>
      <c r="CU84" s="426"/>
      <c r="CV84" s="426"/>
      <c r="CW84" s="426"/>
      <c r="CX84" s="426"/>
      <c r="CY84" s="426"/>
      <c r="CZ84" s="426"/>
      <c r="DA84" s="426"/>
      <c r="DB84" s="426"/>
      <c r="DC84" s="426"/>
    </row>
    <row r="85" spans="1:20" ht="24">
      <c r="A85" s="74" t="s">
        <v>675</v>
      </c>
      <c r="B85" s="430">
        <f>B86</f>
        <v>540000</v>
      </c>
      <c r="C85" s="430">
        <f aca="true" t="shared" si="58" ref="C85:I85">C86</f>
        <v>0</v>
      </c>
      <c r="D85" s="628">
        <f t="shared" si="45"/>
        <v>0</v>
      </c>
      <c r="E85" s="430">
        <f t="shared" si="58"/>
        <v>110000</v>
      </c>
      <c r="F85" s="430">
        <f t="shared" si="58"/>
        <v>0</v>
      </c>
      <c r="G85" s="628">
        <f t="shared" si="48"/>
        <v>0</v>
      </c>
      <c r="H85" s="430">
        <f t="shared" si="58"/>
        <v>0</v>
      </c>
      <c r="I85" s="430">
        <f t="shared" si="58"/>
        <v>0</v>
      </c>
      <c r="J85" s="628" t="e">
        <f t="shared" si="49"/>
        <v>#DIV/0!</v>
      </c>
      <c r="K85" s="59" t="s">
        <v>675</v>
      </c>
      <c r="L85" s="430">
        <f>L86</f>
        <v>540</v>
      </c>
      <c r="M85" s="430">
        <f>M86</f>
        <v>0</v>
      </c>
      <c r="N85" s="628">
        <f t="shared" si="46"/>
        <v>0</v>
      </c>
      <c r="O85" s="430">
        <f>O86</f>
        <v>110</v>
      </c>
      <c r="P85" s="430">
        <f>P86</f>
        <v>0</v>
      </c>
      <c r="Q85" s="628">
        <f t="shared" si="51"/>
        <v>0</v>
      </c>
      <c r="R85" s="430"/>
      <c r="S85" s="430"/>
      <c r="T85" s="628"/>
    </row>
    <row r="86" spans="1:107" s="427" customFormat="1" ht="12.75">
      <c r="A86" s="432" t="s">
        <v>237</v>
      </c>
      <c r="B86" s="27">
        <v>540000</v>
      </c>
      <c r="C86" s="27"/>
      <c r="D86" s="629">
        <f t="shared" si="45"/>
        <v>0</v>
      </c>
      <c r="E86" s="27">
        <v>110000</v>
      </c>
      <c r="F86" s="27"/>
      <c r="G86" s="629">
        <f t="shared" si="48"/>
        <v>0</v>
      </c>
      <c r="H86" s="27"/>
      <c r="I86" s="27"/>
      <c r="J86" s="629" t="e">
        <f t="shared" si="49"/>
        <v>#DIV/0!</v>
      </c>
      <c r="K86" s="432" t="s">
        <v>237</v>
      </c>
      <c r="L86" s="27">
        <f>ROUND(B86/1000,0)</f>
        <v>540</v>
      </c>
      <c r="M86" s="27">
        <f>ROUND(C86/1000,0)</f>
        <v>0</v>
      </c>
      <c r="N86" s="629">
        <f t="shared" si="46"/>
        <v>0</v>
      </c>
      <c r="O86" s="27">
        <f>ROUND(E86/1000,0)</f>
        <v>110</v>
      </c>
      <c r="P86" s="27">
        <f>ROUND(F86/1000,0)</f>
        <v>0</v>
      </c>
      <c r="Q86" s="629">
        <f t="shared" si="51"/>
        <v>0</v>
      </c>
      <c r="R86" s="27"/>
      <c r="S86" s="27"/>
      <c r="T86" s="629"/>
      <c r="U86" s="426"/>
      <c r="V86" s="426"/>
      <c r="W86" s="426"/>
      <c r="X86" s="426"/>
      <c r="Y86" s="426"/>
      <c r="Z86" s="426"/>
      <c r="AA86" s="426"/>
      <c r="AB86" s="426"/>
      <c r="AC86" s="426"/>
      <c r="AD86" s="426"/>
      <c r="AE86" s="426"/>
      <c r="AF86" s="426"/>
      <c r="AG86" s="426"/>
      <c r="AH86" s="426"/>
      <c r="AI86" s="426"/>
      <c r="AJ86" s="426"/>
      <c r="AK86" s="426"/>
      <c r="AL86" s="426"/>
      <c r="AM86" s="426"/>
      <c r="AN86" s="426"/>
      <c r="AO86" s="426"/>
      <c r="AP86" s="426"/>
      <c r="AQ86" s="426"/>
      <c r="AR86" s="426"/>
      <c r="AS86" s="426"/>
      <c r="AT86" s="426"/>
      <c r="AU86" s="426"/>
      <c r="AV86" s="426"/>
      <c r="AW86" s="426"/>
      <c r="AX86" s="426"/>
      <c r="AY86" s="426"/>
      <c r="AZ86" s="426"/>
      <c r="BA86" s="426"/>
      <c r="BB86" s="426"/>
      <c r="BC86" s="426"/>
      <c r="BD86" s="426"/>
      <c r="BE86" s="426"/>
      <c r="BF86" s="426"/>
      <c r="BG86" s="426"/>
      <c r="BH86" s="426"/>
      <c r="BI86" s="426"/>
      <c r="BJ86" s="426"/>
      <c r="BK86" s="426"/>
      <c r="BL86" s="426"/>
      <c r="BM86" s="426"/>
      <c r="BN86" s="426"/>
      <c r="BO86" s="426"/>
      <c r="BP86" s="426"/>
      <c r="BQ86" s="426"/>
      <c r="BR86" s="426"/>
      <c r="BS86" s="426"/>
      <c r="BT86" s="426"/>
      <c r="BU86" s="426"/>
      <c r="BV86" s="426"/>
      <c r="BW86" s="426"/>
      <c r="BX86" s="426"/>
      <c r="BY86" s="426"/>
      <c r="BZ86" s="426"/>
      <c r="CA86" s="426"/>
      <c r="CB86" s="426"/>
      <c r="CC86" s="426"/>
      <c r="CD86" s="426"/>
      <c r="CE86" s="426"/>
      <c r="CF86" s="426"/>
      <c r="CG86" s="426"/>
      <c r="CH86" s="426"/>
      <c r="CI86" s="426"/>
      <c r="CJ86" s="426"/>
      <c r="CK86" s="426"/>
      <c r="CL86" s="426"/>
      <c r="CM86" s="426"/>
      <c r="CN86" s="426"/>
      <c r="CO86" s="426"/>
      <c r="CP86" s="426"/>
      <c r="CQ86" s="426"/>
      <c r="CR86" s="426"/>
      <c r="CS86" s="426"/>
      <c r="CT86" s="426"/>
      <c r="CU86" s="426"/>
      <c r="CV86" s="426"/>
      <c r="CW86" s="426"/>
      <c r="CX86" s="426"/>
      <c r="CY86" s="426"/>
      <c r="CZ86" s="426"/>
      <c r="DA86" s="426"/>
      <c r="DB86" s="426"/>
      <c r="DC86" s="426"/>
    </row>
    <row r="90" spans="1:20" ht="12.75">
      <c r="A90" s="1"/>
      <c r="B90" s="570"/>
      <c r="C90" s="585"/>
      <c r="D90" s="585"/>
      <c r="E90" s="634"/>
      <c r="F90" s="635"/>
      <c r="G90" s="635"/>
      <c r="H90" s="635"/>
      <c r="I90" s="635"/>
      <c r="J90" s="1"/>
      <c r="K90" s="845" t="s">
        <v>565</v>
      </c>
      <c r="L90" s="845"/>
      <c r="M90" s="845"/>
      <c r="N90" s="845"/>
      <c r="O90" s="845"/>
      <c r="P90" s="845"/>
      <c r="Q90" s="845"/>
      <c r="R90" s="845"/>
      <c r="S90" s="845"/>
      <c r="T90" s="845"/>
    </row>
    <row r="92" spans="10:20" ht="12.75">
      <c r="J92" s="1"/>
      <c r="T92" s="1"/>
    </row>
    <row r="93" spans="10:20" ht="12.75">
      <c r="J93" s="1"/>
      <c r="T93" s="1"/>
    </row>
    <row r="94" spans="10:20" ht="12.75">
      <c r="J94" s="1"/>
      <c r="T94" s="1"/>
    </row>
    <row r="95" s="38" customFormat="1" ht="11.25">
      <c r="K95" s="38" t="s">
        <v>923</v>
      </c>
    </row>
    <row r="96" spans="10:20" ht="12.75">
      <c r="J96" s="1"/>
      <c r="K96" s="38" t="s">
        <v>340</v>
      </c>
      <c r="T96" s="1"/>
    </row>
    <row r="100" spans="10:20" ht="12.75">
      <c r="J100" s="1"/>
      <c r="T100" s="1"/>
    </row>
    <row r="101" spans="10:20" ht="12.75">
      <c r="J101" s="1"/>
      <c r="T101" s="1"/>
    </row>
    <row r="102" spans="10:20" ht="12.75">
      <c r="J102" s="1"/>
      <c r="T102" s="1"/>
    </row>
    <row r="103" spans="10:20" ht="12.75">
      <c r="J103" s="1"/>
      <c r="T103" s="1"/>
    </row>
    <row r="104" spans="10:20" ht="12.75">
      <c r="J104" s="1"/>
      <c r="T104" s="1"/>
    </row>
    <row r="105" spans="10:20" ht="12.75">
      <c r="J105" s="1"/>
      <c r="T105" s="1"/>
    </row>
    <row r="106" spans="10:20" ht="12.75">
      <c r="J106" s="1"/>
      <c r="K106" s="1"/>
      <c r="T106" s="1"/>
    </row>
    <row r="107" spans="10:20" ht="12.75">
      <c r="J107" s="1"/>
      <c r="K107" s="1"/>
      <c r="T107" s="1"/>
    </row>
    <row r="108" spans="10:20" ht="12.75">
      <c r="J108" s="1"/>
      <c r="K108" s="1"/>
      <c r="T108" s="1"/>
    </row>
    <row r="109" spans="10:20" ht="12.75">
      <c r="J109" s="1"/>
      <c r="K109" s="1"/>
      <c r="T109" s="1"/>
    </row>
    <row r="110" spans="10:20" ht="12.75">
      <c r="J110" s="1"/>
      <c r="K110" s="1"/>
      <c r="T110" s="1"/>
    </row>
    <row r="111" spans="10:20" ht="12.75">
      <c r="J111" s="1"/>
      <c r="T111" s="1"/>
    </row>
    <row r="112" spans="10:20" ht="12.75">
      <c r="J112" s="1"/>
      <c r="T112" s="1"/>
    </row>
    <row r="113" spans="10:20" ht="12.75">
      <c r="J113" s="1"/>
      <c r="T113" s="1"/>
    </row>
    <row r="114" spans="10:20" ht="12.75">
      <c r="J114" s="1"/>
      <c r="T114" s="1"/>
    </row>
    <row r="115" spans="10:20" ht="12.75">
      <c r="J115" s="1"/>
      <c r="T115" s="1"/>
    </row>
    <row r="116" spans="10:20" ht="12.75">
      <c r="J116" s="1"/>
      <c r="T116" s="1"/>
    </row>
    <row r="117" spans="10:20" ht="12.75">
      <c r="J117" s="1"/>
      <c r="T117" s="1"/>
    </row>
    <row r="118" spans="10:20" ht="12.75">
      <c r="J118" s="1"/>
      <c r="T118" s="1"/>
    </row>
    <row r="119" spans="10:20" ht="12.75">
      <c r="J119" s="1"/>
      <c r="T119" s="1"/>
    </row>
    <row r="120" spans="10:20" ht="12.75">
      <c r="J120" s="1"/>
      <c r="T120" s="1"/>
    </row>
    <row r="121" spans="10:20" ht="12.75">
      <c r="J121" s="1"/>
      <c r="T121" s="1"/>
    </row>
    <row r="122" spans="10:20" ht="12.75">
      <c r="J122" s="1"/>
      <c r="T122" s="1"/>
    </row>
    <row r="123" spans="10:20" ht="12.75">
      <c r="J123" s="1"/>
      <c r="T123" s="1"/>
    </row>
    <row r="124" spans="10:20" ht="12.75">
      <c r="J124" s="1"/>
      <c r="T124" s="1"/>
    </row>
    <row r="125" spans="10:20" ht="12.75">
      <c r="J125" s="1"/>
      <c r="T125" s="1"/>
    </row>
    <row r="126" spans="10:20" ht="12.75">
      <c r="J126" s="1"/>
      <c r="T126" s="1"/>
    </row>
    <row r="127" spans="10:20" ht="12.75">
      <c r="J127" s="1"/>
      <c r="T127" s="1"/>
    </row>
    <row r="128" spans="10:20" ht="12.75">
      <c r="J128" s="1"/>
      <c r="T128" s="1"/>
    </row>
    <row r="129" spans="10:20" ht="12.75">
      <c r="J129" s="1"/>
      <c r="T129" s="1"/>
    </row>
    <row r="130" spans="10:20" ht="12.75">
      <c r="J130" s="1"/>
      <c r="T130" s="1"/>
    </row>
    <row r="131" spans="10:20" ht="12.75">
      <c r="J131" s="1"/>
      <c r="T131" s="1"/>
    </row>
    <row r="132" spans="10:20" ht="12.75">
      <c r="J132" s="1"/>
      <c r="T132" s="1"/>
    </row>
    <row r="133" spans="10:20" ht="12.75">
      <c r="J133" s="1"/>
      <c r="T133" s="1"/>
    </row>
    <row r="134" spans="10:20" ht="12.75">
      <c r="J134" s="1"/>
      <c r="T134" s="1"/>
    </row>
    <row r="135" spans="10:20" ht="12.75">
      <c r="J135" s="1"/>
      <c r="T135" s="1"/>
    </row>
    <row r="136" spans="10:20" ht="12.75">
      <c r="J136" s="1"/>
      <c r="T136" s="1"/>
    </row>
    <row r="137" spans="10:20" ht="12.75">
      <c r="J137" s="1"/>
      <c r="T137" s="1"/>
    </row>
    <row r="138" spans="10:20" ht="12.75">
      <c r="J138" s="1"/>
      <c r="T138" s="1"/>
    </row>
    <row r="139" spans="10:20" ht="12.75">
      <c r="J139" s="1"/>
      <c r="T139" s="1"/>
    </row>
    <row r="140" spans="10:20" ht="12.75">
      <c r="J140" s="1"/>
      <c r="T140" s="1"/>
    </row>
    <row r="141" spans="10:20" ht="12.75">
      <c r="J141" s="1"/>
      <c r="T141" s="1"/>
    </row>
    <row r="142" spans="10:20" ht="12.75">
      <c r="J142" s="1"/>
      <c r="T142" s="1"/>
    </row>
    <row r="143" spans="10:20" ht="12.75">
      <c r="J143" s="1"/>
      <c r="T143" s="1"/>
    </row>
    <row r="144" spans="10:20" ht="12.75">
      <c r="J144" s="1"/>
      <c r="T144" s="1"/>
    </row>
    <row r="145" spans="10:20" ht="12.75">
      <c r="J145" s="1"/>
      <c r="T145" s="1"/>
    </row>
    <row r="146" spans="10:20" ht="12.75">
      <c r="J146" s="1"/>
      <c r="T146" s="1"/>
    </row>
    <row r="147" spans="10:20" ht="12.75">
      <c r="J147" s="1"/>
      <c r="T147" s="1"/>
    </row>
    <row r="148" spans="10:20" ht="12.75">
      <c r="J148" s="1"/>
      <c r="T148" s="1"/>
    </row>
    <row r="149" spans="10:20" ht="12.75">
      <c r="J149" s="1"/>
      <c r="T149" s="1"/>
    </row>
    <row r="150" spans="10:20" ht="12.75">
      <c r="J150" s="1"/>
      <c r="T150" s="1"/>
    </row>
    <row r="151" spans="10:20" ht="12.75">
      <c r="J151" s="1"/>
      <c r="T151" s="1"/>
    </row>
    <row r="152" spans="10:20" ht="12.75">
      <c r="J152" s="1"/>
      <c r="T152" s="1"/>
    </row>
    <row r="153" spans="10:20" ht="12.75">
      <c r="J153" s="1"/>
      <c r="T153" s="1"/>
    </row>
    <row r="154" spans="10:20" ht="12.75">
      <c r="J154" s="1"/>
      <c r="T154" s="1"/>
    </row>
    <row r="155" spans="10:20" ht="12.75">
      <c r="J155" s="1"/>
      <c r="T155" s="1"/>
    </row>
    <row r="156" spans="10:20" ht="12.75">
      <c r="J156" s="1"/>
      <c r="T156" s="1"/>
    </row>
    <row r="157" spans="10:20" ht="12.75">
      <c r="J157" s="1"/>
      <c r="T157" s="1"/>
    </row>
    <row r="158" spans="10:20" ht="12.75">
      <c r="J158" s="1"/>
      <c r="T158" s="1"/>
    </row>
    <row r="159" spans="10:20" ht="12.75">
      <c r="J159" s="1"/>
      <c r="T159" s="1"/>
    </row>
    <row r="160" spans="10:20" ht="12.75">
      <c r="J160" s="1"/>
      <c r="T160" s="1"/>
    </row>
    <row r="161" spans="10:20" ht="12.75">
      <c r="J161" s="1"/>
      <c r="T161" s="1"/>
    </row>
    <row r="162" spans="10:20" ht="12.75">
      <c r="J162" s="1"/>
      <c r="T162" s="1"/>
    </row>
    <row r="163" spans="10:20" ht="12.75">
      <c r="J163" s="1"/>
      <c r="T163" s="1"/>
    </row>
    <row r="164" spans="10:20" ht="12.75">
      <c r="J164" s="1"/>
      <c r="T164" s="1"/>
    </row>
    <row r="165" spans="10:20" ht="12.75">
      <c r="J165" s="1"/>
      <c r="T165" s="1"/>
    </row>
    <row r="166" spans="10:20" ht="12.75">
      <c r="J166" s="1"/>
      <c r="T166" s="1"/>
    </row>
    <row r="167" spans="10:20" ht="12.75">
      <c r="J167" s="1"/>
      <c r="T167" s="1"/>
    </row>
    <row r="168" spans="10:20" ht="12.75">
      <c r="J168" s="1"/>
      <c r="T168" s="1"/>
    </row>
    <row r="169" spans="10:20" ht="12.75">
      <c r="J169" s="1"/>
      <c r="T169" s="1"/>
    </row>
    <row r="170" spans="10:20" ht="12.75">
      <c r="J170" s="1"/>
      <c r="T170" s="1"/>
    </row>
    <row r="171" spans="10:20" ht="12.75">
      <c r="J171" s="1"/>
      <c r="T171" s="1"/>
    </row>
    <row r="172" spans="10:20" ht="12.75">
      <c r="J172" s="1"/>
      <c r="T172" s="1"/>
    </row>
    <row r="173" spans="10:20" ht="12.75">
      <c r="J173" s="1"/>
      <c r="T173" s="1"/>
    </row>
    <row r="174" spans="10:20" ht="12.75">
      <c r="J174" s="1"/>
      <c r="T174" s="1"/>
    </row>
    <row r="175" spans="1:2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1:2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1:2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1:2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1:2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1:2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1:2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1:2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1:2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1:20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1:20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1:20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1:20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1:20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1:20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1:20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1:20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1:20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1:20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1:20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1:20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1:20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1:20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1:20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1:20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1:20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1:20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1:20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1:20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1:20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1:20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1:20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1:20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1:20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1:20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1:20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1:20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1:20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 spans="1:20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</row>
    <row r="222" spans="1:20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</row>
    <row r="223" spans="1:20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</row>
    <row r="224" spans="1:20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</row>
    <row r="225" spans="1:20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</row>
    <row r="226" spans="1:20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</row>
    <row r="227" spans="1:20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</row>
    <row r="228" spans="1:20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</row>
    <row r="229" spans="1:20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</row>
  </sheetData>
  <mergeCells count="13">
    <mergeCell ref="K90:T90"/>
    <mergeCell ref="A4:J4"/>
    <mergeCell ref="K4:T4"/>
    <mergeCell ref="A5:J5"/>
    <mergeCell ref="K5:T5"/>
    <mergeCell ref="A6:J6"/>
    <mergeCell ref="K6:T6"/>
    <mergeCell ref="B9:D9"/>
    <mergeCell ref="E9:G9"/>
    <mergeCell ref="H9:J9"/>
    <mergeCell ref="L9:N9"/>
    <mergeCell ref="O9:Q9"/>
    <mergeCell ref="R9:T9"/>
  </mergeCells>
  <printOptions/>
  <pageMargins left="0.75" right="0.75" top="0.18" bottom="0.26" header="0.23" footer="0.26"/>
  <pageSetup firstPageNumber="51" useFirstPageNumber="1" horizontalDpi="600" verticalDpi="600" orientation="landscape" paperSize="9" r:id="rId1"/>
  <headerFooter alignWithMargins="0">
    <oddFooter>&amp;R&amp;9&amp;P</oddFooter>
  </headerFooter>
  <rowBreaks count="2" manualBreakCount="2">
    <brk id="29" min="10" max="19" man="1"/>
    <brk id="60" min="10" max="19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DC181"/>
  <sheetViews>
    <sheetView workbookViewId="0" topLeftCell="K1">
      <selection activeCell="K5" sqref="K5:T5"/>
    </sheetView>
  </sheetViews>
  <sheetFormatPr defaultColWidth="9.140625" defaultRowHeight="12.75"/>
  <cols>
    <col min="1" max="1" width="43.00390625" style="49" hidden="1" customWidth="1"/>
    <col min="2" max="2" width="9.57421875" style="49" hidden="1" customWidth="1"/>
    <col min="3" max="3" width="8.140625" style="49" hidden="1" customWidth="1"/>
    <col min="4" max="4" width="6.140625" style="49" hidden="1" customWidth="1"/>
    <col min="5" max="5" width="9.57421875" style="49" hidden="1" customWidth="1"/>
    <col min="6" max="6" width="7.421875" style="49" hidden="1" customWidth="1"/>
    <col min="7" max="7" width="6.140625" style="49" hidden="1" customWidth="1"/>
    <col min="8" max="8" width="9.57421875" style="49" hidden="1" customWidth="1"/>
    <col min="9" max="9" width="8.140625" style="49" hidden="1" customWidth="1"/>
    <col min="10" max="10" width="6.57421875" style="49" hidden="1" customWidth="1"/>
    <col min="11" max="11" width="46.421875" style="49" customWidth="1"/>
    <col min="12" max="12" width="10.00390625" style="49" customWidth="1"/>
    <col min="13" max="13" width="9.140625" style="49" customWidth="1"/>
    <col min="14" max="14" width="8.421875" style="49" customWidth="1"/>
    <col min="15" max="15" width="9.8515625" style="49" customWidth="1"/>
    <col min="16" max="16" width="9.00390625" style="49" customWidth="1"/>
    <col min="17" max="17" width="7.8515625" style="49" customWidth="1"/>
    <col min="18" max="18" width="10.00390625" style="49" customWidth="1"/>
    <col min="19" max="19" width="8.57421875" style="49" customWidth="1"/>
    <col min="20" max="20" width="8.140625" style="49" customWidth="1"/>
    <col min="21" max="107" width="9.8515625" style="0" customWidth="1"/>
    <col min="108" max="16384" width="9.8515625" style="49" customWidth="1"/>
  </cols>
  <sheetData>
    <row r="1" ht="12.75">
      <c r="T1" s="49" t="s">
        <v>676</v>
      </c>
    </row>
    <row r="2" spans="1:19" ht="17.25" customHeight="1">
      <c r="A2" s="51" t="s">
        <v>962</v>
      </c>
      <c r="B2" s="51"/>
      <c r="C2" s="171"/>
      <c r="D2" s="51"/>
      <c r="E2" s="51"/>
      <c r="F2" s="171"/>
      <c r="G2" s="171"/>
      <c r="H2" s="171"/>
      <c r="I2" s="171"/>
      <c r="K2" s="51" t="s">
        <v>962</v>
      </c>
      <c r="L2" s="51"/>
      <c r="M2" s="171"/>
      <c r="N2" s="51"/>
      <c r="O2" s="51"/>
      <c r="P2" s="171"/>
      <c r="Q2" s="171"/>
      <c r="R2" s="171"/>
      <c r="S2" s="171"/>
    </row>
    <row r="3" spans="1:20" ht="12.75">
      <c r="A3" s="51"/>
      <c r="B3" s="51"/>
      <c r="C3" s="171"/>
      <c r="D3" s="51"/>
      <c r="E3" s="51"/>
      <c r="F3" s="171"/>
      <c r="G3" s="171"/>
      <c r="H3" s="171"/>
      <c r="I3" s="171"/>
      <c r="J3" s="1"/>
      <c r="K3" s="51"/>
      <c r="L3" s="51"/>
      <c r="M3" s="171"/>
      <c r="N3" s="51"/>
      <c r="O3" s="51"/>
      <c r="P3" s="171"/>
      <c r="Q3" s="171"/>
      <c r="R3" s="171"/>
      <c r="S3" s="171"/>
      <c r="T3" s="1"/>
    </row>
    <row r="4" spans="1:20" ht="18.75" customHeight="1">
      <c r="A4" s="856" t="s">
        <v>661</v>
      </c>
      <c r="B4" s="856"/>
      <c r="C4" s="856"/>
      <c r="D4" s="856"/>
      <c r="E4" s="856"/>
      <c r="F4" s="856"/>
      <c r="G4" s="856"/>
      <c r="H4" s="856"/>
      <c r="I4" s="856"/>
      <c r="J4" s="856"/>
      <c r="K4" s="856" t="s">
        <v>660</v>
      </c>
      <c r="L4" s="856"/>
      <c r="M4" s="856"/>
      <c r="N4" s="856"/>
      <c r="O4" s="856"/>
      <c r="P4" s="856"/>
      <c r="Q4" s="856"/>
      <c r="R4" s="856"/>
      <c r="S4" s="856"/>
      <c r="T4" s="856"/>
    </row>
    <row r="5" spans="1:20" ht="18.75" customHeight="1">
      <c r="A5" s="856" t="s">
        <v>677</v>
      </c>
      <c r="B5" s="856"/>
      <c r="C5" s="856"/>
      <c r="D5" s="856"/>
      <c r="E5" s="856"/>
      <c r="F5" s="856"/>
      <c r="G5" s="856"/>
      <c r="H5" s="856"/>
      <c r="I5" s="856"/>
      <c r="J5" s="856"/>
      <c r="K5" s="856" t="s">
        <v>677</v>
      </c>
      <c r="L5" s="856"/>
      <c r="M5" s="856"/>
      <c r="N5" s="856"/>
      <c r="O5" s="856"/>
      <c r="P5" s="856"/>
      <c r="Q5" s="856"/>
      <c r="R5" s="856"/>
      <c r="S5" s="856"/>
      <c r="T5" s="856"/>
    </row>
    <row r="6" spans="1:20" ht="19.5" customHeight="1">
      <c r="A6" s="856" t="s">
        <v>352</v>
      </c>
      <c r="B6" s="856"/>
      <c r="C6" s="856"/>
      <c r="D6" s="856"/>
      <c r="E6" s="856"/>
      <c r="F6" s="856"/>
      <c r="G6" s="856"/>
      <c r="H6" s="856"/>
      <c r="I6" s="856"/>
      <c r="J6" s="856"/>
      <c r="K6" s="865" t="s">
        <v>307</v>
      </c>
      <c r="L6" s="865"/>
      <c r="M6" s="865"/>
      <c r="N6" s="865"/>
      <c r="O6" s="865"/>
      <c r="P6" s="865"/>
      <c r="Q6" s="865"/>
      <c r="R6" s="865"/>
      <c r="S6" s="865"/>
      <c r="T6" s="865"/>
    </row>
    <row r="7" spans="1:20" ht="11.25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</row>
    <row r="8" spans="1:20" ht="11.25" customHeight="1">
      <c r="A8" s="48"/>
      <c r="B8" s="48"/>
      <c r="C8" s="48"/>
      <c r="D8" s="48"/>
      <c r="E8" s="48"/>
      <c r="F8" s="48"/>
      <c r="G8" s="48"/>
      <c r="H8" s="48"/>
      <c r="I8" s="48"/>
      <c r="J8" s="2" t="s">
        <v>252</v>
      </c>
      <c r="K8" s="48"/>
      <c r="L8" s="48"/>
      <c r="M8" s="48"/>
      <c r="N8" s="48"/>
      <c r="O8" s="48"/>
      <c r="P8" s="48"/>
      <c r="Q8" s="48"/>
      <c r="R8" s="48"/>
      <c r="S8" s="48"/>
      <c r="T8" s="2" t="s">
        <v>842</v>
      </c>
    </row>
    <row r="9" spans="1:20" s="38" customFormat="1" ht="24" customHeight="1">
      <c r="A9" s="622"/>
      <c r="B9" s="907" t="s">
        <v>663</v>
      </c>
      <c r="C9" s="908"/>
      <c r="D9" s="909"/>
      <c r="E9" s="907" t="s">
        <v>664</v>
      </c>
      <c r="F9" s="908"/>
      <c r="G9" s="909"/>
      <c r="H9" s="910" t="s">
        <v>665</v>
      </c>
      <c r="I9" s="911"/>
      <c r="J9" s="912"/>
      <c r="K9" s="622"/>
      <c r="L9" s="907" t="s">
        <v>663</v>
      </c>
      <c r="M9" s="908"/>
      <c r="N9" s="909"/>
      <c r="O9" s="907" t="s">
        <v>664</v>
      </c>
      <c r="P9" s="908"/>
      <c r="Q9" s="909"/>
      <c r="R9" s="910" t="s">
        <v>665</v>
      </c>
      <c r="S9" s="911"/>
      <c r="T9" s="912"/>
    </row>
    <row r="10" spans="1:20" ht="56.25">
      <c r="A10" s="540" t="s">
        <v>738</v>
      </c>
      <c r="B10" s="623" t="s">
        <v>666</v>
      </c>
      <c r="C10" s="9" t="s">
        <v>667</v>
      </c>
      <c r="D10" s="9" t="s">
        <v>370</v>
      </c>
      <c r="E10" s="9" t="s">
        <v>666</v>
      </c>
      <c r="F10" s="9" t="s">
        <v>667</v>
      </c>
      <c r="G10" s="9" t="s">
        <v>668</v>
      </c>
      <c r="H10" s="9" t="s">
        <v>666</v>
      </c>
      <c r="I10" s="9" t="s">
        <v>667</v>
      </c>
      <c r="J10" s="9" t="s">
        <v>669</v>
      </c>
      <c r="K10" s="540" t="s">
        <v>738</v>
      </c>
      <c r="L10" s="623" t="s">
        <v>666</v>
      </c>
      <c r="M10" s="9" t="s">
        <v>667</v>
      </c>
      <c r="N10" s="9" t="s">
        <v>370</v>
      </c>
      <c r="O10" s="9" t="s">
        <v>666</v>
      </c>
      <c r="P10" s="9" t="s">
        <v>667</v>
      </c>
      <c r="Q10" s="9" t="s">
        <v>668</v>
      </c>
      <c r="R10" s="9" t="s">
        <v>666</v>
      </c>
      <c r="S10" s="9" t="s">
        <v>667</v>
      </c>
      <c r="T10" s="9" t="s">
        <v>669</v>
      </c>
    </row>
    <row r="11" spans="1:20" ht="12.75">
      <c r="A11" s="540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  <c r="K11" s="540">
        <v>1</v>
      </c>
      <c r="L11" s="9">
        <v>2</v>
      </c>
      <c r="M11" s="9">
        <v>3</v>
      </c>
      <c r="N11" s="9">
        <v>4</v>
      </c>
      <c r="O11" s="9">
        <v>5</v>
      </c>
      <c r="P11" s="9">
        <v>6</v>
      </c>
      <c r="Q11" s="9">
        <v>7</v>
      </c>
      <c r="R11" s="9">
        <v>8</v>
      </c>
      <c r="S11" s="9">
        <v>9</v>
      </c>
      <c r="T11" s="9">
        <v>10</v>
      </c>
    </row>
    <row r="12" spans="1:107" ht="12.75">
      <c r="A12" s="416" t="s">
        <v>581</v>
      </c>
      <c r="B12" s="351">
        <f>B17+B20+B22+B27+B31+B34</f>
        <v>29100897</v>
      </c>
      <c r="C12" s="351">
        <f>C17+C20+C22+C27+C31+C34</f>
        <v>0</v>
      </c>
      <c r="D12" s="624">
        <f>C12/B12*100</f>
        <v>0</v>
      </c>
      <c r="E12" s="351">
        <f>E17+E20+E22+E27+E31+E34</f>
        <v>24232058</v>
      </c>
      <c r="F12" s="351">
        <f>F17+F20+F22+F27+F31+F34</f>
        <v>0</v>
      </c>
      <c r="G12" s="624">
        <f>F12/E12*100</f>
        <v>0</v>
      </c>
      <c r="H12" s="351">
        <f>H17+H20+H22+H27+H31+H34</f>
        <v>73638787</v>
      </c>
      <c r="I12" s="351">
        <f>I17+I20+I22+I27+I31+I34</f>
        <v>0</v>
      </c>
      <c r="J12" s="624">
        <f>I12/H12*100</f>
        <v>0</v>
      </c>
      <c r="K12" s="92" t="s">
        <v>581</v>
      </c>
      <c r="L12" s="351">
        <f>L17+L20+L22+L27+L31+L34</f>
        <v>29101</v>
      </c>
      <c r="M12" s="351">
        <f>M17+M20+M22+M27+M31+M34</f>
        <v>0</v>
      </c>
      <c r="N12" s="624">
        <f>M12/L12*100</f>
        <v>0</v>
      </c>
      <c r="O12" s="351">
        <f>O17+O20+O22+O27+O31+O34</f>
        <v>24232</v>
      </c>
      <c r="P12" s="351">
        <f>P17+P20+P22+P27+P31+P34</f>
        <v>0</v>
      </c>
      <c r="Q12" s="624">
        <f>P12/O12*100</f>
        <v>0</v>
      </c>
      <c r="R12" s="351">
        <f>R17+R20+R22+R27+R31+R34</f>
        <v>73639</v>
      </c>
      <c r="S12" s="351">
        <f>S17+S20+S22+S27+S31+S34</f>
        <v>0</v>
      </c>
      <c r="T12" s="624">
        <f>S12/R12*100</f>
        <v>0</v>
      </c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</row>
    <row r="13" spans="1:107" s="627" customFormat="1" ht="15" customHeight="1">
      <c r="A13" s="640" t="s">
        <v>670</v>
      </c>
      <c r="B13" s="428">
        <f>B18+B23+B28+B35</f>
        <v>5956047</v>
      </c>
      <c r="C13" s="428">
        <f>C18+C23+C28+C35</f>
        <v>0</v>
      </c>
      <c r="D13" s="518">
        <f aca="true" t="shared" si="0" ref="D13:D36">C13/B13*100</f>
        <v>0</v>
      </c>
      <c r="E13" s="428">
        <f>E18+E23+E28+E35</f>
        <v>7448246</v>
      </c>
      <c r="F13" s="428">
        <f>F18+F23+F28+F35</f>
        <v>0</v>
      </c>
      <c r="G13" s="518">
        <f aca="true" t="shared" si="1" ref="G13:G36">F13/E13*100</f>
        <v>0</v>
      </c>
      <c r="H13" s="428">
        <f>H18+H23+H28+H35</f>
        <v>40690398</v>
      </c>
      <c r="I13" s="428">
        <f>I18+I23+I28+I35</f>
        <v>0</v>
      </c>
      <c r="J13" s="518">
        <f>I13/H13*100</f>
        <v>0</v>
      </c>
      <c r="K13" s="640" t="s">
        <v>670</v>
      </c>
      <c r="L13" s="428">
        <f>L18+L23+L28+L35</f>
        <v>5956</v>
      </c>
      <c r="M13" s="428">
        <f>M18+M23+M28+M35</f>
        <v>0</v>
      </c>
      <c r="N13" s="518">
        <f aca="true" t="shared" si="2" ref="N13:N36">M13/L13*100</f>
        <v>0</v>
      </c>
      <c r="O13" s="428">
        <f>O18+O23+O28+O35</f>
        <v>7448</v>
      </c>
      <c r="P13" s="428">
        <f>P18+P23+P28+P35</f>
        <v>0</v>
      </c>
      <c r="Q13" s="518">
        <f aca="true" t="shared" si="3" ref="Q13:Q36">P13/O13*100</f>
        <v>0</v>
      </c>
      <c r="R13" s="428">
        <f>R18+R23+R28+R35</f>
        <v>40690</v>
      </c>
      <c r="S13" s="428">
        <f>S18+S23+S28+S35</f>
        <v>0</v>
      </c>
      <c r="T13" s="518">
        <f>S13/R13*100</f>
        <v>0</v>
      </c>
      <c r="U13" s="626"/>
      <c r="V13" s="626"/>
      <c r="W13" s="626"/>
      <c r="X13" s="626"/>
      <c r="Y13" s="626"/>
      <c r="Z13" s="626"/>
      <c r="AA13" s="626"/>
      <c r="AB13" s="626"/>
      <c r="AC13" s="626"/>
      <c r="AD13" s="626"/>
      <c r="AE13" s="626"/>
      <c r="AF13" s="626"/>
      <c r="AG13" s="626"/>
      <c r="AH13" s="626"/>
      <c r="AI13" s="626"/>
      <c r="AJ13" s="626"/>
      <c r="AK13" s="626"/>
      <c r="AL13" s="626"/>
      <c r="AM13" s="626"/>
      <c r="AN13" s="626"/>
      <c r="AO13" s="626"/>
      <c r="AP13" s="626"/>
      <c r="AQ13" s="626"/>
      <c r="AR13" s="626"/>
      <c r="AS13" s="626"/>
      <c r="AT13" s="626"/>
      <c r="AU13" s="626"/>
      <c r="AV13" s="626"/>
      <c r="AW13" s="626"/>
      <c r="AX13" s="626"/>
      <c r="AY13" s="626"/>
      <c r="AZ13" s="626"/>
      <c r="BA13" s="626"/>
      <c r="BB13" s="626"/>
      <c r="BC13" s="626"/>
      <c r="BD13" s="626"/>
      <c r="BE13" s="626"/>
      <c r="BF13" s="626"/>
      <c r="BG13" s="626"/>
      <c r="BH13" s="626"/>
      <c r="BI13" s="626"/>
      <c r="BJ13" s="626"/>
      <c r="BK13" s="626"/>
      <c r="BL13" s="626"/>
      <c r="BM13" s="626"/>
      <c r="BN13" s="626"/>
      <c r="BO13" s="626"/>
      <c r="BP13" s="626"/>
      <c r="BQ13" s="626"/>
      <c r="BR13" s="626"/>
      <c r="BS13" s="626"/>
      <c r="BT13" s="626"/>
      <c r="BU13" s="626"/>
      <c r="BV13" s="626"/>
      <c r="BW13" s="626"/>
      <c r="BX13" s="626"/>
      <c r="BY13" s="626"/>
      <c r="BZ13" s="626"/>
      <c r="CA13" s="626"/>
      <c r="CB13" s="626"/>
      <c r="CC13" s="626"/>
      <c r="CD13" s="626"/>
      <c r="CE13" s="626"/>
      <c r="CF13" s="626"/>
      <c r="CG13" s="626"/>
      <c r="CH13" s="626"/>
      <c r="CI13" s="626"/>
      <c r="CJ13" s="626"/>
      <c r="CK13" s="626"/>
      <c r="CL13" s="626"/>
      <c r="CM13" s="626"/>
      <c r="CN13" s="626"/>
      <c r="CO13" s="626"/>
      <c r="CP13" s="626"/>
      <c r="CQ13" s="626"/>
      <c r="CR13" s="626"/>
      <c r="CS13" s="626"/>
      <c r="CT13" s="626"/>
      <c r="CU13" s="626"/>
      <c r="CV13" s="626"/>
      <c r="CW13" s="626"/>
      <c r="CX13" s="626"/>
      <c r="CY13" s="626"/>
      <c r="CZ13" s="626"/>
      <c r="DA13" s="626"/>
      <c r="DB13" s="626"/>
      <c r="DC13" s="626"/>
    </row>
    <row r="14" spans="1:107" s="74" customFormat="1" ht="13.5" customHeight="1">
      <c r="A14" s="625" t="s">
        <v>1059</v>
      </c>
      <c r="B14" s="428">
        <f>B19+B24+B29+B36</f>
        <v>4068582</v>
      </c>
      <c r="C14" s="428">
        <f>C19+C24+C29+C36</f>
        <v>0</v>
      </c>
      <c r="D14" s="518">
        <f t="shared" si="0"/>
        <v>0</v>
      </c>
      <c r="E14" s="428">
        <f>E19+E24+E29+E36</f>
        <v>3809994</v>
      </c>
      <c r="F14" s="428">
        <f>F19+F24+F29+F36</f>
        <v>0</v>
      </c>
      <c r="G14" s="518">
        <f t="shared" si="1"/>
        <v>0</v>
      </c>
      <c r="H14" s="428">
        <f>H19+H24+H29+H36</f>
        <v>7614289</v>
      </c>
      <c r="I14" s="428">
        <f>I19+I24+I29+I36</f>
        <v>0</v>
      </c>
      <c r="J14" s="518">
        <f>I14/H14*100</f>
        <v>0</v>
      </c>
      <c r="K14" s="625" t="s">
        <v>1059</v>
      </c>
      <c r="L14" s="428">
        <f>L19+L24+L29+L36</f>
        <v>4068</v>
      </c>
      <c r="M14" s="428">
        <f>M19+M24+M29+M36</f>
        <v>0</v>
      </c>
      <c r="N14" s="518">
        <f t="shared" si="2"/>
        <v>0</v>
      </c>
      <c r="O14" s="428">
        <f>O19+O24+O29+O36</f>
        <v>3810</v>
      </c>
      <c r="P14" s="428">
        <f>P19+P24+P29+P36</f>
        <v>0</v>
      </c>
      <c r="Q14" s="518">
        <f t="shared" si="3"/>
        <v>0</v>
      </c>
      <c r="R14" s="428">
        <f>R19+R24+R29+R36</f>
        <v>7615</v>
      </c>
      <c r="S14" s="428">
        <f>S19+S24+S29+S36</f>
        <v>0</v>
      </c>
      <c r="T14" s="518">
        <f>S14/R14*100</f>
        <v>0</v>
      </c>
      <c r="U14" s="626"/>
      <c r="V14" s="626"/>
      <c r="W14" s="626"/>
      <c r="X14" s="626"/>
      <c r="Y14" s="626"/>
      <c r="Z14" s="626"/>
      <c r="AA14" s="626"/>
      <c r="AB14" s="626"/>
      <c r="AC14" s="626"/>
      <c r="AD14" s="626"/>
      <c r="AE14" s="626"/>
      <c r="AF14" s="626"/>
      <c r="AG14" s="626"/>
      <c r="AH14" s="626"/>
      <c r="AI14" s="626"/>
      <c r="AJ14" s="626"/>
      <c r="AK14" s="626"/>
      <c r="AL14" s="626"/>
      <c r="AM14" s="626"/>
      <c r="AN14" s="626"/>
      <c r="AO14" s="626"/>
      <c r="AP14" s="626"/>
      <c r="AQ14" s="626"/>
      <c r="AR14" s="626"/>
      <c r="AS14" s="626"/>
      <c r="AT14" s="626"/>
      <c r="AU14" s="626"/>
      <c r="AV14" s="626"/>
      <c r="AW14" s="626"/>
      <c r="AX14" s="626"/>
      <c r="AY14" s="626"/>
      <c r="AZ14" s="626"/>
      <c r="BA14" s="626"/>
      <c r="BB14" s="626"/>
      <c r="BC14" s="626"/>
      <c r="BD14" s="626"/>
      <c r="BE14" s="626"/>
      <c r="BF14" s="626"/>
      <c r="BG14" s="626"/>
      <c r="BH14" s="626"/>
      <c r="BI14" s="626"/>
      <c r="BJ14" s="626"/>
      <c r="BK14" s="626"/>
      <c r="BL14" s="626"/>
      <c r="BM14" s="626"/>
      <c r="BN14" s="626"/>
      <c r="BO14" s="626"/>
      <c r="BP14" s="626"/>
      <c r="BQ14" s="626"/>
      <c r="BR14" s="626"/>
      <c r="BS14" s="626"/>
      <c r="BT14" s="626"/>
      <c r="BU14" s="626"/>
      <c r="BV14" s="626"/>
      <c r="BW14" s="626"/>
      <c r="BX14" s="626"/>
      <c r="BY14" s="626"/>
      <c r="BZ14" s="626"/>
      <c r="CA14" s="626"/>
      <c r="CB14" s="626"/>
      <c r="CC14" s="626"/>
      <c r="CD14" s="626"/>
      <c r="CE14" s="626"/>
      <c r="CF14" s="626"/>
      <c r="CG14" s="626"/>
      <c r="CH14" s="626"/>
      <c r="CI14" s="626"/>
      <c r="CJ14" s="626"/>
      <c r="CK14" s="626"/>
      <c r="CL14" s="626"/>
      <c r="CM14" s="626"/>
      <c r="CN14" s="626"/>
      <c r="CO14" s="626"/>
      <c r="CP14" s="626"/>
      <c r="CQ14" s="626"/>
      <c r="CR14" s="626"/>
      <c r="CS14" s="626"/>
      <c r="CT14" s="626"/>
      <c r="CU14" s="626"/>
      <c r="CV14" s="626"/>
      <c r="CW14" s="626"/>
      <c r="CX14" s="626"/>
      <c r="CY14" s="626"/>
      <c r="CZ14" s="626"/>
      <c r="DA14" s="626"/>
      <c r="DB14" s="626"/>
      <c r="DC14" s="626"/>
    </row>
    <row r="15" spans="1:107" s="74" customFormat="1" ht="14.25" customHeight="1">
      <c r="A15" s="424" t="s">
        <v>671</v>
      </c>
      <c r="B15" s="428">
        <f>B25+B32</f>
        <v>93700</v>
      </c>
      <c r="C15" s="428">
        <f>C25+C32</f>
        <v>0</v>
      </c>
      <c r="D15" s="518">
        <f t="shared" si="0"/>
        <v>0</v>
      </c>
      <c r="E15" s="428">
        <f>E25+E32</f>
        <v>102550</v>
      </c>
      <c r="F15" s="428">
        <f>F25+F32</f>
        <v>0</v>
      </c>
      <c r="G15" s="518">
        <f t="shared" si="1"/>
        <v>0</v>
      </c>
      <c r="H15" s="428">
        <f>H25+H32</f>
        <v>129100</v>
      </c>
      <c r="I15" s="428">
        <f>I25+I32</f>
        <v>0</v>
      </c>
      <c r="J15" s="518">
        <f>I15/H15*100</f>
        <v>0</v>
      </c>
      <c r="K15" s="424" t="s">
        <v>671</v>
      </c>
      <c r="L15" s="428">
        <f>L25+L32</f>
        <v>94</v>
      </c>
      <c r="M15" s="428">
        <f>M25+M32</f>
        <v>0</v>
      </c>
      <c r="N15" s="518">
        <f t="shared" si="2"/>
        <v>0</v>
      </c>
      <c r="O15" s="428">
        <f>O25+O32</f>
        <v>103</v>
      </c>
      <c r="P15" s="428">
        <f>P25+P32</f>
        <v>0</v>
      </c>
      <c r="Q15" s="518">
        <f t="shared" si="3"/>
        <v>0</v>
      </c>
      <c r="R15" s="428">
        <f>R25+R32</f>
        <v>129</v>
      </c>
      <c r="S15" s="428">
        <f>S25+S32</f>
        <v>0</v>
      </c>
      <c r="T15" s="518">
        <f>S15/R15*100</f>
        <v>0</v>
      </c>
      <c r="U15" s="626"/>
      <c r="V15" s="626"/>
      <c r="W15" s="626"/>
      <c r="X15" s="626"/>
      <c r="Y15" s="626"/>
      <c r="Z15" s="626"/>
      <c r="AA15" s="626"/>
      <c r="AB15" s="626"/>
      <c r="AC15" s="626"/>
      <c r="AD15" s="626"/>
      <c r="AE15" s="626"/>
      <c r="AF15" s="626"/>
      <c r="AG15" s="626"/>
      <c r="AH15" s="626"/>
      <c r="AI15" s="626"/>
      <c r="AJ15" s="626"/>
      <c r="AK15" s="626"/>
      <c r="AL15" s="626"/>
      <c r="AM15" s="626"/>
      <c r="AN15" s="626"/>
      <c r="AO15" s="626"/>
      <c r="AP15" s="626"/>
      <c r="AQ15" s="626"/>
      <c r="AR15" s="626"/>
      <c r="AS15" s="626"/>
      <c r="AT15" s="626"/>
      <c r="AU15" s="626"/>
      <c r="AV15" s="626"/>
      <c r="AW15" s="626"/>
      <c r="AX15" s="626"/>
      <c r="AY15" s="626"/>
      <c r="AZ15" s="626"/>
      <c r="BA15" s="626"/>
      <c r="BB15" s="626"/>
      <c r="BC15" s="626"/>
      <c r="BD15" s="626"/>
      <c r="BE15" s="626"/>
      <c r="BF15" s="626"/>
      <c r="BG15" s="626"/>
      <c r="BH15" s="626"/>
      <c r="BI15" s="626"/>
      <c r="BJ15" s="626"/>
      <c r="BK15" s="626"/>
      <c r="BL15" s="626"/>
      <c r="BM15" s="626"/>
      <c r="BN15" s="626"/>
      <c r="BO15" s="626"/>
      <c r="BP15" s="626"/>
      <c r="BQ15" s="626"/>
      <c r="BR15" s="626"/>
      <c r="BS15" s="626"/>
      <c r="BT15" s="626"/>
      <c r="BU15" s="626"/>
      <c r="BV15" s="626"/>
      <c r="BW15" s="626"/>
      <c r="BX15" s="626"/>
      <c r="BY15" s="626"/>
      <c r="BZ15" s="626"/>
      <c r="CA15" s="626"/>
      <c r="CB15" s="626"/>
      <c r="CC15" s="626"/>
      <c r="CD15" s="626"/>
      <c r="CE15" s="626"/>
      <c r="CF15" s="626"/>
      <c r="CG15" s="626"/>
      <c r="CH15" s="626"/>
      <c r="CI15" s="626"/>
      <c r="CJ15" s="626"/>
      <c r="CK15" s="626"/>
      <c r="CL15" s="626"/>
      <c r="CM15" s="626"/>
      <c r="CN15" s="626"/>
      <c r="CO15" s="626"/>
      <c r="CP15" s="626"/>
      <c r="CQ15" s="626"/>
      <c r="CR15" s="626"/>
      <c r="CS15" s="626"/>
      <c r="CT15" s="626"/>
      <c r="CU15" s="626"/>
      <c r="CV15" s="626"/>
      <c r="CW15" s="626"/>
      <c r="CX15" s="626"/>
      <c r="CY15" s="626"/>
      <c r="CZ15" s="626"/>
      <c r="DA15" s="626"/>
      <c r="DB15" s="626"/>
      <c r="DC15" s="626"/>
    </row>
    <row r="16" spans="1:107" s="74" customFormat="1" ht="14.25" customHeight="1">
      <c r="A16" s="424" t="s">
        <v>237</v>
      </c>
      <c r="B16" s="428">
        <f>B21+B26+B30+B33</f>
        <v>18982568</v>
      </c>
      <c r="C16" s="428">
        <f aca="true" t="shared" si="4" ref="C16:I16">C21+C26+C30+C33</f>
        <v>0</v>
      </c>
      <c r="D16" s="518">
        <f t="shared" si="0"/>
        <v>0</v>
      </c>
      <c r="E16" s="428">
        <f t="shared" si="4"/>
        <v>12871268</v>
      </c>
      <c r="F16" s="428">
        <f t="shared" si="4"/>
        <v>0</v>
      </c>
      <c r="G16" s="518">
        <f t="shared" si="1"/>
        <v>0</v>
      </c>
      <c r="H16" s="428">
        <f t="shared" si="4"/>
        <v>25205000</v>
      </c>
      <c r="I16" s="428">
        <f t="shared" si="4"/>
        <v>0</v>
      </c>
      <c r="J16" s="518">
        <f aca="true" t="shared" si="5" ref="J16:J36">I16/H16*100</f>
        <v>0</v>
      </c>
      <c r="K16" s="424" t="s">
        <v>237</v>
      </c>
      <c r="L16" s="428">
        <f>L21+L26+L30+L33</f>
        <v>18983</v>
      </c>
      <c r="M16" s="428">
        <f aca="true" t="shared" si="6" ref="M16:S16">M21+M26+M30+M33</f>
        <v>0</v>
      </c>
      <c r="N16" s="518">
        <f t="shared" si="2"/>
        <v>0</v>
      </c>
      <c r="O16" s="428">
        <f t="shared" si="6"/>
        <v>12871</v>
      </c>
      <c r="P16" s="428">
        <f t="shared" si="6"/>
        <v>0</v>
      </c>
      <c r="Q16" s="518">
        <f t="shared" si="3"/>
        <v>0</v>
      </c>
      <c r="R16" s="428">
        <f t="shared" si="6"/>
        <v>25205</v>
      </c>
      <c r="S16" s="428">
        <f t="shared" si="6"/>
        <v>0</v>
      </c>
      <c r="T16" s="518">
        <f aca="true" t="shared" si="7" ref="T16:T36">S16/R16*100</f>
        <v>0</v>
      </c>
      <c r="U16" s="626"/>
      <c r="V16" s="626"/>
      <c r="W16" s="626"/>
      <c r="X16" s="626"/>
      <c r="Y16" s="626"/>
      <c r="Z16" s="626"/>
      <c r="AA16" s="626"/>
      <c r="AB16" s="626"/>
      <c r="AC16" s="626"/>
      <c r="AD16" s="626"/>
      <c r="AE16" s="626"/>
      <c r="AF16" s="626"/>
      <c r="AG16" s="626"/>
      <c r="AH16" s="626"/>
      <c r="AI16" s="626"/>
      <c r="AJ16" s="626"/>
      <c r="AK16" s="626"/>
      <c r="AL16" s="626"/>
      <c r="AM16" s="626"/>
      <c r="AN16" s="626"/>
      <c r="AO16" s="626"/>
      <c r="AP16" s="626"/>
      <c r="AQ16" s="626"/>
      <c r="AR16" s="626"/>
      <c r="AS16" s="626"/>
      <c r="AT16" s="626"/>
      <c r="AU16" s="626"/>
      <c r="AV16" s="626"/>
      <c r="AW16" s="626"/>
      <c r="AX16" s="626"/>
      <c r="AY16" s="626"/>
      <c r="AZ16" s="626"/>
      <c r="BA16" s="626"/>
      <c r="BB16" s="626"/>
      <c r="BC16" s="626"/>
      <c r="BD16" s="626"/>
      <c r="BE16" s="626"/>
      <c r="BF16" s="626"/>
      <c r="BG16" s="626"/>
      <c r="BH16" s="626"/>
      <c r="BI16" s="626"/>
      <c r="BJ16" s="626"/>
      <c r="BK16" s="626"/>
      <c r="BL16" s="626"/>
      <c r="BM16" s="626"/>
      <c r="BN16" s="626"/>
      <c r="BO16" s="626"/>
      <c r="BP16" s="626"/>
      <c r="BQ16" s="626"/>
      <c r="BR16" s="626"/>
      <c r="BS16" s="626"/>
      <c r="BT16" s="626"/>
      <c r="BU16" s="626"/>
      <c r="BV16" s="626"/>
      <c r="BW16" s="626"/>
      <c r="BX16" s="626"/>
      <c r="BY16" s="626"/>
      <c r="BZ16" s="626"/>
      <c r="CA16" s="626"/>
      <c r="CB16" s="626"/>
      <c r="CC16" s="626"/>
      <c r="CD16" s="626"/>
      <c r="CE16" s="626"/>
      <c r="CF16" s="626"/>
      <c r="CG16" s="626"/>
      <c r="CH16" s="626"/>
      <c r="CI16" s="626"/>
      <c r="CJ16" s="626"/>
      <c r="CK16" s="626"/>
      <c r="CL16" s="626"/>
      <c r="CM16" s="626"/>
      <c r="CN16" s="626"/>
      <c r="CO16" s="626"/>
      <c r="CP16" s="626"/>
      <c r="CQ16" s="626"/>
      <c r="CR16" s="626"/>
      <c r="CS16" s="626"/>
      <c r="CT16" s="626"/>
      <c r="CU16" s="626"/>
      <c r="CV16" s="626"/>
      <c r="CW16" s="626"/>
      <c r="CX16" s="626"/>
      <c r="CY16" s="626"/>
      <c r="CZ16" s="626"/>
      <c r="DA16" s="626"/>
      <c r="DB16" s="626"/>
      <c r="DC16" s="626"/>
    </row>
    <row r="17" spans="1:20" ht="12.75">
      <c r="A17" s="74" t="s">
        <v>997</v>
      </c>
      <c r="B17" s="430">
        <f aca="true" t="shared" si="8" ref="B17:I17">SUM(B18:B19)</f>
        <v>1525152</v>
      </c>
      <c r="C17" s="430">
        <f t="shared" si="8"/>
        <v>0</v>
      </c>
      <c r="D17" s="628">
        <f t="shared" si="0"/>
        <v>0</v>
      </c>
      <c r="E17" s="430">
        <f t="shared" si="8"/>
        <v>1723618</v>
      </c>
      <c r="F17" s="430">
        <f t="shared" si="8"/>
        <v>0</v>
      </c>
      <c r="G17" s="628">
        <f t="shared" si="1"/>
        <v>0</v>
      </c>
      <c r="H17" s="430">
        <f t="shared" si="8"/>
        <v>0</v>
      </c>
      <c r="I17" s="430">
        <f t="shared" si="8"/>
        <v>0</v>
      </c>
      <c r="J17" s="518" t="e">
        <f t="shared" si="5"/>
        <v>#DIV/0!</v>
      </c>
      <c r="K17" s="74" t="s">
        <v>997</v>
      </c>
      <c r="L17" s="430">
        <f aca="true" t="shared" si="9" ref="L17:S17">SUM(L18:L19)</f>
        <v>1525</v>
      </c>
      <c r="M17" s="430">
        <f t="shared" si="9"/>
        <v>0</v>
      </c>
      <c r="N17" s="628">
        <f t="shared" si="2"/>
        <v>0</v>
      </c>
      <c r="O17" s="430">
        <f t="shared" si="9"/>
        <v>1723</v>
      </c>
      <c r="P17" s="430">
        <f t="shared" si="9"/>
        <v>0</v>
      </c>
      <c r="Q17" s="628">
        <f t="shared" si="3"/>
        <v>0</v>
      </c>
      <c r="R17" s="430">
        <f t="shared" si="9"/>
        <v>0</v>
      </c>
      <c r="S17" s="430">
        <f t="shared" si="9"/>
        <v>0</v>
      </c>
      <c r="T17" s="628"/>
    </row>
    <row r="18" spans="1:107" s="427" customFormat="1" ht="12.75">
      <c r="A18" s="432" t="s">
        <v>670</v>
      </c>
      <c r="B18" s="27">
        <v>180888</v>
      </c>
      <c r="C18" s="27"/>
      <c r="D18" s="629">
        <f t="shared" si="0"/>
        <v>0</v>
      </c>
      <c r="E18" s="27">
        <v>379354</v>
      </c>
      <c r="F18" s="27"/>
      <c r="G18" s="629">
        <f t="shared" si="1"/>
        <v>0</v>
      </c>
      <c r="H18" s="27"/>
      <c r="I18" s="27"/>
      <c r="J18" s="518" t="e">
        <f t="shared" si="5"/>
        <v>#DIV/0!</v>
      </c>
      <c r="K18" s="432" t="s">
        <v>670</v>
      </c>
      <c r="L18" s="27">
        <f aca="true" t="shared" si="10" ref="L18:S19">ROUND(B18/1000,0)</f>
        <v>181</v>
      </c>
      <c r="M18" s="27">
        <f t="shared" si="10"/>
        <v>0</v>
      </c>
      <c r="N18" s="629">
        <f t="shared" si="2"/>
        <v>0</v>
      </c>
      <c r="O18" s="27">
        <f t="shared" si="10"/>
        <v>379</v>
      </c>
      <c r="P18" s="27">
        <f t="shared" si="10"/>
        <v>0</v>
      </c>
      <c r="Q18" s="629">
        <f t="shared" si="3"/>
        <v>0</v>
      </c>
      <c r="R18" s="27">
        <f t="shared" si="10"/>
        <v>0</v>
      </c>
      <c r="S18" s="27">
        <f t="shared" si="10"/>
        <v>0</v>
      </c>
      <c r="T18" s="629"/>
      <c r="U18" s="426"/>
      <c r="V18" s="426"/>
      <c r="W18" s="426"/>
      <c r="X18" s="426"/>
      <c r="Y18" s="426"/>
      <c r="Z18" s="426"/>
      <c r="AA18" s="426"/>
      <c r="AB18" s="426"/>
      <c r="AC18" s="426"/>
      <c r="AD18" s="426"/>
      <c r="AE18" s="426"/>
      <c r="AF18" s="426"/>
      <c r="AG18" s="426"/>
      <c r="AH18" s="426"/>
      <c r="AI18" s="426"/>
      <c r="AJ18" s="426"/>
      <c r="AK18" s="426"/>
      <c r="AL18" s="426"/>
      <c r="AM18" s="426"/>
      <c r="AN18" s="426"/>
      <c r="AO18" s="426"/>
      <c r="AP18" s="426"/>
      <c r="AQ18" s="426"/>
      <c r="AR18" s="426"/>
      <c r="AS18" s="426"/>
      <c r="AT18" s="426"/>
      <c r="AU18" s="426"/>
      <c r="AV18" s="426"/>
      <c r="AW18" s="426"/>
      <c r="AX18" s="426"/>
      <c r="AY18" s="426"/>
      <c r="AZ18" s="426"/>
      <c r="BA18" s="426"/>
      <c r="BB18" s="426"/>
      <c r="BC18" s="426"/>
      <c r="BD18" s="426"/>
      <c r="BE18" s="426"/>
      <c r="BF18" s="426"/>
      <c r="BG18" s="426"/>
      <c r="BH18" s="426"/>
      <c r="BI18" s="426"/>
      <c r="BJ18" s="426"/>
      <c r="BK18" s="426"/>
      <c r="BL18" s="426"/>
      <c r="BM18" s="426"/>
      <c r="BN18" s="426"/>
      <c r="BO18" s="426"/>
      <c r="BP18" s="426"/>
      <c r="BQ18" s="426"/>
      <c r="BR18" s="426"/>
      <c r="BS18" s="426"/>
      <c r="BT18" s="426"/>
      <c r="BU18" s="426"/>
      <c r="BV18" s="426"/>
      <c r="BW18" s="426"/>
      <c r="BX18" s="426"/>
      <c r="BY18" s="426"/>
      <c r="BZ18" s="426"/>
      <c r="CA18" s="426"/>
      <c r="CB18" s="426"/>
      <c r="CC18" s="426"/>
      <c r="CD18" s="426"/>
      <c r="CE18" s="426"/>
      <c r="CF18" s="426"/>
      <c r="CG18" s="426"/>
      <c r="CH18" s="426"/>
      <c r="CI18" s="426"/>
      <c r="CJ18" s="426"/>
      <c r="CK18" s="426"/>
      <c r="CL18" s="426"/>
      <c r="CM18" s="426"/>
      <c r="CN18" s="426"/>
      <c r="CO18" s="426"/>
      <c r="CP18" s="426"/>
      <c r="CQ18" s="426"/>
      <c r="CR18" s="426"/>
      <c r="CS18" s="426"/>
      <c r="CT18" s="426"/>
      <c r="CU18" s="426"/>
      <c r="CV18" s="426"/>
      <c r="CW18" s="426"/>
      <c r="CX18" s="426"/>
      <c r="CY18" s="426"/>
      <c r="CZ18" s="426"/>
      <c r="DA18" s="426"/>
      <c r="DB18" s="426"/>
      <c r="DC18" s="426"/>
    </row>
    <row r="19" spans="1:107" s="427" customFormat="1" ht="12.75">
      <c r="A19" s="432" t="s">
        <v>1059</v>
      </c>
      <c r="B19" s="27">
        <v>1344264</v>
      </c>
      <c r="C19" s="27"/>
      <c r="D19" s="629">
        <f t="shared" si="0"/>
        <v>0</v>
      </c>
      <c r="E19" s="27">
        <v>1344264</v>
      </c>
      <c r="F19" s="27"/>
      <c r="G19" s="629">
        <f t="shared" si="1"/>
        <v>0</v>
      </c>
      <c r="H19" s="27"/>
      <c r="I19" s="27"/>
      <c r="J19" s="518" t="e">
        <f t="shared" si="5"/>
        <v>#DIV/0!</v>
      </c>
      <c r="K19" s="432" t="s">
        <v>1059</v>
      </c>
      <c r="L19" s="27">
        <f t="shared" si="10"/>
        <v>1344</v>
      </c>
      <c r="M19" s="27">
        <f t="shared" si="10"/>
        <v>0</v>
      </c>
      <c r="N19" s="629">
        <f t="shared" si="2"/>
        <v>0</v>
      </c>
      <c r="O19" s="27">
        <f t="shared" si="10"/>
        <v>1344</v>
      </c>
      <c r="P19" s="27">
        <f t="shared" si="10"/>
        <v>0</v>
      </c>
      <c r="Q19" s="629">
        <f t="shared" si="3"/>
        <v>0</v>
      </c>
      <c r="R19" s="27">
        <f t="shared" si="10"/>
        <v>0</v>
      </c>
      <c r="S19" s="27">
        <f t="shared" si="10"/>
        <v>0</v>
      </c>
      <c r="T19" s="629"/>
      <c r="U19" s="426"/>
      <c r="V19" s="426"/>
      <c r="W19" s="426"/>
      <c r="X19" s="426"/>
      <c r="Y19" s="426"/>
      <c r="Z19" s="426"/>
      <c r="AA19" s="426"/>
      <c r="AB19" s="426"/>
      <c r="AC19" s="426"/>
      <c r="AD19" s="426"/>
      <c r="AE19" s="426"/>
      <c r="AF19" s="426"/>
      <c r="AG19" s="426"/>
      <c r="AH19" s="426"/>
      <c r="AI19" s="426"/>
      <c r="AJ19" s="426"/>
      <c r="AK19" s="426"/>
      <c r="AL19" s="426"/>
      <c r="AM19" s="426"/>
      <c r="AN19" s="426"/>
      <c r="AO19" s="426"/>
      <c r="AP19" s="426"/>
      <c r="AQ19" s="426"/>
      <c r="AR19" s="426"/>
      <c r="AS19" s="426"/>
      <c r="AT19" s="426"/>
      <c r="AU19" s="426"/>
      <c r="AV19" s="426"/>
      <c r="AW19" s="426"/>
      <c r="AX19" s="426"/>
      <c r="AY19" s="426"/>
      <c r="AZ19" s="426"/>
      <c r="BA19" s="426"/>
      <c r="BB19" s="426"/>
      <c r="BC19" s="426"/>
      <c r="BD19" s="426"/>
      <c r="BE19" s="426"/>
      <c r="BF19" s="426"/>
      <c r="BG19" s="426"/>
      <c r="BH19" s="426"/>
      <c r="BI19" s="426"/>
      <c r="BJ19" s="426"/>
      <c r="BK19" s="426"/>
      <c r="BL19" s="426"/>
      <c r="BM19" s="426"/>
      <c r="BN19" s="426"/>
      <c r="BO19" s="426"/>
      <c r="BP19" s="426"/>
      <c r="BQ19" s="426"/>
      <c r="BR19" s="426"/>
      <c r="BS19" s="426"/>
      <c r="BT19" s="426"/>
      <c r="BU19" s="426"/>
      <c r="BV19" s="426"/>
      <c r="BW19" s="426"/>
      <c r="BX19" s="426"/>
      <c r="BY19" s="426"/>
      <c r="BZ19" s="426"/>
      <c r="CA19" s="426"/>
      <c r="CB19" s="426"/>
      <c r="CC19" s="426"/>
      <c r="CD19" s="426"/>
      <c r="CE19" s="426"/>
      <c r="CF19" s="426"/>
      <c r="CG19" s="426"/>
      <c r="CH19" s="426"/>
      <c r="CI19" s="426"/>
      <c r="CJ19" s="426"/>
      <c r="CK19" s="426"/>
      <c r="CL19" s="426"/>
      <c r="CM19" s="426"/>
      <c r="CN19" s="426"/>
      <c r="CO19" s="426"/>
      <c r="CP19" s="426"/>
      <c r="CQ19" s="426"/>
      <c r="CR19" s="426"/>
      <c r="CS19" s="426"/>
      <c r="CT19" s="426"/>
      <c r="CU19" s="426"/>
      <c r="CV19" s="426"/>
      <c r="CW19" s="426"/>
      <c r="CX19" s="426"/>
      <c r="CY19" s="426"/>
      <c r="CZ19" s="426"/>
      <c r="DA19" s="426"/>
      <c r="DB19" s="426"/>
      <c r="DC19" s="426"/>
    </row>
    <row r="20" spans="1:20" ht="12.75">
      <c r="A20" s="74" t="s">
        <v>999</v>
      </c>
      <c r="B20" s="430">
        <f aca="true" t="shared" si="11" ref="B20:I20">SUM(B21:B21)</f>
        <v>72000</v>
      </c>
      <c r="C20" s="430">
        <f t="shared" si="11"/>
        <v>0</v>
      </c>
      <c r="D20" s="628">
        <f t="shared" si="0"/>
        <v>0</v>
      </c>
      <c r="E20" s="430">
        <f t="shared" si="11"/>
        <v>68000</v>
      </c>
      <c r="F20" s="430">
        <f t="shared" si="11"/>
        <v>0</v>
      </c>
      <c r="G20" s="628">
        <f t="shared" si="1"/>
        <v>0</v>
      </c>
      <c r="H20" s="430">
        <f t="shared" si="11"/>
        <v>83000</v>
      </c>
      <c r="I20" s="430">
        <f t="shared" si="11"/>
        <v>0</v>
      </c>
      <c r="J20" s="518">
        <f t="shared" si="5"/>
        <v>0</v>
      </c>
      <c r="K20" s="74" t="s">
        <v>999</v>
      </c>
      <c r="L20" s="430">
        <f aca="true" t="shared" si="12" ref="L20:S20">SUM(L21:L21)</f>
        <v>72</v>
      </c>
      <c r="M20" s="430">
        <f t="shared" si="12"/>
        <v>0</v>
      </c>
      <c r="N20" s="628">
        <f t="shared" si="2"/>
        <v>0</v>
      </c>
      <c r="O20" s="430">
        <f t="shared" si="12"/>
        <v>68</v>
      </c>
      <c r="P20" s="430">
        <f t="shared" si="12"/>
        <v>0</v>
      </c>
      <c r="Q20" s="628">
        <f t="shared" si="3"/>
        <v>0</v>
      </c>
      <c r="R20" s="430">
        <f t="shared" si="12"/>
        <v>83</v>
      </c>
      <c r="S20" s="430">
        <f t="shared" si="12"/>
        <v>0</v>
      </c>
      <c r="T20" s="628">
        <f t="shared" si="7"/>
        <v>0</v>
      </c>
    </row>
    <row r="21" spans="1:107" s="427" customFormat="1" ht="12.75">
      <c r="A21" s="432" t="s">
        <v>237</v>
      </c>
      <c r="B21" s="27">
        <v>72000</v>
      </c>
      <c r="C21" s="27"/>
      <c r="D21" s="629">
        <f t="shared" si="0"/>
        <v>0</v>
      </c>
      <c r="E21" s="27">
        <v>68000</v>
      </c>
      <c r="F21" s="27"/>
      <c r="G21" s="629">
        <f t="shared" si="1"/>
        <v>0</v>
      </c>
      <c r="H21" s="27">
        <v>83000</v>
      </c>
      <c r="I21" s="27"/>
      <c r="J21" s="518">
        <f t="shared" si="5"/>
        <v>0</v>
      </c>
      <c r="K21" s="432" t="s">
        <v>237</v>
      </c>
      <c r="L21" s="27">
        <f aca="true" t="shared" si="13" ref="L21:S21">ROUND(B21/1000,0)</f>
        <v>72</v>
      </c>
      <c r="M21" s="27">
        <f t="shared" si="13"/>
        <v>0</v>
      </c>
      <c r="N21" s="629">
        <f t="shared" si="2"/>
        <v>0</v>
      </c>
      <c r="O21" s="27">
        <f t="shared" si="13"/>
        <v>68</v>
      </c>
      <c r="P21" s="27">
        <f t="shared" si="13"/>
        <v>0</v>
      </c>
      <c r="Q21" s="629">
        <f t="shared" si="3"/>
        <v>0</v>
      </c>
      <c r="R21" s="27">
        <f t="shared" si="13"/>
        <v>83</v>
      </c>
      <c r="S21" s="27">
        <f t="shared" si="13"/>
        <v>0</v>
      </c>
      <c r="T21" s="629">
        <f t="shared" si="7"/>
        <v>0</v>
      </c>
      <c r="U21" s="426"/>
      <c r="V21" s="426"/>
      <c r="W21" s="426"/>
      <c r="X21" s="426"/>
      <c r="Y21" s="426"/>
      <c r="Z21" s="426"/>
      <c r="AA21" s="426"/>
      <c r="AB21" s="426"/>
      <c r="AC21" s="426"/>
      <c r="AD21" s="426"/>
      <c r="AE21" s="426"/>
      <c r="AF21" s="426"/>
      <c r="AG21" s="426"/>
      <c r="AH21" s="426"/>
      <c r="AI21" s="426"/>
      <c r="AJ21" s="426"/>
      <c r="AK21" s="426"/>
      <c r="AL21" s="426"/>
      <c r="AM21" s="426"/>
      <c r="AN21" s="426"/>
      <c r="AO21" s="426"/>
      <c r="AP21" s="426"/>
      <c r="AQ21" s="426"/>
      <c r="AR21" s="426"/>
      <c r="AS21" s="426"/>
      <c r="AT21" s="426"/>
      <c r="AU21" s="426"/>
      <c r="AV21" s="426"/>
      <c r="AW21" s="426"/>
      <c r="AX21" s="426"/>
      <c r="AY21" s="426"/>
      <c r="AZ21" s="426"/>
      <c r="BA21" s="426"/>
      <c r="BB21" s="426"/>
      <c r="BC21" s="426"/>
      <c r="BD21" s="426"/>
      <c r="BE21" s="426"/>
      <c r="BF21" s="426"/>
      <c r="BG21" s="426"/>
      <c r="BH21" s="426"/>
      <c r="BI21" s="426"/>
      <c r="BJ21" s="426"/>
      <c r="BK21" s="426"/>
      <c r="BL21" s="426"/>
      <c r="BM21" s="426"/>
      <c r="BN21" s="426"/>
      <c r="BO21" s="426"/>
      <c r="BP21" s="426"/>
      <c r="BQ21" s="426"/>
      <c r="BR21" s="426"/>
      <c r="BS21" s="426"/>
      <c r="BT21" s="426"/>
      <c r="BU21" s="426"/>
      <c r="BV21" s="426"/>
      <c r="BW21" s="426"/>
      <c r="BX21" s="426"/>
      <c r="BY21" s="426"/>
      <c r="BZ21" s="426"/>
      <c r="CA21" s="426"/>
      <c r="CB21" s="426"/>
      <c r="CC21" s="426"/>
      <c r="CD21" s="426"/>
      <c r="CE21" s="426"/>
      <c r="CF21" s="426"/>
      <c r="CG21" s="426"/>
      <c r="CH21" s="426"/>
      <c r="CI21" s="426"/>
      <c r="CJ21" s="426"/>
      <c r="CK21" s="426"/>
      <c r="CL21" s="426"/>
      <c r="CM21" s="426"/>
      <c r="CN21" s="426"/>
      <c r="CO21" s="426"/>
      <c r="CP21" s="426"/>
      <c r="CQ21" s="426"/>
      <c r="CR21" s="426"/>
      <c r="CS21" s="426"/>
      <c r="CT21" s="426"/>
      <c r="CU21" s="426"/>
      <c r="CV21" s="426"/>
      <c r="CW21" s="426"/>
      <c r="CX21" s="426"/>
      <c r="CY21" s="426"/>
      <c r="CZ21" s="426"/>
      <c r="DA21" s="426"/>
      <c r="DB21" s="426"/>
      <c r="DC21" s="426"/>
    </row>
    <row r="22" spans="1:20" ht="12.75">
      <c r="A22" s="74" t="s">
        <v>1001</v>
      </c>
      <c r="B22" s="430">
        <f>SUM(B23:B26)</f>
        <v>16153402</v>
      </c>
      <c r="C22" s="430">
        <f aca="true" t="shared" si="14" ref="C22:I22">SUM(C23:C26)</f>
        <v>0</v>
      </c>
      <c r="D22" s="628">
        <f t="shared" si="0"/>
        <v>0</v>
      </c>
      <c r="E22" s="430">
        <f t="shared" si="14"/>
        <v>16421295</v>
      </c>
      <c r="F22" s="430">
        <f t="shared" si="14"/>
        <v>0</v>
      </c>
      <c r="G22" s="628">
        <f t="shared" si="1"/>
        <v>0</v>
      </c>
      <c r="H22" s="430">
        <f t="shared" si="14"/>
        <v>42942000</v>
      </c>
      <c r="I22" s="430">
        <f t="shared" si="14"/>
        <v>0</v>
      </c>
      <c r="J22" s="628">
        <f t="shared" si="5"/>
        <v>0</v>
      </c>
      <c r="K22" s="74" t="s">
        <v>1001</v>
      </c>
      <c r="L22" s="430">
        <f aca="true" t="shared" si="15" ref="L22:S22">SUM(L23:L26)</f>
        <v>16153</v>
      </c>
      <c r="M22" s="430">
        <f t="shared" si="15"/>
        <v>0</v>
      </c>
      <c r="N22" s="628">
        <f t="shared" si="2"/>
        <v>0</v>
      </c>
      <c r="O22" s="430">
        <f t="shared" si="15"/>
        <v>16422</v>
      </c>
      <c r="P22" s="430">
        <f t="shared" si="15"/>
        <v>0</v>
      </c>
      <c r="Q22" s="628">
        <f t="shared" si="3"/>
        <v>0</v>
      </c>
      <c r="R22" s="430">
        <f t="shared" si="15"/>
        <v>42942</v>
      </c>
      <c r="S22" s="430">
        <f t="shared" si="15"/>
        <v>0</v>
      </c>
      <c r="T22" s="628">
        <f t="shared" si="7"/>
        <v>0</v>
      </c>
    </row>
    <row r="23" spans="1:107" s="427" customFormat="1" ht="12.75">
      <c r="A23" s="432" t="s">
        <v>670</v>
      </c>
      <c r="B23" s="27">
        <v>4232472</v>
      </c>
      <c r="C23" s="27"/>
      <c r="D23" s="629">
        <f t="shared" si="0"/>
        <v>0</v>
      </c>
      <c r="E23" s="27">
        <v>4740805</v>
      </c>
      <c r="F23" s="27"/>
      <c r="G23" s="629">
        <f t="shared" si="1"/>
        <v>0</v>
      </c>
      <c r="H23" s="27">
        <v>25892000</v>
      </c>
      <c r="I23" s="27"/>
      <c r="J23" s="629">
        <f t="shared" si="5"/>
        <v>0</v>
      </c>
      <c r="K23" s="432" t="s">
        <v>670</v>
      </c>
      <c r="L23" s="27">
        <f aca="true" t="shared" si="16" ref="L23:S26">ROUND(B23/1000,0)</f>
        <v>4232</v>
      </c>
      <c r="M23" s="27">
        <f t="shared" si="16"/>
        <v>0</v>
      </c>
      <c r="N23" s="629">
        <f t="shared" si="2"/>
        <v>0</v>
      </c>
      <c r="O23" s="27">
        <f t="shared" si="16"/>
        <v>4741</v>
      </c>
      <c r="P23" s="27">
        <f t="shared" si="16"/>
        <v>0</v>
      </c>
      <c r="Q23" s="629">
        <f t="shared" si="3"/>
        <v>0</v>
      </c>
      <c r="R23" s="27">
        <f t="shared" si="16"/>
        <v>25892</v>
      </c>
      <c r="S23" s="27">
        <f t="shared" si="16"/>
        <v>0</v>
      </c>
      <c r="T23" s="629">
        <f t="shared" si="7"/>
        <v>0</v>
      </c>
      <c r="U23" s="426"/>
      <c r="V23" s="426"/>
      <c r="W23" s="426"/>
      <c r="X23" s="426"/>
      <c r="Y23" s="426"/>
      <c r="Z23" s="426"/>
      <c r="AA23" s="426"/>
      <c r="AB23" s="426"/>
      <c r="AC23" s="426"/>
      <c r="AD23" s="426"/>
      <c r="AE23" s="426"/>
      <c r="AF23" s="426"/>
      <c r="AG23" s="426"/>
      <c r="AH23" s="426"/>
      <c r="AI23" s="426"/>
      <c r="AJ23" s="426"/>
      <c r="AK23" s="426"/>
      <c r="AL23" s="426"/>
      <c r="AM23" s="426"/>
      <c r="AN23" s="426"/>
      <c r="AO23" s="426"/>
      <c r="AP23" s="426"/>
      <c r="AQ23" s="426"/>
      <c r="AR23" s="426"/>
      <c r="AS23" s="426"/>
      <c r="AT23" s="426"/>
      <c r="AU23" s="426"/>
      <c r="AV23" s="426"/>
      <c r="AW23" s="426"/>
      <c r="AX23" s="426"/>
      <c r="AY23" s="426"/>
      <c r="AZ23" s="426"/>
      <c r="BA23" s="426"/>
      <c r="BB23" s="426"/>
      <c r="BC23" s="426"/>
      <c r="BD23" s="426"/>
      <c r="BE23" s="426"/>
      <c r="BF23" s="426"/>
      <c r="BG23" s="426"/>
      <c r="BH23" s="426"/>
      <c r="BI23" s="426"/>
      <c r="BJ23" s="426"/>
      <c r="BK23" s="426"/>
      <c r="BL23" s="426"/>
      <c r="BM23" s="426"/>
      <c r="BN23" s="426"/>
      <c r="BO23" s="426"/>
      <c r="BP23" s="426"/>
      <c r="BQ23" s="426"/>
      <c r="BR23" s="426"/>
      <c r="BS23" s="426"/>
      <c r="BT23" s="426"/>
      <c r="BU23" s="426"/>
      <c r="BV23" s="426"/>
      <c r="BW23" s="426"/>
      <c r="BX23" s="426"/>
      <c r="BY23" s="426"/>
      <c r="BZ23" s="426"/>
      <c r="CA23" s="426"/>
      <c r="CB23" s="426"/>
      <c r="CC23" s="426"/>
      <c r="CD23" s="426"/>
      <c r="CE23" s="426"/>
      <c r="CF23" s="426"/>
      <c r="CG23" s="426"/>
      <c r="CH23" s="426"/>
      <c r="CI23" s="426"/>
      <c r="CJ23" s="426"/>
      <c r="CK23" s="426"/>
      <c r="CL23" s="426"/>
      <c r="CM23" s="426"/>
      <c r="CN23" s="426"/>
      <c r="CO23" s="426"/>
      <c r="CP23" s="426"/>
      <c r="CQ23" s="426"/>
      <c r="CR23" s="426"/>
      <c r="CS23" s="426"/>
      <c r="CT23" s="426"/>
      <c r="CU23" s="426"/>
      <c r="CV23" s="426"/>
      <c r="CW23" s="426"/>
      <c r="CX23" s="426"/>
      <c r="CY23" s="426"/>
      <c r="CZ23" s="426"/>
      <c r="DA23" s="426"/>
      <c r="DB23" s="426"/>
      <c r="DC23" s="426"/>
    </row>
    <row r="24" spans="1:107" s="427" customFormat="1" ht="12.75">
      <c r="A24" s="432" t="s">
        <v>1059</v>
      </c>
      <c r="B24" s="27">
        <v>1844930</v>
      </c>
      <c r="C24" s="27"/>
      <c r="D24" s="629">
        <f t="shared" si="0"/>
        <v>0</v>
      </c>
      <c r="E24" s="27">
        <v>1604490</v>
      </c>
      <c r="F24" s="27"/>
      <c r="G24" s="629">
        <f t="shared" si="1"/>
        <v>0</v>
      </c>
      <c r="H24" s="27">
        <v>5940000</v>
      </c>
      <c r="I24" s="27"/>
      <c r="J24" s="629">
        <f t="shared" si="5"/>
        <v>0</v>
      </c>
      <c r="K24" s="432" t="s">
        <v>1059</v>
      </c>
      <c r="L24" s="27">
        <f t="shared" si="16"/>
        <v>1845</v>
      </c>
      <c r="M24" s="27">
        <f t="shared" si="16"/>
        <v>0</v>
      </c>
      <c r="N24" s="629">
        <f t="shared" si="2"/>
        <v>0</v>
      </c>
      <c r="O24" s="27">
        <f>ROUND(E24/1000,0)+1</f>
        <v>1605</v>
      </c>
      <c r="P24" s="27">
        <f t="shared" si="16"/>
        <v>0</v>
      </c>
      <c r="Q24" s="629">
        <f t="shared" si="3"/>
        <v>0</v>
      </c>
      <c r="R24" s="27">
        <f t="shared" si="16"/>
        <v>5940</v>
      </c>
      <c r="S24" s="27">
        <f t="shared" si="16"/>
        <v>0</v>
      </c>
      <c r="T24" s="629">
        <f t="shared" si="7"/>
        <v>0</v>
      </c>
      <c r="U24" s="426"/>
      <c r="V24" s="426"/>
      <c r="W24" s="426"/>
      <c r="X24" s="426"/>
      <c r="Y24" s="426"/>
      <c r="Z24" s="426"/>
      <c r="AA24" s="426"/>
      <c r="AB24" s="426"/>
      <c r="AC24" s="426"/>
      <c r="AD24" s="426"/>
      <c r="AE24" s="426"/>
      <c r="AF24" s="426"/>
      <c r="AG24" s="426"/>
      <c r="AH24" s="426"/>
      <c r="AI24" s="426"/>
      <c r="AJ24" s="426"/>
      <c r="AK24" s="426"/>
      <c r="AL24" s="426"/>
      <c r="AM24" s="426"/>
      <c r="AN24" s="426"/>
      <c r="AO24" s="426"/>
      <c r="AP24" s="426"/>
      <c r="AQ24" s="426"/>
      <c r="AR24" s="426"/>
      <c r="AS24" s="426"/>
      <c r="AT24" s="426"/>
      <c r="AU24" s="426"/>
      <c r="AV24" s="426"/>
      <c r="AW24" s="426"/>
      <c r="AX24" s="426"/>
      <c r="AY24" s="426"/>
      <c r="AZ24" s="426"/>
      <c r="BA24" s="426"/>
      <c r="BB24" s="426"/>
      <c r="BC24" s="426"/>
      <c r="BD24" s="426"/>
      <c r="BE24" s="426"/>
      <c r="BF24" s="426"/>
      <c r="BG24" s="426"/>
      <c r="BH24" s="426"/>
      <c r="BI24" s="426"/>
      <c r="BJ24" s="426"/>
      <c r="BK24" s="426"/>
      <c r="BL24" s="426"/>
      <c r="BM24" s="426"/>
      <c r="BN24" s="426"/>
      <c r="BO24" s="426"/>
      <c r="BP24" s="426"/>
      <c r="BQ24" s="426"/>
      <c r="BR24" s="426"/>
      <c r="BS24" s="426"/>
      <c r="BT24" s="426"/>
      <c r="BU24" s="426"/>
      <c r="BV24" s="426"/>
      <c r="BW24" s="426"/>
      <c r="BX24" s="426"/>
      <c r="BY24" s="426"/>
      <c r="BZ24" s="426"/>
      <c r="CA24" s="426"/>
      <c r="CB24" s="426"/>
      <c r="CC24" s="426"/>
      <c r="CD24" s="426"/>
      <c r="CE24" s="426"/>
      <c r="CF24" s="426"/>
      <c r="CG24" s="426"/>
      <c r="CH24" s="426"/>
      <c r="CI24" s="426"/>
      <c r="CJ24" s="426"/>
      <c r="CK24" s="426"/>
      <c r="CL24" s="426"/>
      <c r="CM24" s="426"/>
      <c r="CN24" s="426"/>
      <c r="CO24" s="426"/>
      <c r="CP24" s="426"/>
      <c r="CQ24" s="426"/>
      <c r="CR24" s="426"/>
      <c r="CS24" s="426"/>
      <c r="CT24" s="426"/>
      <c r="CU24" s="426"/>
      <c r="CV24" s="426"/>
      <c r="CW24" s="426"/>
      <c r="CX24" s="426"/>
      <c r="CY24" s="426"/>
      <c r="CZ24" s="426"/>
      <c r="DA24" s="426"/>
      <c r="DB24" s="426"/>
      <c r="DC24" s="426"/>
    </row>
    <row r="25" spans="1:107" s="427" customFormat="1" ht="12.75">
      <c r="A25" s="432" t="s">
        <v>671</v>
      </c>
      <c r="B25" s="27">
        <v>76000</v>
      </c>
      <c r="C25" s="27"/>
      <c r="D25" s="629">
        <f t="shared" si="0"/>
        <v>0</v>
      </c>
      <c r="E25" s="27">
        <v>76000</v>
      </c>
      <c r="F25" s="27"/>
      <c r="G25" s="629">
        <f t="shared" si="1"/>
        <v>0</v>
      </c>
      <c r="H25" s="27">
        <v>76000</v>
      </c>
      <c r="I25" s="27"/>
      <c r="J25" s="629">
        <f t="shared" si="5"/>
        <v>0</v>
      </c>
      <c r="K25" s="432" t="s">
        <v>671</v>
      </c>
      <c r="L25" s="27">
        <f t="shared" si="16"/>
        <v>76</v>
      </c>
      <c r="M25" s="27">
        <f t="shared" si="16"/>
        <v>0</v>
      </c>
      <c r="N25" s="629">
        <f t="shared" si="2"/>
        <v>0</v>
      </c>
      <c r="O25" s="27">
        <f t="shared" si="16"/>
        <v>76</v>
      </c>
      <c r="P25" s="27">
        <f t="shared" si="16"/>
        <v>0</v>
      </c>
      <c r="Q25" s="629">
        <f t="shared" si="3"/>
        <v>0</v>
      </c>
      <c r="R25" s="27">
        <f t="shared" si="16"/>
        <v>76</v>
      </c>
      <c r="S25" s="27">
        <f t="shared" si="16"/>
        <v>0</v>
      </c>
      <c r="T25" s="629">
        <f t="shared" si="7"/>
        <v>0</v>
      </c>
      <c r="U25" s="426"/>
      <c r="V25" s="426"/>
      <c r="W25" s="426"/>
      <c r="X25" s="426"/>
      <c r="Y25" s="426"/>
      <c r="Z25" s="426"/>
      <c r="AA25" s="426"/>
      <c r="AB25" s="426"/>
      <c r="AC25" s="426"/>
      <c r="AD25" s="426"/>
      <c r="AE25" s="426"/>
      <c r="AF25" s="426"/>
      <c r="AG25" s="426"/>
      <c r="AH25" s="426"/>
      <c r="AI25" s="426"/>
      <c r="AJ25" s="426"/>
      <c r="AK25" s="426"/>
      <c r="AL25" s="426"/>
      <c r="AM25" s="426"/>
      <c r="AN25" s="426"/>
      <c r="AO25" s="426"/>
      <c r="AP25" s="426"/>
      <c r="AQ25" s="426"/>
      <c r="AR25" s="426"/>
      <c r="AS25" s="426"/>
      <c r="AT25" s="426"/>
      <c r="AU25" s="426"/>
      <c r="AV25" s="426"/>
      <c r="AW25" s="426"/>
      <c r="AX25" s="426"/>
      <c r="AY25" s="426"/>
      <c r="AZ25" s="426"/>
      <c r="BA25" s="426"/>
      <c r="BB25" s="426"/>
      <c r="BC25" s="426"/>
      <c r="BD25" s="426"/>
      <c r="BE25" s="426"/>
      <c r="BF25" s="426"/>
      <c r="BG25" s="426"/>
      <c r="BH25" s="426"/>
      <c r="BI25" s="426"/>
      <c r="BJ25" s="426"/>
      <c r="BK25" s="426"/>
      <c r="BL25" s="426"/>
      <c r="BM25" s="426"/>
      <c r="BN25" s="426"/>
      <c r="BO25" s="426"/>
      <c r="BP25" s="426"/>
      <c r="BQ25" s="426"/>
      <c r="BR25" s="426"/>
      <c r="BS25" s="426"/>
      <c r="BT25" s="426"/>
      <c r="BU25" s="426"/>
      <c r="BV25" s="426"/>
      <c r="BW25" s="426"/>
      <c r="BX25" s="426"/>
      <c r="BY25" s="426"/>
      <c r="BZ25" s="426"/>
      <c r="CA25" s="426"/>
      <c r="CB25" s="426"/>
      <c r="CC25" s="426"/>
      <c r="CD25" s="426"/>
      <c r="CE25" s="426"/>
      <c r="CF25" s="426"/>
      <c r="CG25" s="426"/>
      <c r="CH25" s="426"/>
      <c r="CI25" s="426"/>
      <c r="CJ25" s="426"/>
      <c r="CK25" s="426"/>
      <c r="CL25" s="426"/>
      <c r="CM25" s="426"/>
      <c r="CN25" s="426"/>
      <c r="CO25" s="426"/>
      <c r="CP25" s="426"/>
      <c r="CQ25" s="426"/>
      <c r="CR25" s="426"/>
      <c r="CS25" s="426"/>
      <c r="CT25" s="426"/>
      <c r="CU25" s="426"/>
      <c r="CV25" s="426"/>
      <c r="CW25" s="426"/>
      <c r="CX25" s="426"/>
      <c r="CY25" s="426"/>
      <c r="CZ25" s="426"/>
      <c r="DA25" s="426"/>
      <c r="DB25" s="426"/>
      <c r="DC25" s="426"/>
    </row>
    <row r="26" spans="1:107" s="427" customFormat="1" ht="12.75">
      <c r="A26" s="432" t="s">
        <v>237</v>
      </c>
      <c r="B26" s="27">
        <v>10000000</v>
      </c>
      <c r="C26" s="27"/>
      <c r="D26" s="629">
        <f t="shared" si="0"/>
        <v>0</v>
      </c>
      <c r="E26" s="27">
        <v>10000000</v>
      </c>
      <c r="F26" s="27"/>
      <c r="G26" s="629">
        <f t="shared" si="1"/>
        <v>0</v>
      </c>
      <c r="H26" s="27">
        <v>11034000</v>
      </c>
      <c r="I26" s="27"/>
      <c r="J26" s="629">
        <f t="shared" si="5"/>
        <v>0</v>
      </c>
      <c r="K26" s="432" t="s">
        <v>237</v>
      </c>
      <c r="L26" s="27">
        <f t="shared" si="16"/>
        <v>10000</v>
      </c>
      <c r="M26" s="27">
        <f t="shared" si="16"/>
        <v>0</v>
      </c>
      <c r="N26" s="629">
        <f t="shared" si="2"/>
        <v>0</v>
      </c>
      <c r="O26" s="27">
        <f t="shared" si="16"/>
        <v>10000</v>
      </c>
      <c r="P26" s="27">
        <f t="shared" si="16"/>
        <v>0</v>
      </c>
      <c r="Q26" s="629">
        <f t="shared" si="3"/>
        <v>0</v>
      </c>
      <c r="R26" s="27">
        <f t="shared" si="16"/>
        <v>11034</v>
      </c>
      <c r="S26" s="27">
        <f t="shared" si="16"/>
        <v>0</v>
      </c>
      <c r="T26" s="629">
        <f t="shared" si="7"/>
        <v>0</v>
      </c>
      <c r="U26" s="426"/>
      <c r="V26" s="426"/>
      <c r="W26" s="426"/>
      <c r="X26" s="426"/>
      <c r="Y26" s="426"/>
      <c r="Z26" s="426"/>
      <c r="AA26" s="426"/>
      <c r="AB26" s="426"/>
      <c r="AC26" s="426"/>
      <c r="AD26" s="426"/>
      <c r="AE26" s="426"/>
      <c r="AF26" s="426"/>
      <c r="AG26" s="426"/>
      <c r="AH26" s="426"/>
      <c r="AI26" s="426"/>
      <c r="AJ26" s="426"/>
      <c r="AK26" s="426"/>
      <c r="AL26" s="426"/>
      <c r="AM26" s="426"/>
      <c r="AN26" s="426"/>
      <c r="AO26" s="426"/>
      <c r="AP26" s="426"/>
      <c r="AQ26" s="426"/>
      <c r="AR26" s="426"/>
      <c r="AS26" s="426"/>
      <c r="AT26" s="426"/>
      <c r="AU26" s="426"/>
      <c r="AV26" s="426"/>
      <c r="AW26" s="426"/>
      <c r="AX26" s="426"/>
      <c r="AY26" s="426"/>
      <c r="AZ26" s="426"/>
      <c r="BA26" s="426"/>
      <c r="BB26" s="426"/>
      <c r="BC26" s="426"/>
      <c r="BD26" s="426"/>
      <c r="BE26" s="426"/>
      <c r="BF26" s="426"/>
      <c r="BG26" s="426"/>
      <c r="BH26" s="426"/>
      <c r="BI26" s="426"/>
      <c r="BJ26" s="426"/>
      <c r="BK26" s="426"/>
      <c r="BL26" s="426"/>
      <c r="BM26" s="426"/>
      <c r="BN26" s="426"/>
      <c r="BO26" s="426"/>
      <c r="BP26" s="426"/>
      <c r="BQ26" s="426"/>
      <c r="BR26" s="426"/>
      <c r="BS26" s="426"/>
      <c r="BT26" s="426"/>
      <c r="BU26" s="426"/>
      <c r="BV26" s="426"/>
      <c r="BW26" s="426"/>
      <c r="BX26" s="426"/>
      <c r="BY26" s="426"/>
      <c r="BZ26" s="426"/>
      <c r="CA26" s="426"/>
      <c r="CB26" s="426"/>
      <c r="CC26" s="426"/>
      <c r="CD26" s="426"/>
      <c r="CE26" s="426"/>
      <c r="CF26" s="426"/>
      <c r="CG26" s="426"/>
      <c r="CH26" s="426"/>
      <c r="CI26" s="426"/>
      <c r="CJ26" s="426"/>
      <c r="CK26" s="426"/>
      <c r="CL26" s="426"/>
      <c r="CM26" s="426"/>
      <c r="CN26" s="426"/>
      <c r="CO26" s="426"/>
      <c r="CP26" s="426"/>
      <c r="CQ26" s="426"/>
      <c r="CR26" s="426"/>
      <c r="CS26" s="426"/>
      <c r="CT26" s="426"/>
      <c r="CU26" s="426"/>
      <c r="CV26" s="426"/>
      <c r="CW26" s="426"/>
      <c r="CX26" s="426"/>
      <c r="CY26" s="426"/>
      <c r="CZ26" s="426"/>
      <c r="DA26" s="426"/>
      <c r="DB26" s="426"/>
      <c r="DC26" s="426"/>
    </row>
    <row r="27" spans="1:20" ht="12.75">
      <c r="A27" s="74" t="s">
        <v>1003</v>
      </c>
      <c r="B27" s="430">
        <f>SUM(B28:B30)</f>
        <v>10555921</v>
      </c>
      <c r="C27" s="430">
        <f aca="true" t="shared" si="17" ref="C27:I27">SUM(C28:C30)</f>
        <v>0</v>
      </c>
      <c r="D27" s="628">
        <f t="shared" si="0"/>
        <v>0</v>
      </c>
      <c r="E27" s="430">
        <f t="shared" si="17"/>
        <v>4667080</v>
      </c>
      <c r="F27" s="430">
        <f t="shared" si="17"/>
        <v>0</v>
      </c>
      <c r="G27" s="628">
        <f t="shared" si="1"/>
        <v>0</v>
      </c>
      <c r="H27" s="430">
        <f t="shared" si="17"/>
        <v>29299485</v>
      </c>
      <c r="I27" s="430">
        <f t="shared" si="17"/>
        <v>0</v>
      </c>
      <c r="J27" s="628">
        <f t="shared" si="5"/>
        <v>0</v>
      </c>
      <c r="K27" s="74" t="s">
        <v>1003</v>
      </c>
      <c r="L27" s="430">
        <f aca="true" t="shared" si="18" ref="L27:S27">SUM(L28:L30)</f>
        <v>10556</v>
      </c>
      <c r="M27" s="430">
        <f t="shared" si="18"/>
        <v>0</v>
      </c>
      <c r="N27" s="628">
        <f t="shared" si="2"/>
        <v>0</v>
      </c>
      <c r="O27" s="430">
        <f t="shared" si="18"/>
        <v>4666</v>
      </c>
      <c r="P27" s="430">
        <f t="shared" si="18"/>
        <v>0</v>
      </c>
      <c r="Q27" s="628">
        <f t="shared" si="3"/>
        <v>0</v>
      </c>
      <c r="R27" s="430">
        <f t="shared" si="18"/>
        <v>29300</v>
      </c>
      <c r="S27" s="430">
        <f t="shared" si="18"/>
        <v>0</v>
      </c>
      <c r="T27" s="628">
        <f t="shared" si="7"/>
        <v>0</v>
      </c>
    </row>
    <row r="28" spans="1:107" s="427" customFormat="1" ht="12.75">
      <c r="A28" s="432" t="s">
        <v>670</v>
      </c>
      <c r="B28" s="27">
        <v>1519853</v>
      </c>
      <c r="C28" s="27"/>
      <c r="D28" s="629">
        <f t="shared" si="0"/>
        <v>0</v>
      </c>
      <c r="E28" s="27">
        <v>2305546</v>
      </c>
      <c r="F28" s="27"/>
      <c r="G28" s="629">
        <f t="shared" si="1"/>
        <v>0</v>
      </c>
      <c r="H28" s="27">
        <v>14740905</v>
      </c>
      <c r="I28" s="27"/>
      <c r="J28" s="629">
        <f t="shared" si="5"/>
        <v>0</v>
      </c>
      <c r="K28" s="432" t="s">
        <v>670</v>
      </c>
      <c r="L28" s="27">
        <f aca="true" t="shared" si="19" ref="L28:S30">ROUND(B28/1000,0)</f>
        <v>1520</v>
      </c>
      <c r="M28" s="27">
        <f t="shared" si="19"/>
        <v>0</v>
      </c>
      <c r="N28" s="629">
        <f t="shared" si="2"/>
        <v>0</v>
      </c>
      <c r="O28" s="27">
        <f>ROUND(E28/1000,0)-1</f>
        <v>2305</v>
      </c>
      <c r="P28" s="27">
        <f t="shared" si="19"/>
        <v>0</v>
      </c>
      <c r="Q28" s="629">
        <f t="shared" si="3"/>
        <v>0</v>
      </c>
      <c r="R28" s="27">
        <f>ROUND(H28/1000,0)</f>
        <v>14741</v>
      </c>
      <c r="S28" s="27">
        <f t="shared" si="19"/>
        <v>0</v>
      </c>
      <c r="T28" s="629">
        <f t="shared" si="7"/>
        <v>0</v>
      </c>
      <c r="U28" s="426"/>
      <c r="V28" s="426"/>
      <c r="W28" s="426"/>
      <c r="X28" s="426"/>
      <c r="Y28" s="426"/>
      <c r="Z28" s="426"/>
      <c r="AA28" s="426"/>
      <c r="AB28" s="426"/>
      <c r="AC28" s="426"/>
      <c r="AD28" s="426"/>
      <c r="AE28" s="426"/>
      <c r="AF28" s="426"/>
      <c r="AG28" s="426"/>
      <c r="AH28" s="426"/>
      <c r="AI28" s="426"/>
      <c r="AJ28" s="426"/>
      <c r="AK28" s="426"/>
      <c r="AL28" s="426"/>
      <c r="AM28" s="426"/>
      <c r="AN28" s="426"/>
      <c r="AO28" s="426"/>
      <c r="AP28" s="426"/>
      <c r="AQ28" s="426"/>
      <c r="AR28" s="426"/>
      <c r="AS28" s="426"/>
      <c r="AT28" s="426"/>
      <c r="AU28" s="426"/>
      <c r="AV28" s="426"/>
      <c r="AW28" s="426"/>
      <c r="AX28" s="426"/>
      <c r="AY28" s="426"/>
      <c r="AZ28" s="426"/>
      <c r="BA28" s="426"/>
      <c r="BB28" s="426"/>
      <c r="BC28" s="426"/>
      <c r="BD28" s="426"/>
      <c r="BE28" s="426"/>
      <c r="BF28" s="426"/>
      <c r="BG28" s="426"/>
      <c r="BH28" s="426"/>
      <c r="BI28" s="426"/>
      <c r="BJ28" s="426"/>
      <c r="BK28" s="426"/>
      <c r="BL28" s="426"/>
      <c r="BM28" s="426"/>
      <c r="BN28" s="426"/>
      <c r="BO28" s="426"/>
      <c r="BP28" s="426"/>
      <c r="BQ28" s="426"/>
      <c r="BR28" s="426"/>
      <c r="BS28" s="426"/>
      <c r="BT28" s="426"/>
      <c r="BU28" s="426"/>
      <c r="BV28" s="426"/>
      <c r="BW28" s="426"/>
      <c r="BX28" s="426"/>
      <c r="BY28" s="426"/>
      <c r="BZ28" s="426"/>
      <c r="CA28" s="426"/>
      <c r="CB28" s="426"/>
      <c r="CC28" s="426"/>
      <c r="CD28" s="426"/>
      <c r="CE28" s="426"/>
      <c r="CF28" s="426"/>
      <c r="CG28" s="426"/>
      <c r="CH28" s="426"/>
      <c r="CI28" s="426"/>
      <c r="CJ28" s="426"/>
      <c r="CK28" s="426"/>
      <c r="CL28" s="426"/>
      <c r="CM28" s="426"/>
      <c r="CN28" s="426"/>
      <c r="CO28" s="426"/>
      <c r="CP28" s="426"/>
      <c r="CQ28" s="426"/>
      <c r="CR28" s="426"/>
      <c r="CS28" s="426"/>
      <c r="CT28" s="426"/>
      <c r="CU28" s="426"/>
      <c r="CV28" s="426"/>
      <c r="CW28" s="426"/>
      <c r="CX28" s="426"/>
      <c r="CY28" s="426"/>
      <c r="CZ28" s="426"/>
      <c r="DA28" s="426"/>
      <c r="DB28" s="426"/>
      <c r="DC28" s="426"/>
    </row>
    <row r="29" spans="1:107" s="427" customFormat="1" ht="12.75">
      <c r="A29" s="432" t="s">
        <v>1059</v>
      </c>
      <c r="B29" s="27">
        <v>875500</v>
      </c>
      <c r="C29" s="27"/>
      <c r="D29" s="629">
        <f t="shared" si="0"/>
        <v>0</v>
      </c>
      <c r="E29" s="27">
        <v>858266</v>
      </c>
      <c r="F29" s="27"/>
      <c r="G29" s="629">
        <f t="shared" si="1"/>
        <v>0</v>
      </c>
      <c r="H29" s="27">
        <v>1670580</v>
      </c>
      <c r="I29" s="27"/>
      <c r="J29" s="629">
        <f t="shared" si="5"/>
        <v>0</v>
      </c>
      <c r="K29" s="432" t="s">
        <v>1059</v>
      </c>
      <c r="L29" s="27">
        <f>ROUND(B29/1000,0)-1</f>
        <v>875</v>
      </c>
      <c r="M29" s="27">
        <f t="shared" si="19"/>
        <v>0</v>
      </c>
      <c r="N29" s="629">
        <f t="shared" si="2"/>
        <v>0</v>
      </c>
      <c r="O29" s="27">
        <f>ROUND(E29/1000,0)</f>
        <v>858</v>
      </c>
      <c r="P29" s="27">
        <f t="shared" si="19"/>
        <v>0</v>
      </c>
      <c r="Q29" s="629">
        <f t="shared" si="3"/>
        <v>0</v>
      </c>
      <c r="R29" s="27">
        <f t="shared" si="19"/>
        <v>1671</v>
      </c>
      <c r="S29" s="27">
        <f t="shared" si="19"/>
        <v>0</v>
      </c>
      <c r="T29" s="629">
        <f t="shared" si="7"/>
        <v>0</v>
      </c>
      <c r="U29" s="426"/>
      <c r="V29" s="426"/>
      <c r="W29" s="426"/>
      <c r="X29" s="426"/>
      <c r="Y29" s="426"/>
      <c r="Z29" s="426"/>
      <c r="AA29" s="426"/>
      <c r="AB29" s="426"/>
      <c r="AC29" s="426"/>
      <c r="AD29" s="426"/>
      <c r="AE29" s="426"/>
      <c r="AF29" s="426"/>
      <c r="AG29" s="426"/>
      <c r="AH29" s="426"/>
      <c r="AI29" s="426"/>
      <c r="AJ29" s="426"/>
      <c r="AK29" s="426"/>
      <c r="AL29" s="426"/>
      <c r="AM29" s="426"/>
      <c r="AN29" s="426"/>
      <c r="AO29" s="426"/>
      <c r="AP29" s="426"/>
      <c r="AQ29" s="426"/>
      <c r="AR29" s="426"/>
      <c r="AS29" s="426"/>
      <c r="AT29" s="426"/>
      <c r="AU29" s="426"/>
      <c r="AV29" s="426"/>
      <c r="AW29" s="426"/>
      <c r="AX29" s="426"/>
      <c r="AY29" s="426"/>
      <c r="AZ29" s="426"/>
      <c r="BA29" s="426"/>
      <c r="BB29" s="426"/>
      <c r="BC29" s="426"/>
      <c r="BD29" s="426"/>
      <c r="BE29" s="426"/>
      <c r="BF29" s="426"/>
      <c r="BG29" s="426"/>
      <c r="BH29" s="426"/>
      <c r="BI29" s="426"/>
      <c r="BJ29" s="426"/>
      <c r="BK29" s="426"/>
      <c r="BL29" s="426"/>
      <c r="BM29" s="426"/>
      <c r="BN29" s="426"/>
      <c r="BO29" s="426"/>
      <c r="BP29" s="426"/>
      <c r="BQ29" s="426"/>
      <c r="BR29" s="426"/>
      <c r="BS29" s="426"/>
      <c r="BT29" s="426"/>
      <c r="BU29" s="426"/>
      <c r="BV29" s="426"/>
      <c r="BW29" s="426"/>
      <c r="BX29" s="426"/>
      <c r="BY29" s="426"/>
      <c r="BZ29" s="426"/>
      <c r="CA29" s="426"/>
      <c r="CB29" s="426"/>
      <c r="CC29" s="426"/>
      <c r="CD29" s="426"/>
      <c r="CE29" s="426"/>
      <c r="CF29" s="426"/>
      <c r="CG29" s="426"/>
      <c r="CH29" s="426"/>
      <c r="CI29" s="426"/>
      <c r="CJ29" s="426"/>
      <c r="CK29" s="426"/>
      <c r="CL29" s="426"/>
      <c r="CM29" s="426"/>
      <c r="CN29" s="426"/>
      <c r="CO29" s="426"/>
      <c r="CP29" s="426"/>
      <c r="CQ29" s="426"/>
      <c r="CR29" s="426"/>
      <c r="CS29" s="426"/>
      <c r="CT29" s="426"/>
      <c r="CU29" s="426"/>
      <c r="CV29" s="426"/>
      <c r="CW29" s="426"/>
      <c r="CX29" s="426"/>
      <c r="CY29" s="426"/>
      <c r="CZ29" s="426"/>
      <c r="DA29" s="426"/>
      <c r="DB29" s="426"/>
      <c r="DC29" s="426"/>
    </row>
    <row r="30" spans="1:107" s="427" customFormat="1" ht="12.75">
      <c r="A30" s="432" t="s">
        <v>237</v>
      </c>
      <c r="B30" s="27">
        <v>8160568</v>
      </c>
      <c r="C30" s="27"/>
      <c r="D30" s="629">
        <f t="shared" si="0"/>
        <v>0</v>
      </c>
      <c r="E30" s="27">
        <v>1503268</v>
      </c>
      <c r="F30" s="27"/>
      <c r="G30" s="629">
        <f t="shared" si="1"/>
        <v>0</v>
      </c>
      <c r="H30" s="27">
        <v>12888000</v>
      </c>
      <c r="I30" s="27"/>
      <c r="J30" s="629">
        <f t="shared" si="5"/>
        <v>0</v>
      </c>
      <c r="K30" s="432" t="s">
        <v>237</v>
      </c>
      <c r="L30" s="27">
        <f t="shared" si="19"/>
        <v>8161</v>
      </c>
      <c r="M30" s="27">
        <f t="shared" si="19"/>
        <v>0</v>
      </c>
      <c r="N30" s="629">
        <f t="shared" si="2"/>
        <v>0</v>
      </c>
      <c r="O30" s="27">
        <f t="shared" si="19"/>
        <v>1503</v>
      </c>
      <c r="P30" s="27">
        <f t="shared" si="19"/>
        <v>0</v>
      </c>
      <c r="Q30" s="629">
        <f t="shared" si="3"/>
        <v>0</v>
      </c>
      <c r="R30" s="27">
        <f>ROUND(H30/1000,0)</f>
        <v>12888</v>
      </c>
      <c r="S30" s="27">
        <f t="shared" si="19"/>
        <v>0</v>
      </c>
      <c r="T30" s="629">
        <f t="shared" si="7"/>
        <v>0</v>
      </c>
      <c r="U30" s="426"/>
      <c r="V30" s="426"/>
      <c r="W30" s="426"/>
      <c r="X30" s="426"/>
      <c r="Y30" s="426"/>
      <c r="Z30" s="426"/>
      <c r="AA30" s="426"/>
      <c r="AB30" s="426"/>
      <c r="AC30" s="426"/>
      <c r="AD30" s="426"/>
      <c r="AE30" s="426"/>
      <c r="AF30" s="426"/>
      <c r="AG30" s="426"/>
      <c r="AH30" s="426"/>
      <c r="AI30" s="426"/>
      <c r="AJ30" s="426"/>
      <c r="AK30" s="426"/>
      <c r="AL30" s="426"/>
      <c r="AM30" s="426"/>
      <c r="AN30" s="426"/>
      <c r="AO30" s="426"/>
      <c r="AP30" s="426"/>
      <c r="AQ30" s="426"/>
      <c r="AR30" s="426"/>
      <c r="AS30" s="426"/>
      <c r="AT30" s="426"/>
      <c r="AU30" s="426"/>
      <c r="AV30" s="426"/>
      <c r="AW30" s="426"/>
      <c r="AX30" s="426"/>
      <c r="AY30" s="426"/>
      <c r="AZ30" s="426"/>
      <c r="BA30" s="426"/>
      <c r="BB30" s="426"/>
      <c r="BC30" s="426"/>
      <c r="BD30" s="426"/>
      <c r="BE30" s="426"/>
      <c r="BF30" s="426"/>
      <c r="BG30" s="426"/>
      <c r="BH30" s="426"/>
      <c r="BI30" s="426"/>
      <c r="BJ30" s="426"/>
      <c r="BK30" s="426"/>
      <c r="BL30" s="426"/>
      <c r="BM30" s="426"/>
      <c r="BN30" s="426"/>
      <c r="BO30" s="426"/>
      <c r="BP30" s="426"/>
      <c r="BQ30" s="426"/>
      <c r="BR30" s="426"/>
      <c r="BS30" s="426"/>
      <c r="BT30" s="426"/>
      <c r="BU30" s="426"/>
      <c r="BV30" s="426"/>
      <c r="BW30" s="426"/>
      <c r="BX30" s="426"/>
      <c r="BY30" s="426"/>
      <c r="BZ30" s="426"/>
      <c r="CA30" s="426"/>
      <c r="CB30" s="426"/>
      <c r="CC30" s="426"/>
      <c r="CD30" s="426"/>
      <c r="CE30" s="426"/>
      <c r="CF30" s="426"/>
      <c r="CG30" s="426"/>
      <c r="CH30" s="426"/>
      <c r="CI30" s="426"/>
      <c r="CJ30" s="426"/>
      <c r="CK30" s="426"/>
      <c r="CL30" s="426"/>
      <c r="CM30" s="426"/>
      <c r="CN30" s="426"/>
      <c r="CO30" s="426"/>
      <c r="CP30" s="426"/>
      <c r="CQ30" s="426"/>
      <c r="CR30" s="426"/>
      <c r="CS30" s="426"/>
      <c r="CT30" s="426"/>
      <c r="CU30" s="426"/>
      <c r="CV30" s="426"/>
      <c r="CW30" s="426"/>
      <c r="CX30" s="426"/>
      <c r="CY30" s="426"/>
      <c r="CZ30" s="426"/>
      <c r="DA30" s="426"/>
      <c r="DB30" s="426"/>
      <c r="DC30" s="426"/>
    </row>
    <row r="31" spans="1:20" s="626" customFormat="1" ht="24">
      <c r="A31" s="59" t="s">
        <v>1007</v>
      </c>
      <c r="B31" s="430">
        <f>SUM(B32:B33)</f>
        <v>767700</v>
      </c>
      <c r="C31" s="430">
        <f>SUM(C32:C33)</f>
        <v>0</v>
      </c>
      <c r="D31" s="628">
        <f t="shared" si="0"/>
        <v>0</v>
      </c>
      <c r="E31" s="430">
        <f>SUM(E32:E33)</f>
        <v>1326550</v>
      </c>
      <c r="F31" s="430">
        <f>SUM(F32:F33)</f>
        <v>0</v>
      </c>
      <c r="G31" s="628">
        <f t="shared" si="1"/>
        <v>0</v>
      </c>
      <c r="H31" s="430">
        <f>SUM(H32:H33)</f>
        <v>1253100</v>
      </c>
      <c r="I31" s="430">
        <f>SUM(I32:I33)</f>
        <v>0</v>
      </c>
      <c r="J31" s="629">
        <f t="shared" si="5"/>
        <v>0</v>
      </c>
      <c r="K31" s="59" t="s">
        <v>1007</v>
      </c>
      <c r="L31" s="430">
        <f>SUM(L32:L33)</f>
        <v>768</v>
      </c>
      <c r="M31" s="430">
        <f>SUM(M32:M33)</f>
        <v>0</v>
      </c>
      <c r="N31" s="628">
        <f t="shared" si="2"/>
        <v>0</v>
      </c>
      <c r="O31" s="430">
        <f>SUM(O32:O33)</f>
        <v>1327</v>
      </c>
      <c r="P31" s="430">
        <f>SUM(P32:P33)</f>
        <v>0</v>
      </c>
      <c r="Q31" s="628">
        <f t="shared" si="3"/>
        <v>0</v>
      </c>
      <c r="R31" s="430">
        <f>SUM(R32:R33)</f>
        <v>1253</v>
      </c>
      <c r="S31" s="430">
        <f>SUM(S32:S33)</f>
        <v>0</v>
      </c>
      <c r="T31" s="628">
        <f t="shared" si="7"/>
        <v>0</v>
      </c>
    </row>
    <row r="32" spans="1:107" s="427" customFormat="1" ht="12.75">
      <c r="A32" s="432" t="s">
        <v>671</v>
      </c>
      <c r="B32" s="27">
        <v>17700</v>
      </c>
      <c r="C32" s="27"/>
      <c r="D32" s="629">
        <f t="shared" si="0"/>
        <v>0</v>
      </c>
      <c r="E32" s="27">
        <v>26550</v>
      </c>
      <c r="F32" s="27"/>
      <c r="G32" s="629">
        <f t="shared" si="1"/>
        <v>0</v>
      </c>
      <c r="H32" s="27">
        <v>53100</v>
      </c>
      <c r="I32" s="27"/>
      <c r="J32" s="629">
        <f t="shared" si="5"/>
        <v>0</v>
      </c>
      <c r="K32" s="432" t="s">
        <v>671</v>
      </c>
      <c r="L32" s="27">
        <f>ROUND(B32/1000,0)</f>
        <v>18</v>
      </c>
      <c r="M32" s="27">
        <f>ROUND(C32/1000,0)</f>
        <v>0</v>
      </c>
      <c r="N32" s="629">
        <f>M32/L32*100</f>
        <v>0</v>
      </c>
      <c r="O32" s="27">
        <f>ROUND(E32/1000,0)</f>
        <v>27</v>
      </c>
      <c r="P32" s="27">
        <f>ROUND(F32/1000,0)</f>
        <v>0</v>
      </c>
      <c r="Q32" s="629">
        <f>P32/O32*100</f>
        <v>0</v>
      </c>
      <c r="R32" s="27">
        <f>ROUND(H32/1000,0)</f>
        <v>53</v>
      </c>
      <c r="S32" s="27">
        <f>ROUND(I32/1000,0)</f>
        <v>0</v>
      </c>
      <c r="T32" s="629">
        <f>S32/R32*100</f>
        <v>0</v>
      </c>
      <c r="U32" s="426"/>
      <c r="V32" s="426"/>
      <c r="W32" s="426"/>
      <c r="X32" s="426"/>
      <c r="Y32" s="426"/>
      <c r="Z32" s="426"/>
      <c r="AA32" s="426"/>
      <c r="AB32" s="426"/>
      <c r="AC32" s="426"/>
      <c r="AD32" s="426"/>
      <c r="AE32" s="426"/>
      <c r="AF32" s="426"/>
      <c r="AG32" s="426"/>
      <c r="AH32" s="426"/>
      <c r="AI32" s="426"/>
      <c r="AJ32" s="426"/>
      <c r="AK32" s="426"/>
      <c r="AL32" s="426"/>
      <c r="AM32" s="426"/>
      <c r="AN32" s="426"/>
      <c r="AO32" s="426"/>
      <c r="AP32" s="426"/>
      <c r="AQ32" s="426"/>
      <c r="AR32" s="426"/>
      <c r="AS32" s="426"/>
      <c r="AT32" s="426"/>
      <c r="AU32" s="426"/>
      <c r="AV32" s="426"/>
      <c r="AW32" s="426"/>
      <c r="AX32" s="426"/>
      <c r="AY32" s="426"/>
      <c r="AZ32" s="426"/>
      <c r="BA32" s="426"/>
      <c r="BB32" s="426"/>
      <c r="BC32" s="426"/>
      <c r="BD32" s="426"/>
      <c r="BE32" s="426"/>
      <c r="BF32" s="426"/>
      <c r="BG32" s="426"/>
      <c r="BH32" s="426"/>
      <c r="BI32" s="426"/>
      <c r="BJ32" s="426"/>
      <c r="BK32" s="426"/>
      <c r="BL32" s="426"/>
      <c r="BM32" s="426"/>
      <c r="BN32" s="426"/>
      <c r="BO32" s="426"/>
      <c r="BP32" s="426"/>
      <c r="BQ32" s="426"/>
      <c r="BR32" s="426"/>
      <c r="BS32" s="426"/>
      <c r="BT32" s="426"/>
      <c r="BU32" s="426"/>
      <c r="BV32" s="426"/>
      <c r="BW32" s="426"/>
      <c r="BX32" s="426"/>
      <c r="BY32" s="426"/>
      <c r="BZ32" s="426"/>
      <c r="CA32" s="426"/>
      <c r="CB32" s="426"/>
      <c r="CC32" s="426"/>
      <c r="CD32" s="426"/>
      <c r="CE32" s="426"/>
      <c r="CF32" s="426"/>
      <c r="CG32" s="426"/>
      <c r="CH32" s="426"/>
      <c r="CI32" s="426"/>
      <c r="CJ32" s="426"/>
      <c r="CK32" s="426"/>
      <c r="CL32" s="426"/>
      <c r="CM32" s="426"/>
      <c r="CN32" s="426"/>
      <c r="CO32" s="426"/>
      <c r="CP32" s="426"/>
      <c r="CQ32" s="426"/>
      <c r="CR32" s="426"/>
      <c r="CS32" s="426"/>
      <c r="CT32" s="426"/>
      <c r="CU32" s="426"/>
      <c r="CV32" s="426"/>
      <c r="CW32" s="426"/>
      <c r="CX32" s="426"/>
      <c r="CY32" s="426"/>
      <c r="CZ32" s="426"/>
      <c r="DA32" s="426"/>
      <c r="DB32" s="426"/>
      <c r="DC32" s="426"/>
    </row>
    <row r="33" spans="1:107" s="427" customFormat="1" ht="12.75">
      <c r="A33" s="432" t="s">
        <v>237</v>
      </c>
      <c r="B33" s="27">
        <v>750000</v>
      </c>
      <c r="C33" s="27"/>
      <c r="D33" s="629">
        <f t="shared" si="0"/>
        <v>0</v>
      </c>
      <c r="E33" s="27">
        <v>1300000</v>
      </c>
      <c r="F33" s="27"/>
      <c r="G33" s="629">
        <f t="shared" si="1"/>
        <v>0</v>
      </c>
      <c r="H33" s="27">
        <v>1200000</v>
      </c>
      <c r="I33" s="27"/>
      <c r="J33" s="629">
        <f t="shared" si="5"/>
        <v>0</v>
      </c>
      <c r="K33" s="432" t="s">
        <v>237</v>
      </c>
      <c r="L33" s="27">
        <f aca="true" t="shared" si="20" ref="L33:S33">ROUND(B33/1000,0)</f>
        <v>750</v>
      </c>
      <c r="M33" s="27">
        <f t="shared" si="20"/>
        <v>0</v>
      </c>
      <c r="N33" s="629">
        <f t="shared" si="2"/>
        <v>0</v>
      </c>
      <c r="O33" s="27">
        <f t="shared" si="20"/>
        <v>1300</v>
      </c>
      <c r="P33" s="27">
        <f t="shared" si="20"/>
        <v>0</v>
      </c>
      <c r="Q33" s="629">
        <f t="shared" si="3"/>
        <v>0</v>
      </c>
      <c r="R33" s="27">
        <f t="shared" si="20"/>
        <v>1200</v>
      </c>
      <c r="S33" s="27">
        <f t="shared" si="20"/>
        <v>0</v>
      </c>
      <c r="T33" s="629">
        <f t="shared" si="7"/>
        <v>0</v>
      </c>
      <c r="U33" s="426"/>
      <c r="V33" s="426"/>
      <c r="W33" s="426"/>
      <c r="X33" s="426"/>
      <c r="Y33" s="426"/>
      <c r="Z33" s="426"/>
      <c r="AA33" s="426"/>
      <c r="AB33" s="426"/>
      <c r="AC33" s="426"/>
      <c r="AD33" s="426"/>
      <c r="AE33" s="426"/>
      <c r="AF33" s="426"/>
      <c r="AG33" s="426"/>
      <c r="AH33" s="426"/>
      <c r="AI33" s="426"/>
      <c r="AJ33" s="426"/>
      <c r="AK33" s="426"/>
      <c r="AL33" s="426"/>
      <c r="AM33" s="426"/>
      <c r="AN33" s="426"/>
      <c r="AO33" s="426"/>
      <c r="AP33" s="426"/>
      <c r="AQ33" s="426"/>
      <c r="AR33" s="426"/>
      <c r="AS33" s="426"/>
      <c r="AT33" s="426"/>
      <c r="AU33" s="426"/>
      <c r="AV33" s="426"/>
      <c r="AW33" s="426"/>
      <c r="AX33" s="426"/>
      <c r="AY33" s="426"/>
      <c r="AZ33" s="426"/>
      <c r="BA33" s="426"/>
      <c r="BB33" s="426"/>
      <c r="BC33" s="426"/>
      <c r="BD33" s="426"/>
      <c r="BE33" s="426"/>
      <c r="BF33" s="426"/>
      <c r="BG33" s="426"/>
      <c r="BH33" s="426"/>
      <c r="BI33" s="426"/>
      <c r="BJ33" s="426"/>
      <c r="BK33" s="426"/>
      <c r="BL33" s="426"/>
      <c r="BM33" s="426"/>
      <c r="BN33" s="426"/>
      <c r="BO33" s="426"/>
      <c r="BP33" s="426"/>
      <c r="BQ33" s="426"/>
      <c r="BR33" s="426"/>
      <c r="BS33" s="426"/>
      <c r="BT33" s="426"/>
      <c r="BU33" s="426"/>
      <c r="BV33" s="426"/>
      <c r="BW33" s="426"/>
      <c r="BX33" s="426"/>
      <c r="BY33" s="426"/>
      <c r="BZ33" s="426"/>
      <c r="CA33" s="426"/>
      <c r="CB33" s="426"/>
      <c r="CC33" s="426"/>
      <c r="CD33" s="426"/>
      <c r="CE33" s="426"/>
      <c r="CF33" s="426"/>
      <c r="CG33" s="426"/>
      <c r="CH33" s="426"/>
      <c r="CI33" s="426"/>
      <c r="CJ33" s="426"/>
      <c r="CK33" s="426"/>
      <c r="CL33" s="426"/>
      <c r="CM33" s="426"/>
      <c r="CN33" s="426"/>
      <c r="CO33" s="426"/>
      <c r="CP33" s="426"/>
      <c r="CQ33" s="426"/>
      <c r="CR33" s="426"/>
      <c r="CS33" s="426"/>
      <c r="CT33" s="426"/>
      <c r="CU33" s="426"/>
      <c r="CV33" s="426"/>
      <c r="CW33" s="426"/>
      <c r="CX33" s="426"/>
      <c r="CY33" s="426"/>
      <c r="CZ33" s="426"/>
      <c r="DA33" s="426"/>
      <c r="DB33" s="426"/>
      <c r="DC33" s="426"/>
    </row>
    <row r="34" spans="1:20" ht="24">
      <c r="A34" s="437" t="s">
        <v>1030</v>
      </c>
      <c r="B34" s="430">
        <f>SUM(B35:B36)</f>
        <v>26722</v>
      </c>
      <c r="C34" s="430">
        <f aca="true" t="shared" si="21" ref="C34:I34">SUM(C35:C36)</f>
        <v>0</v>
      </c>
      <c r="D34" s="628">
        <f t="shared" si="0"/>
        <v>0</v>
      </c>
      <c r="E34" s="430">
        <f t="shared" si="21"/>
        <v>25515</v>
      </c>
      <c r="F34" s="430">
        <f t="shared" si="21"/>
        <v>0</v>
      </c>
      <c r="G34" s="628">
        <f t="shared" si="1"/>
        <v>0</v>
      </c>
      <c r="H34" s="430">
        <f t="shared" si="21"/>
        <v>61202</v>
      </c>
      <c r="I34" s="430">
        <f t="shared" si="21"/>
        <v>0</v>
      </c>
      <c r="J34" s="629">
        <f t="shared" si="5"/>
        <v>0</v>
      </c>
      <c r="K34" s="437" t="s">
        <v>1030</v>
      </c>
      <c r="L34" s="430">
        <f aca="true" t="shared" si="22" ref="L34:S34">SUM(L35:L36)</f>
        <v>27</v>
      </c>
      <c r="M34" s="430">
        <f t="shared" si="22"/>
        <v>0</v>
      </c>
      <c r="N34" s="628">
        <f t="shared" si="2"/>
        <v>0</v>
      </c>
      <c r="O34" s="430">
        <f t="shared" si="22"/>
        <v>26</v>
      </c>
      <c r="P34" s="430">
        <f t="shared" si="22"/>
        <v>0</v>
      </c>
      <c r="Q34" s="628">
        <f t="shared" si="3"/>
        <v>0</v>
      </c>
      <c r="R34" s="430">
        <f t="shared" si="22"/>
        <v>61</v>
      </c>
      <c r="S34" s="430">
        <f t="shared" si="22"/>
        <v>0</v>
      </c>
      <c r="T34" s="628">
        <f t="shared" si="7"/>
        <v>0</v>
      </c>
    </row>
    <row r="35" spans="1:107" s="427" customFormat="1" ht="12.75">
      <c r="A35" s="432" t="s">
        <v>670</v>
      </c>
      <c r="B35" s="27">
        <v>22834</v>
      </c>
      <c r="C35" s="27"/>
      <c r="D35" s="629">
        <f t="shared" si="0"/>
        <v>0</v>
      </c>
      <c r="E35" s="27">
        <v>22541</v>
      </c>
      <c r="F35" s="27"/>
      <c r="G35" s="629">
        <f t="shared" si="1"/>
        <v>0</v>
      </c>
      <c r="H35" s="27">
        <v>57493</v>
      </c>
      <c r="I35" s="27"/>
      <c r="J35" s="629">
        <f t="shared" si="5"/>
        <v>0</v>
      </c>
      <c r="K35" s="432" t="s">
        <v>670</v>
      </c>
      <c r="L35" s="27">
        <f aca="true" t="shared" si="23" ref="L35:S36">ROUND(B35/1000,0)</f>
        <v>23</v>
      </c>
      <c r="M35" s="27">
        <f t="shared" si="23"/>
        <v>0</v>
      </c>
      <c r="N35" s="629">
        <f t="shared" si="2"/>
        <v>0</v>
      </c>
      <c r="O35" s="27">
        <f t="shared" si="23"/>
        <v>23</v>
      </c>
      <c r="P35" s="27">
        <f t="shared" si="23"/>
        <v>0</v>
      </c>
      <c r="Q35" s="629">
        <f t="shared" si="3"/>
        <v>0</v>
      </c>
      <c r="R35" s="27">
        <f t="shared" si="23"/>
        <v>57</v>
      </c>
      <c r="S35" s="27">
        <f t="shared" si="23"/>
        <v>0</v>
      </c>
      <c r="T35" s="629">
        <f t="shared" si="7"/>
        <v>0</v>
      </c>
      <c r="U35" s="426"/>
      <c r="V35" s="426"/>
      <c r="W35" s="426"/>
      <c r="X35" s="426"/>
      <c r="Y35" s="426"/>
      <c r="Z35" s="426"/>
      <c r="AA35" s="426"/>
      <c r="AB35" s="426"/>
      <c r="AC35" s="426"/>
      <c r="AD35" s="426"/>
      <c r="AE35" s="426"/>
      <c r="AF35" s="426"/>
      <c r="AG35" s="426"/>
      <c r="AH35" s="426"/>
      <c r="AI35" s="426"/>
      <c r="AJ35" s="426"/>
      <c r="AK35" s="426"/>
      <c r="AL35" s="426"/>
      <c r="AM35" s="426"/>
      <c r="AN35" s="426"/>
      <c r="AO35" s="426"/>
      <c r="AP35" s="426"/>
      <c r="AQ35" s="426"/>
      <c r="AR35" s="426"/>
      <c r="AS35" s="426"/>
      <c r="AT35" s="426"/>
      <c r="AU35" s="426"/>
      <c r="AV35" s="426"/>
      <c r="AW35" s="426"/>
      <c r="AX35" s="426"/>
      <c r="AY35" s="426"/>
      <c r="AZ35" s="426"/>
      <c r="BA35" s="426"/>
      <c r="BB35" s="426"/>
      <c r="BC35" s="426"/>
      <c r="BD35" s="426"/>
      <c r="BE35" s="426"/>
      <c r="BF35" s="426"/>
      <c r="BG35" s="426"/>
      <c r="BH35" s="426"/>
      <c r="BI35" s="426"/>
      <c r="BJ35" s="426"/>
      <c r="BK35" s="426"/>
      <c r="BL35" s="426"/>
      <c r="BM35" s="426"/>
      <c r="BN35" s="426"/>
      <c r="BO35" s="426"/>
      <c r="BP35" s="426"/>
      <c r="BQ35" s="426"/>
      <c r="BR35" s="426"/>
      <c r="BS35" s="426"/>
      <c r="BT35" s="426"/>
      <c r="BU35" s="426"/>
      <c r="BV35" s="426"/>
      <c r="BW35" s="426"/>
      <c r="BX35" s="426"/>
      <c r="BY35" s="426"/>
      <c r="BZ35" s="426"/>
      <c r="CA35" s="426"/>
      <c r="CB35" s="426"/>
      <c r="CC35" s="426"/>
      <c r="CD35" s="426"/>
      <c r="CE35" s="426"/>
      <c r="CF35" s="426"/>
      <c r="CG35" s="426"/>
      <c r="CH35" s="426"/>
      <c r="CI35" s="426"/>
      <c r="CJ35" s="426"/>
      <c r="CK35" s="426"/>
      <c r="CL35" s="426"/>
      <c r="CM35" s="426"/>
      <c r="CN35" s="426"/>
      <c r="CO35" s="426"/>
      <c r="CP35" s="426"/>
      <c r="CQ35" s="426"/>
      <c r="CR35" s="426"/>
      <c r="CS35" s="426"/>
      <c r="CT35" s="426"/>
      <c r="CU35" s="426"/>
      <c r="CV35" s="426"/>
      <c r="CW35" s="426"/>
      <c r="CX35" s="426"/>
      <c r="CY35" s="426"/>
      <c r="CZ35" s="426"/>
      <c r="DA35" s="426"/>
      <c r="DB35" s="426"/>
      <c r="DC35" s="426"/>
    </row>
    <row r="36" spans="1:107" s="427" customFormat="1" ht="12.75">
      <c r="A36" s="432" t="s">
        <v>1059</v>
      </c>
      <c r="B36" s="27">
        <v>3888</v>
      </c>
      <c r="C36" s="27"/>
      <c r="D36" s="629">
        <f t="shared" si="0"/>
        <v>0</v>
      </c>
      <c r="E36" s="27">
        <v>2974</v>
      </c>
      <c r="F36" s="27"/>
      <c r="G36" s="629">
        <f t="shared" si="1"/>
        <v>0</v>
      </c>
      <c r="H36" s="27">
        <v>3709</v>
      </c>
      <c r="I36" s="27"/>
      <c r="J36" s="629">
        <f t="shared" si="5"/>
        <v>0</v>
      </c>
      <c r="K36" s="432" t="s">
        <v>1059</v>
      </c>
      <c r="L36" s="27">
        <f t="shared" si="23"/>
        <v>4</v>
      </c>
      <c r="M36" s="27">
        <f t="shared" si="23"/>
        <v>0</v>
      </c>
      <c r="N36" s="629">
        <f t="shared" si="2"/>
        <v>0</v>
      </c>
      <c r="O36" s="27">
        <f t="shared" si="23"/>
        <v>3</v>
      </c>
      <c r="P36" s="27">
        <f t="shared" si="23"/>
        <v>0</v>
      </c>
      <c r="Q36" s="629">
        <f t="shared" si="3"/>
        <v>0</v>
      </c>
      <c r="R36" s="27">
        <f t="shared" si="23"/>
        <v>4</v>
      </c>
      <c r="S36" s="27">
        <f t="shared" si="23"/>
        <v>0</v>
      </c>
      <c r="T36" s="629">
        <f t="shared" si="7"/>
        <v>0</v>
      </c>
      <c r="U36" s="426"/>
      <c r="V36" s="426"/>
      <c r="W36" s="426"/>
      <c r="X36" s="426"/>
      <c r="Y36" s="426"/>
      <c r="Z36" s="426"/>
      <c r="AA36" s="426"/>
      <c r="AB36" s="426"/>
      <c r="AC36" s="426"/>
      <c r="AD36" s="426"/>
      <c r="AE36" s="426"/>
      <c r="AF36" s="426"/>
      <c r="AG36" s="426"/>
      <c r="AH36" s="426"/>
      <c r="AI36" s="426"/>
      <c r="AJ36" s="426"/>
      <c r="AK36" s="426"/>
      <c r="AL36" s="426"/>
      <c r="AM36" s="426"/>
      <c r="AN36" s="426"/>
      <c r="AO36" s="426"/>
      <c r="AP36" s="426"/>
      <c r="AQ36" s="426"/>
      <c r="AR36" s="426"/>
      <c r="AS36" s="426"/>
      <c r="AT36" s="426"/>
      <c r="AU36" s="426"/>
      <c r="AV36" s="426"/>
      <c r="AW36" s="426"/>
      <c r="AX36" s="426"/>
      <c r="AY36" s="426"/>
      <c r="AZ36" s="426"/>
      <c r="BA36" s="426"/>
      <c r="BB36" s="426"/>
      <c r="BC36" s="426"/>
      <c r="BD36" s="426"/>
      <c r="BE36" s="426"/>
      <c r="BF36" s="426"/>
      <c r="BG36" s="426"/>
      <c r="BH36" s="426"/>
      <c r="BI36" s="426"/>
      <c r="BJ36" s="426"/>
      <c r="BK36" s="426"/>
      <c r="BL36" s="426"/>
      <c r="BM36" s="426"/>
      <c r="BN36" s="426"/>
      <c r="BO36" s="426"/>
      <c r="BP36" s="426"/>
      <c r="BQ36" s="426"/>
      <c r="BR36" s="426"/>
      <c r="BS36" s="426"/>
      <c r="BT36" s="426"/>
      <c r="BU36" s="426"/>
      <c r="BV36" s="426"/>
      <c r="BW36" s="426"/>
      <c r="BX36" s="426"/>
      <c r="BY36" s="426"/>
      <c r="BZ36" s="426"/>
      <c r="CA36" s="426"/>
      <c r="CB36" s="426"/>
      <c r="CC36" s="426"/>
      <c r="CD36" s="426"/>
      <c r="CE36" s="426"/>
      <c r="CF36" s="426"/>
      <c r="CG36" s="426"/>
      <c r="CH36" s="426"/>
      <c r="CI36" s="426"/>
      <c r="CJ36" s="426"/>
      <c r="CK36" s="426"/>
      <c r="CL36" s="426"/>
      <c r="CM36" s="426"/>
      <c r="CN36" s="426"/>
      <c r="CO36" s="426"/>
      <c r="CP36" s="426"/>
      <c r="CQ36" s="426"/>
      <c r="CR36" s="426"/>
      <c r="CS36" s="426"/>
      <c r="CT36" s="426"/>
      <c r="CU36" s="426"/>
      <c r="CV36" s="426"/>
      <c r="CW36" s="426"/>
      <c r="CX36" s="426"/>
      <c r="CY36" s="426"/>
      <c r="CZ36" s="426"/>
      <c r="DA36" s="426"/>
      <c r="DB36" s="426"/>
      <c r="DC36" s="426"/>
    </row>
    <row r="37" spans="10:20" ht="12.75">
      <c r="J37" s="1"/>
      <c r="T37" s="1"/>
    </row>
    <row r="38" spans="1:20" ht="12.75">
      <c r="A38" s="171"/>
      <c r="B38" s="641"/>
      <c r="C38" s="642"/>
      <c r="D38" s="643"/>
      <c r="E38" s="643"/>
      <c r="F38" s="644"/>
      <c r="G38" s="644"/>
      <c r="H38" s="644"/>
      <c r="I38" s="644"/>
      <c r="J38" s="1"/>
      <c r="K38" s="171"/>
      <c r="L38" s="641"/>
      <c r="M38" s="642"/>
      <c r="N38" s="643"/>
      <c r="O38" s="643"/>
      <c r="P38" s="644"/>
      <c r="Q38" s="644"/>
      <c r="R38" s="644"/>
      <c r="S38" s="644"/>
      <c r="T38" s="1"/>
    </row>
    <row r="40" spans="1:20" ht="12.75">
      <c r="A40" s="1"/>
      <c r="B40" s="570"/>
      <c r="C40" s="585"/>
      <c r="D40" s="585"/>
      <c r="E40" s="634"/>
      <c r="F40" s="635"/>
      <c r="G40" s="635"/>
      <c r="H40" s="635"/>
      <c r="I40" s="635"/>
      <c r="J40" s="1"/>
      <c r="K40" s="1"/>
      <c r="L40" s="570"/>
      <c r="M40" s="585"/>
      <c r="N40" s="585"/>
      <c r="O40" s="634"/>
      <c r="P40" s="635"/>
      <c r="Q40" s="635"/>
      <c r="R40" s="635"/>
      <c r="S40" s="635"/>
      <c r="T40" s="1"/>
    </row>
    <row r="41" spans="1:20" ht="12.75">
      <c r="A41" s="41" t="s">
        <v>678</v>
      </c>
      <c r="B41" s="570"/>
      <c r="C41" s="585"/>
      <c r="D41" s="585"/>
      <c r="E41" s="634"/>
      <c r="F41" s="635"/>
      <c r="G41" s="635"/>
      <c r="H41" s="635"/>
      <c r="I41" s="635"/>
      <c r="J41" s="1"/>
      <c r="K41" s="845" t="s">
        <v>566</v>
      </c>
      <c r="L41" s="845"/>
      <c r="M41" s="845"/>
      <c r="N41" s="845"/>
      <c r="O41" s="845"/>
      <c r="P41" s="845"/>
      <c r="Q41" s="845"/>
      <c r="R41" s="635"/>
      <c r="S41" s="635"/>
      <c r="T41" s="1"/>
    </row>
    <row r="42" spans="2:20" ht="12.75">
      <c r="B42" s="636"/>
      <c r="C42" s="585"/>
      <c r="D42" s="637"/>
      <c r="E42" s="638"/>
      <c r="F42" s="639"/>
      <c r="G42" s="639"/>
      <c r="H42" s="639"/>
      <c r="I42" s="639"/>
      <c r="J42" s="1"/>
      <c r="L42" s="636"/>
      <c r="M42" s="585"/>
      <c r="N42" s="637"/>
      <c r="O42" s="638"/>
      <c r="P42" s="639"/>
      <c r="Q42" s="639"/>
      <c r="R42" s="639"/>
      <c r="S42" s="639"/>
      <c r="T42" s="1"/>
    </row>
    <row r="43" spans="1:11" ht="12.75">
      <c r="A43" s="1"/>
      <c r="K43" s="1"/>
    </row>
    <row r="44" spans="1:20" ht="12.75">
      <c r="A44" s="1"/>
      <c r="J44" s="1"/>
      <c r="K44" s="1"/>
      <c r="T44" s="1"/>
    </row>
    <row r="45" spans="1:20" ht="12.75">
      <c r="A45" s="1"/>
      <c r="J45" s="1"/>
      <c r="K45" s="1"/>
      <c r="T45" s="1"/>
    </row>
    <row r="46" spans="1:20" ht="12.75">
      <c r="A46" s="1"/>
      <c r="J46" s="1"/>
      <c r="K46" s="1"/>
      <c r="T46" s="1"/>
    </row>
    <row r="47" spans="10:20" ht="12.75">
      <c r="J47" s="1"/>
      <c r="T47" s="1"/>
    </row>
    <row r="48" spans="10:20" ht="12.75">
      <c r="J48" s="1"/>
      <c r="T48" s="1"/>
    </row>
    <row r="49" spans="1:20" ht="12.75">
      <c r="A49" s="1"/>
      <c r="J49" s="1"/>
      <c r="K49" s="1"/>
      <c r="T49" s="1"/>
    </row>
    <row r="50" spans="1:20" ht="12.75">
      <c r="A50" s="1"/>
      <c r="J50" s="1"/>
      <c r="K50" s="1"/>
      <c r="T50" s="1"/>
    </row>
    <row r="51" spans="1:20" ht="12.75">
      <c r="A51" s="1"/>
      <c r="J51" s="1"/>
      <c r="K51" s="1" t="s">
        <v>923</v>
      </c>
      <c r="T51" s="1"/>
    </row>
    <row r="52" spans="10:20" ht="12.75">
      <c r="J52" s="1"/>
      <c r="K52" s="1" t="s">
        <v>340</v>
      </c>
      <c r="T52" s="1"/>
    </row>
    <row r="53" spans="10:20" ht="12.75">
      <c r="J53" s="1"/>
      <c r="T53" s="1"/>
    </row>
    <row r="54" spans="10:20" ht="12.75">
      <c r="J54" s="1"/>
      <c r="T54" s="1"/>
    </row>
    <row r="55" spans="1:20" ht="12.75">
      <c r="A55" s="1"/>
      <c r="J55" s="1"/>
      <c r="T55" s="1"/>
    </row>
    <row r="56" spans="1:20" ht="12.75">
      <c r="A56" s="1"/>
      <c r="J56" s="1"/>
      <c r="T56" s="1"/>
    </row>
    <row r="57" spans="10:20" ht="12.75">
      <c r="J57" s="1"/>
      <c r="T57" s="1"/>
    </row>
    <row r="58" spans="10:20" ht="12.75">
      <c r="J58" s="1"/>
      <c r="T58" s="1"/>
    </row>
    <row r="59" spans="10:20" ht="12.75">
      <c r="J59" s="1"/>
      <c r="T59" s="1"/>
    </row>
    <row r="60" spans="10:20" ht="12.75">
      <c r="J60" s="1"/>
      <c r="T60" s="1"/>
    </row>
    <row r="61" spans="10:20" ht="12.75">
      <c r="J61" s="1"/>
      <c r="T61" s="1"/>
    </row>
    <row r="62" spans="10:20" ht="12.75">
      <c r="J62" s="1"/>
      <c r="T62" s="1"/>
    </row>
    <row r="63" spans="10:20" ht="12.75">
      <c r="J63" s="1"/>
      <c r="T63" s="1"/>
    </row>
    <row r="64" spans="10:20" ht="12.75">
      <c r="J64" s="1"/>
      <c r="T64" s="1"/>
    </row>
    <row r="65" spans="10:20" ht="12.75">
      <c r="J65" s="1"/>
      <c r="T65" s="1"/>
    </row>
    <row r="66" spans="10:20" ht="12.75">
      <c r="J66" s="1"/>
      <c r="T66" s="1"/>
    </row>
    <row r="67" spans="10:20" ht="12.75">
      <c r="J67" s="1"/>
      <c r="T67" s="1"/>
    </row>
    <row r="68" spans="10:20" ht="12.75">
      <c r="J68" s="1"/>
      <c r="T68" s="1"/>
    </row>
    <row r="69" spans="10:20" ht="12.75">
      <c r="J69" s="1"/>
      <c r="T69" s="1"/>
    </row>
    <row r="70" spans="10:20" ht="12.75">
      <c r="J70" s="1"/>
      <c r="T70" s="1"/>
    </row>
    <row r="71" spans="10:20" ht="12.75">
      <c r="J71" s="1"/>
      <c r="T71" s="1"/>
    </row>
    <row r="72" spans="10:20" ht="12.75">
      <c r="J72" s="1"/>
      <c r="T72" s="1"/>
    </row>
    <row r="73" spans="10:20" ht="12.75">
      <c r="J73" s="1"/>
      <c r="T73" s="1"/>
    </row>
    <row r="74" spans="10:20" ht="12.75">
      <c r="J74" s="1"/>
      <c r="T74" s="1"/>
    </row>
    <row r="75" spans="10:20" ht="12.75">
      <c r="J75" s="1"/>
      <c r="T75" s="1"/>
    </row>
    <row r="76" spans="10:20" ht="12.75">
      <c r="J76" s="1"/>
      <c r="T76" s="1"/>
    </row>
    <row r="77" spans="10:20" ht="12.75">
      <c r="J77" s="1"/>
      <c r="T77" s="1"/>
    </row>
    <row r="78" spans="10:20" ht="12.75">
      <c r="J78" s="1"/>
      <c r="T78" s="1"/>
    </row>
    <row r="79" spans="10:20" ht="12.75">
      <c r="J79" s="1"/>
      <c r="T79" s="1"/>
    </row>
    <row r="80" spans="10:20" ht="12.75">
      <c r="J80" s="1"/>
      <c r="T80" s="1"/>
    </row>
    <row r="81" spans="10:20" ht="12.75">
      <c r="J81" s="1"/>
      <c r="T81" s="1"/>
    </row>
    <row r="82" spans="10:20" ht="12.75">
      <c r="J82" s="1"/>
      <c r="T82" s="1"/>
    </row>
    <row r="83" spans="10:20" ht="12.75">
      <c r="J83" s="1"/>
      <c r="T83" s="1"/>
    </row>
    <row r="84" spans="10:20" ht="12.75">
      <c r="J84" s="1"/>
      <c r="T84" s="1"/>
    </row>
    <row r="85" spans="10:20" ht="12.75">
      <c r="J85" s="1"/>
      <c r="T85" s="1"/>
    </row>
    <row r="86" spans="10:20" ht="12.75">
      <c r="J86" s="1"/>
      <c r="T86" s="1"/>
    </row>
    <row r="87" spans="10:20" ht="12.75">
      <c r="J87" s="1"/>
      <c r="T87" s="1"/>
    </row>
    <row r="88" spans="10:20" ht="12.75">
      <c r="J88" s="1"/>
      <c r="T88" s="1"/>
    </row>
    <row r="89" spans="10:20" ht="12.75">
      <c r="J89" s="1"/>
      <c r="T89" s="1"/>
    </row>
    <row r="90" spans="10:20" ht="12.75">
      <c r="J90" s="1"/>
      <c r="T90" s="1"/>
    </row>
    <row r="91" spans="10:20" ht="12.75">
      <c r="J91" s="1"/>
      <c r="T91" s="1"/>
    </row>
    <row r="92" spans="10:20" ht="12.75">
      <c r="J92" s="1"/>
      <c r="T92" s="1"/>
    </row>
    <row r="93" spans="10:20" ht="12.75">
      <c r="J93" s="1"/>
      <c r="T93" s="1"/>
    </row>
    <row r="94" spans="10:20" ht="12.75">
      <c r="J94" s="1"/>
      <c r="T94" s="1"/>
    </row>
    <row r="95" spans="10:20" ht="12.75">
      <c r="J95" s="1"/>
      <c r="T95" s="1"/>
    </row>
    <row r="96" spans="10:20" ht="12.75">
      <c r="J96" s="1"/>
      <c r="T96" s="1"/>
    </row>
    <row r="97" spans="10:20" ht="12.75">
      <c r="J97" s="1"/>
      <c r="T97" s="1"/>
    </row>
    <row r="98" spans="10:20" ht="12.75">
      <c r="J98" s="1"/>
      <c r="T98" s="1"/>
    </row>
    <row r="99" spans="10:20" ht="12.75">
      <c r="J99" s="1"/>
      <c r="T99" s="1"/>
    </row>
    <row r="100" spans="10:20" ht="12.75">
      <c r="J100" s="1"/>
      <c r="T100" s="1"/>
    </row>
    <row r="101" spans="10:20" ht="12.75">
      <c r="J101" s="1"/>
      <c r="T101" s="1"/>
    </row>
    <row r="102" spans="10:20" ht="12.75">
      <c r="J102" s="1"/>
      <c r="T102" s="1"/>
    </row>
    <row r="103" spans="10:20" ht="12.75">
      <c r="J103" s="1"/>
      <c r="T103" s="1"/>
    </row>
    <row r="104" spans="10:20" ht="12.75">
      <c r="J104" s="1"/>
      <c r="T104" s="1"/>
    </row>
    <row r="105" spans="10:20" ht="12.75">
      <c r="J105" s="1"/>
      <c r="T105" s="1"/>
    </row>
    <row r="106" spans="10:20" ht="12.75">
      <c r="J106" s="1"/>
      <c r="T106" s="1"/>
    </row>
    <row r="107" spans="10:20" ht="12.75">
      <c r="J107" s="1"/>
      <c r="T107" s="1"/>
    </row>
    <row r="108" spans="10:20" ht="12.75">
      <c r="J108" s="1"/>
      <c r="T108" s="1"/>
    </row>
    <row r="109" spans="10:20" ht="12.75">
      <c r="J109" s="1"/>
      <c r="T109" s="1"/>
    </row>
    <row r="110" spans="10:20" ht="12.75">
      <c r="J110" s="1"/>
      <c r="T110" s="1"/>
    </row>
    <row r="111" spans="10:20" ht="12.75">
      <c r="J111" s="1"/>
      <c r="T111" s="1"/>
    </row>
    <row r="112" spans="10:20" ht="12.75">
      <c r="J112" s="1"/>
      <c r="T112" s="1"/>
    </row>
    <row r="113" spans="10:20" ht="12.75">
      <c r="J113" s="1"/>
      <c r="T113" s="1"/>
    </row>
    <row r="114" spans="10:20" ht="12.75">
      <c r="J114" s="1"/>
      <c r="T114" s="1"/>
    </row>
    <row r="115" spans="10:20" ht="12.75">
      <c r="J115" s="1"/>
      <c r="T115" s="1"/>
    </row>
    <row r="116" spans="10:20" ht="12.75">
      <c r="J116" s="1"/>
      <c r="T116" s="1"/>
    </row>
    <row r="117" spans="10:20" ht="12.75">
      <c r="J117" s="1"/>
      <c r="T117" s="1"/>
    </row>
    <row r="118" spans="10:20" ht="12.75">
      <c r="J118" s="1"/>
      <c r="T118" s="1"/>
    </row>
    <row r="119" spans="10:20" ht="12.75">
      <c r="J119" s="1"/>
      <c r="T119" s="1"/>
    </row>
    <row r="120" spans="10:20" ht="12.75">
      <c r="J120" s="1"/>
      <c r="T120" s="1"/>
    </row>
    <row r="121" spans="10:20" ht="12.75">
      <c r="J121" s="1"/>
      <c r="T121" s="1"/>
    </row>
    <row r="122" spans="10:20" ht="12.75">
      <c r="J122" s="1"/>
      <c r="T122" s="1"/>
    </row>
    <row r="123" spans="10:20" ht="12.75">
      <c r="J123" s="1"/>
      <c r="T123" s="1"/>
    </row>
    <row r="124" spans="10:20" ht="12.75">
      <c r="J124" s="1"/>
      <c r="T124" s="1"/>
    </row>
    <row r="125" spans="10:20" ht="12.75">
      <c r="J125" s="1"/>
      <c r="T125" s="1"/>
    </row>
    <row r="126" spans="10:20" ht="12.75">
      <c r="J126" s="1"/>
      <c r="T126" s="1"/>
    </row>
    <row r="127" spans="1:2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</sheetData>
  <mergeCells count="13">
    <mergeCell ref="K41:Q41"/>
    <mergeCell ref="L9:N9"/>
    <mergeCell ref="O9:Q9"/>
    <mergeCell ref="R9:T9"/>
    <mergeCell ref="A4:J4"/>
    <mergeCell ref="K4:T4"/>
    <mergeCell ref="A5:J5"/>
    <mergeCell ref="K5:T5"/>
    <mergeCell ref="A6:J6"/>
    <mergeCell ref="K6:T6"/>
    <mergeCell ref="B9:D9"/>
    <mergeCell ref="E9:G9"/>
    <mergeCell ref="H9:J9"/>
  </mergeCells>
  <printOptions/>
  <pageMargins left="0.75" right="0.75" top="1" bottom="1" header="0.5" footer="0.5"/>
  <pageSetup firstPageNumber="54" useFirstPageNumber="1" horizontalDpi="600" verticalDpi="600" orientation="landscape" paperSize="9" r:id="rId1"/>
  <headerFooter alignWithMargins="0">
    <oddFooter>&amp;R&amp;9&amp;P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53"/>
  <sheetViews>
    <sheetView workbookViewId="0" topLeftCell="H1">
      <selection activeCell="L18" sqref="L18"/>
    </sheetView>
  </sheetViews>
  <sheetFormatPr defaultColWidth="9.140625" defaultRowHeight="17.25" customHeight="1"/>
  <cols>
    <col min="1" max="1" width="43.421875" style="0" hidden="1" customWidth="1"/>
    <col min="2" max="2" width="10.8515625" style="0" hidden="1" customWidth="1"/>
    <col min="3" max="3" width="10.28125" style="0" hidden="1" customWidth="1"/>
    <col min="4" max="4" width="11.00390625" style="0" hidden="1" customWidth="1"/>
    <col min="5" max="5" width="10.28125" style="0" hidden="1" customWidth="1"/>
    <col min="6" max="6" width="11.28125" style="0" hidden="1" customWidth="1"/>
    <col min="7" max="7" width="9.140625" style="0" hidden="1" customWidth="1"/>
    <col min="8" max="8" width="49.8515625" style="0" customWidth="1"/>
    <col min="9" max="9" width="11.00390625" style="0" customWidth="1"/>
    <col min="11" max="11" width="12.57421875" style="0" customWidth="1"/>
    <col min="12" max="12" width="10.57421875" style="0" customWidth="1"/>
    <col min="13" max="13" width="8.28125" style="0" customWidth="1"/>
    <col min="14" max="19" width="9.140625" style="0" hidden="1" customWidth="1"/>
  </cols>
  <sheetData>
    <row r="1" spans="6:13" ht="14.25" customHeight="1">
      <c r="F1" s="88" t="s">
        <v>925</v>
      </c>
      <c r="M1" s="88" t="s">
        <v>925</v>
      </c>
    </row>
    <row r="2" spans="1:13" ht="13.5" customHeight="1">
      <c r="A2" s="855" t="s">
        <v>926</v>
      </c>
      <c r="B2" s="855"/>
      <c r="C2" s="855"/>
      <c r="D2" s="855"/>
      <c r="E2" s="855"/>
      <c r="F2" s="855"/>
      <c r="H2" s="857" t="s">
        <v>926</v>
      </c>
      <c r="I2" s="857"/>
      <c r="J2" s="857"/>
      <c r="K2" s="857"/>
      <c r="L2" s="857"/>
      <c r="M2" s="857"/>
    </row>
    <row r="3" ht="12.75" customHeight="1"/>
    <row r="4" spans="1:13" ht="15" customHeight="1">
      <c r="A4" s="856" t="s">
        <v>927</v>
      </c>
      <c r="B4" s="856"/>
      <c r="C4" s="856"/>
      <c r="D4" s="856"/>
      <c r="E4" s="856"/>
      <c r="F4" s="856"/>
      <c r="H4" s="858" t="s">
        <v>927</v>
      </c>
      <c r="I4" s="858"/>
      <c r="J4" s="858"/>
      <c r="K4" s="858"/>
      <c r="L4" s="858"/>
      <c r="M4" s="858"/>
    </row>
    <row r="5" spans="1:12" ht="14.25" customHeight="1">
      <c r="A5" s="855" t="s">
        <v>311</v>
      </c>
      <c r="B5" s="855"/>
      <c r="C5" s="855"/>
      <c r="D5" s="855"/>
      <c r="E5" s="855"/>
      <c r="H5" s="855" t="s">
        <v>311</v>
      </c>
      <c r="I5" s="855"/>
      <c r="J5" s="855"/>
      <c r="K5" s="855"/>
      <c r="L5" s="855"/>
    </row>
    <row r="6" spans="6:13" ht="14.25" customHeight="1">
      <c r="F6" s="38" t="s">
        <v>842</v>
      </c>
      <c r="M6" s="38" t="s">
        <v>842</v>
      </c>
    </row>
    <row r="7" spans="1:13" ht="33.75">
      <c r="A7" s="9" t="s">
        <v>928</v>
      </c>
      <c r="B7" s="9" t="s">
        <v>843</v>
      </c>
      <c r="C7" s="90" t="s">
        <v>929</v>
      </c>
      <c r="D7" s="9" t="s">
        <v>844</v>
      </c>
      <c r="E7" s="9" t="s">
        <v>930</v>
      </c>
      <c r="F7" s="9" t="s">
        <v>312</v>
      </c>
      <c r="H7" s="9" t="s">
        <v>928</v>
      </c>
      <c r="I7" s="9" t="s">
        <v>843</v>
      </c>
      <c r="J7" s="90" t="s">
        <v>929</v>
      </c>
      <c r="K7" s="9" t="s">
        <v>844</v>
      </c>
      <c r="L7" s="9" t="s">
        <v>930</v>
      </c>
      <c r="M7" s="9" t="s">
        <v>312</v>
      </c>
    </row>
    <row r="8" spans="1:13" ht="13.5" customHeight="1">
      <c r="A8" s="8">
        <v>1</v>
      </c>
      <c r="B8" s="91">
        <v>2</v>
      </c>
      <c r="C8" s="91">
        <v>3</v>
      </c>
      <c r="D8" s="91">
        <v>4</v>
      </c>
      <c r="E8" s="91">
        <v>5</v>
      </c>
      <c r="F8" s="91">
        <v>6</v>
      </c>
      <c r="H8" s="8">
        <v>1</v>
      </c>
      <c r="I8" s="91">
        <v>2</v>
      </c>
      <c r="J8" s="91">
        <v>3</v>
      </c>
      <c r="K8" s="91">
        <v>4</v>
      </c>
      <c r="L8" s="91">
        <v>5</v>
      </c>
      <c r="M8" s="91">
        <v>6</v>
      </c>
    </row>
    <row r="9" spans="1:19" ht="13.5" customHeight="1">
      <c r="A9" s="92" t="s">
        <v>931</v>
      </c>
      <c r="B9" s="93">
        <f>B10+B21+B38+B40</f>
        <v>796473921</v>
      </c>
      <c r="C9" s="94">
        <v>93.37</v>
      </c>
      <c r="D9" s="93">
        <f>D10+D21+D38+D40</f>
        <v>688768003.1800001</v>
      </c>
      <c r="E9" s="95">
        <f aca="true" t="shared" si="0" ref="E9:E18">IF(ISERROR(D9/B9)," ",(D9/B9))*100</f>
        <v>86.47715700662597</v>
      </c>
      <c r="F9" s="93">
        <f>F10+F21+F38+F40</f>
        <v>59027806.83000003</v>
      </c>
      <c r="H9" s="92" t="s">
        <v>931</v>
      </c>
      <c r="I9" s="96">
        <f>I10+I21+I38+I40</f>
        <v>796473</v>
      </c>
      <c r="J9" s="94">
        <f>C9</f>
        <v>93.37</v>
      </c>
      <c r="K9" s="96">
        <f>K10+K21+K38+K40</f>
        <v>688768</v>
      </c>
      <c r="L9" s="97">
        <f aca="true" t="shared" si="1" ref="L9:L16">E9</f>
        <v>86.47715700662597</v>
      </c>
      <c r="M9" s="96">
        <f>M10+M21+M38+M40</f>
        <v>59028</v>
      </c>
      <c r="O9" s="788">
        <f>K9</f>
        <v>688768</v>
      </c>
      <c r="P9" s="96">
        <f>P10+P21+P38+P40</f>
        <v>629740</v>
      </c>
      <c r="Q9" s="813">
        <f>O9-P9</f>
        <v>59028</v>
      </c>
      <c r="R9">
        <v>553836</v>
      </c>
      <c r="S9">
        <f aca="true" t="shared" si="2" ref="S9:S40">P9-R9</f>
        <v>75904</v>
      </c>
    </row>
    <row r="10" spans="1:19" ht="13.5" customHeight="1">
      <c r="A10" s="98" t="s">
        <v>932</v>
      </c>
      <c r="B10" s="93">
        <f>B11+B13+B17</f>
        <v>615019797</v>
      </c>
      <c r="C10" s="94">
        <v>95.94</v>
      </c>
      <c r="D10" s="93">
        <f>D11+D13+D19+D17</f>
        <v>544499101.99</v>
      </c>
      <c r="E10" s="95">
        <f t="shared" si="0"/>
        <v>88.53358943013016</v>
      </c>
      <c r="F10" s="93">
        <f>F11+F13+F19+F17</f>
        <v>48124331.19000003</v>
      </c>
      <c r="H10" s="98" t="s">
        <v>932</v>
      </c>
      <c r="I10" s="96">
        <f>ROUND(B10/1000,0)</f>
        <v>615020</v>
      </c>
      <c r="J10" s="94">
        <f>C10</f>
        <v>95.94</v>
      </c>
      <c r="K10" s="96">
        <f>K11+K13+K19+K17</f>
        <v>544498</v>
      </c>
      <c r="L10" s="97">
        <f t="shared" si="1"/>
        <v>88.53358943013016</v>
      </c>
      <c r="M10" s="96">
        <f>M11+M13+M19+M17</f>
        <v>48123</v>
      </c>
      <c r="O10" s="788">
        <f aca="true" t="shared" si="3" ref="O10:O40">K10</f>
        <v>544498</v>
      </c>
      <c r="P10">
        <v>496375</v>
      </c>
      <c r="Q10" s="813">
        <f aca="true" t="shared" si="4" ref="Q10:Q40">O10-P10</f>
        <v>48123</v>
      </c>
      <c r="R10">
        <v>439141</v>
      </c>
      <c r="S10">
        <f t="shared" si="2"/>
        <v>57234</v>
      </c>
    </row>
    <row r="11" spans="1:19" ht="13.5" customHeight="1">
      <c r="A11" s="98" t="s">
        <v>933</v>
      </c>
      <c r="B11" s="93">
        <f>B12</f>
        <v>98046000</v>
      </c>
      <c r="C11" s="94">
        <v>97.96</v>
      </c>
      <c r="D11" s="93">
        <f>D12</f>
        <v>88999024.6</v>
      </c>
      <c r="E11" s="95">
        <f t="shared" si="0"/>
        <v>90.77272361952552</v>
      </c>
      <c r="F11" s="93">
        <f>F12</f>
        <v>7494101.8099999875</v>
      </c>
      <c r="H11" s="98" t="s">
        <v>933</v>
      </c>
      <c r="I11" s="96">
        <f aca="true" t="shared" si="5" ref="I11:I16">ROUND(B11/1000,0)</f>
        <v>98046</v>
      </c>
      <c r="J11" s="94">
        <f>C11</f>
        <v>97.96</v>
      </c>
      <c r="K11" s="96">
        <f>ROUND(D11/1000,0)</f>
        <v>88999</v>
      </c>
      <c r="L11" s="97">
        <f t="shared" si="1"/>
        <v>90.77272361952552</v>
      </c>
      <c r="M11" s="96">
        <f>ROUND(F11/1000,0)</f>
        <v>7494</v>
      </c>
      <c r="O11" s="788">
        <f t="shared" si="3"/>
        <v>88999</v>
      </c>
      <c r="P11">
        <v>81505</v>
      </c>
      <c r="Q11" s="813">
        <f t="shared" si="4"/>
        <v>7494</v>
      </c>
      <c r="R11">
        <v>73883</v>
      </c>
      <c r="S11">
        <f t="shared" si="2"/>
        <v>7622</v>
      </c>
    </row>
    <row r="12" spans="1:19" ht="13.5" customHeight="1">
      <c r="A12" s="60" t="s">
        <v>934</v>
      </c>
      <c r="B12" s="99">
        <v>98046000</v>
      </c>
      <c r="C12" s="100">
        <v>97.96</v>
      </c>
      <c r="D12" s="101">
        <v>88999024.6</v>
      </c>
      <c r="E12" s="102">
        <f t="shared" si="0"/>
        <v>90.77272361952552</v>
      </c>
      <c r="F12" s="101">
        <f>D12-'[13]oktobris'!D12</f>
        <v>7494101.8099999875</v>
      </c>
      <c r="H12" s="66" t="s">
        <v>934</v>
      </c>
      <c r="I12" s="103">
        <f t="shared" si="5"/>
        <v>98046</v>
      </c>
      <c r="J12" s="805">
        <f>C12</f>
        <v>97.96</v>
      </c>
      <c r="K12" s="245">
        <f>ROUND(D12/1000,0)</f>
        <v>88999</v>
      </c>
      <c r="L12" s="294">
        <f t="shared" si="1"/>
        <v>90.77272361952552</v>
      </c>
      <c r="M12" s="742">
        <f>K12-'[13]oktobris'!K12</f>
        <v>7494</v>
      </c>
      <c r="O12" s="788">
        <f t="shared" si="3"/>
        <v>88999</v>
      </c>
      <c r="P12">
        <v>81505</v>
      </c>
      <c r="Q12" s="813">
        <f t="shared" si="4"/>
        <v>7494</v>
      </c>
      <c r="R12">
        <v>73883</v>
      </c>
      <c r="S12">
        <f t="shared" si="2"/>
        <v>7622</v>
      </c>
    </row>
    <row r="13" spans="1:19" ht="13.5" customHeight="1">
      <c r="A13" s="98" t="s">
        <v>935</v>
      </c>
      <c r="B13" s="93">
        <f>B14+B15+B16</f>
        <v>513733797</v>
      </c>
      <c r="C13" s="94">
        <v>100</v>
      </c>
      <c r="D13" s="93">
        <f>D14+D15+D16</f>
        <v>447282139.8</v>
      </c>
      <c r="E13" s="95">
        <f t="shared" si="0"/>
        <v>87.06496290723891</v>
      </c>
      <c r="F13" s="101">
        <f>D13-'[13]oktobris'!D13</f>
        <v>39919281.400000036</v>
      </c>
      <c r="H13" s="98" t="s">
        <v>935</v>
      </c>
      <c r="I13" s="96">
        <f t="shared" si="5"/>
        <v>513734</v>
      </c>
      <c r="J13" s="94"/>
      <c r="K13" s="96">
        <f>K14+K15+K16</f>
        <v>447282</v>
      </c>
      <c r="L13" s="97">
        <f t="shared" si="1"/>
        <v>87.06496290723891</v>
      </c>
      <c r="M13" s="742">
        <f>K13-'[13]oktobris'!K13</f>
        <v>39919</v>
      </c>
      <c r="O13" s="788">
        <f t="shared" si="3"/>
        <v>447282</v>
      </c>
      <c r="P13">
        <v>407363</v>
      </c>
      <c r="Q13" s="813">
        <f t="shared" si="4"/>
        <v>39919</v>
      </c>
      <c r="R13">
        <v>358826</v>
      </c>
      <c r="S13">
        <f t="shared" si="2"/>
        <v>48537</v>
      </c>
    </row>
    <row r="14" spans="1:19" ht="13.5" customHeight="1">
      <c r="A14" s="60" t="s">
        <v>936</v>
      </c>
      <c r="B14" s="99">
        <v>368947657</v>
      </c>
      <c r="C14" s="105">
        <v>97.74</v>
      </c>
      <c r="D14" s="101">
        <v>326847267.15</v>
      </c>
      <c r="E14" s="102">
        <f t="shared" si="0"/>
        <v>88.58906160501786</v>
      </c>
      <c r="F14" s="101">
        <f>D14-'[13]oktobris'!D14</f>
        <v>29152088.439999998</v>
      </c>
      <c r="H14" s="66" t="s">
        <v>936</v>
      </c>
      <c r="I14" s="103">
        <f t="shared" si="5"/>
        <v>368948</v>
      </c>
      <c r="J14" s="805">
        <f>C14</f>
        <v>97.74</v>
      </c>
      <c r="K14" s="245">
        <f aca="true" t="shared" si="6" ref="K14:K20">ROUND(D14/1000,0)</f>
        <v>326847</v>
      </c>
      <c r="L14" s="294">
        <f t="shared" si="1"/>
        <v>88.58906160501786</v>
      </c>
      <c r="M14" s="742">
        <f>K14-'[13]oktobris'!K14</f>
        <v>29152</v>
      </c>
      <c r="O14" s="788">
        <f t="shared" si="3"/>
        <v>326847</v>
      </c>
      <c r="P14">
        <v>297695</v>
      </c>
      <c r="Q14" s="813">
        <f t="shared" si="4"/>
        <v>29152</v>
      </c>
      <c r="R14">
        <v>262482</v>
      </c>
      <c r="S14">
        <f t="shared" si="2"/>
        <v>35213</v>
      </c>
    </row>
    <row r="15" spans="1:19" ht="13.5" customHeight="1">
      <c r="A15" s="60" t="s">
        <v>937</v>
      </c>
      <c r="B15" s="99">
        <v>132843140</v>
      </c>
      <c r="C15" s="105">
        <v>86</v>
      </c>
      <c r="D15" s="101">
        <v>106458335.09</v>
      </c>
      <c r="E15" s="102">
        <f t="shared" si="0"/>
        <v>80.1383760501295</v>
      </c>
      <c r="F15" s="101">
        <f>D15-'[13]oktobris'!D15</f>
        <v>9478211.409999996</v>
      </c>
      <c r="H15" s="66" t="s">
        <v>937</v>
      </c>
      <c r="I15" s="103">
        <f t="shared" si="5"/>
        <v>132843</v>
      </c>
      <c r="J15" s="805">
        <f>C15</f>
        <v>86</v>
      </c>
      <c r="K15" s="245">
        <f t="shared" si="6"/>
        <v>106458</v>
      </c>
      <c r="L15" s="294">
        <f t="shared" si="1"/>
        <v>80.1383760501295</v>
      </c>
      <c r="M15" s="742">
        <f>K15-'[13]oktobris'!K15</f>
        <v>9478</v>
      </c>
      <c r="O15" s="788">
        <f t="shared" si="3"/>
        <v>106458</v>
      </c>
      <c r="P15">
        <v>96980</v>
      </c>
      <c r="Q15" s="813">
        <f t="shared" si="4"/>
        <v>9478</v>
      </c>
      <c r="R15">
        <v>85120</v>
      </c>
      <c r="S15">
        <f t="shared" si="2"/>
        <v>11860</v>
      </c>
    </row>
    <row r="16" spans="1:19" ht="13.5" customHeight="1">
      <c r="A16" s="106" t="s">
        <v>938</v>
      </c>
      <c r="B16" s="99">
        <v>11943000</v>
      </c>
      <c r="C16" s="105">
        <v>126.88</v>
      </c>
      <c r="D16" s="101">
        <v>13976537.56</v>
      </c>
      <c r="E16" s="102">
        <f t="shared" si="0"/>
        <v>117.02702470066149</v>
      </c>
      <c r="F16" s="101">
        <f>D16-'[13]oktobris'!D16</f>
        <v>1288981.5500000007</v>
      </c>
      <c r="H16" s="107" t="s">
        <v>938</v>
      </c>
      <c r="I16" s="103">
        <f t="shared" si="5"/>
        <v>11943</v>
      </c>
      <c r="J16" s="805">
        <f>C16</f>
        <v>126.88</v>
      </c>
      <c r="K16" s="245">
        <f t="shared" si="6"/>
        <v>13977</v>
      </c>
      <c r="L16" s="294">
        <f t="shared" si="1"/>
        <v>117.02702470066149</v>
      </c>
      <c r="M16" s="742">
        <f>K16-'[13]oktobris'!K16</f>
        <v>1289</v>
      </c>
      <c r="O16" s="788">
        <f t="shared" si="3"/>
        <v>13977</v>
      </c>
      <c r="P16">
        <v>12688</v>
      </c>
      <c r="Q16" s="813">
        <f t="shared" si="4"/>
        <v>1289</v>
      </c>
      <c r="R16">
        <v>11224</v>
      </c>
      <c r="S16">
        <f t="shared" si="2"/>
        <v>1464</v>
      </c>
    </row>
    <row r="17" spans="1:19" ht="13.5" customHeight="1">
      <c r="A17" s="98" t="s">
        <v>788</v>
      </c>
      <c r="B17" s="127">
        <f>B18</f>
        <v>3240000</v>
      </c>
      <c r="C17" s="105">
        <v>123.55</v>
      </c>
      <c r="D17" s="101">
        <v>3695497.59</v>
      </c>
      <c r="E17" s="102">
        <f t="shared" si="0"/>
        <v>114.05856759259258</v>
      </c>
      <c r="F17" s="101">
        <f>D17-'[13]oktobris'!D17</f>
        <v>336282.38999999966</v>
      </c>
      <c r="H17" s="98" t="s">
        <v>788</v>
      </c>
      <c r="I17" s="743">
        <f>ROUND(B17/1000,0)</f>
        <v>3240</v>
      </c>
      <c r="J17" s="109">
        <f>C17</f>
        <v>123.55</v>
      </c>
      <c r="K17" s="96">
        <f t="shared" si="6"/>
        <v>3695</v>
      </c>
      <c r="L17" s="97">
        <v>114</v>
      </c>
      <c r="M17" s="742">
        <f>K17-'[13]oktobris'!K17</f>
        <v>336</v>
      </c>
      <c r="O17" s="788">
        <f t="shared" si="3"/>
        <v>3695</v>
      </c>
      <c r="P17">
        <v>3359</v>
      </c>
      <c r="Q17" s="813">
        <f t="shared" si="4"/>
        <v>336</v>
      </c>
      <c r="R17">
        <v>3004</v>
      </c>
      <c r="S17">
        <f t="shared" si="2"/>
        <v>355</v>
      </c>
    </row>
    <row r="18" spans="1:19" ht="13.5" customHeight="1">
      <c r="A18" s="106" t="s">
        <v>789</v>
      </c>
      <c r="B18" s="99">
        <v>3240000</v>
      </c>
      <c r="C18" s="105">
        <v>123.55</v>
      </c>
      <c r="D18" s="101">
        <v>3695497.59</v>
      </c>
      <c r="E18" s="102">
        <f t="shared" si="0"/>
        <v>114.05856759259258</v>
      </c>
      <c r="F18" s="101">
        <f>D18-'[13]oktobris'!D18</f>
        <v>336282.38999999966</v>
      </c>
      <c r="H18" s="106" t="s">
        <v>789</v>
      </c>
      <c r="I18" s="103">
        <f>ROUND(B18/1000,0)</f>
        <v>3240</v>
      </c>
      <c r="J18" s="805">
        <f>C18</f>
        <v>123.55</v>
      </c>
      <c r="K18" s="245">
        <f t="shared" si="6"/>
        <v>3695</v>
      </c>
      <c r="L18" s="294">
        <v>114</v>
      </c>
      <c r="M18" s="742">
        <f>K18-'[13]oktobris'!K18</f>
        <v>336</v>
      </c>
      <c r="O18" s="788">
        <f t="shared" si="3"/>
        <v>3695</v>
      </c>
      <c r="P18">
        <v>3359</v>
      </c>
      <c r="Q18" s="813">
        <f t="shared" si="4"/>
        <v>336</v>
      </c>
      <c r="R18">
        <v>3004</v>
      </c>
      <c r="S18">
        <f t="shared" si="2"/>
        <v>355</v>
      </c>
    </row>
    <row r="19" spans="1:19" ht="13.5" customHeight="1">
      <c r="A19" s="98" t="s">
        <v>939</v>
      </c>
      <c r="B19" s="108" t="s">
        <v>744</v>
      </c>
      <c r="C19" s="109"/>
      <c r="D19" s="110">
        <v>4522440</v>
      </c>
      <c r="E19" s="102"/>
      <c r="F19" s="101">
        <f>D19-'[13]oktobris'!D19</f>
        <v>374665.58999999985</v>
      </c>
      <c r="H19" s="98" t="s">
        <v>939</v>
      </c>
      <c r="I19" s="479" t="s">
        <v>744</v>
      </c>
      <c r="J19" s="805"/>
      <c r="K19" s="96">
        <f t="shared" si="6"/>
        <v>4522</v>
      </c>
      <c r="L19" s="97"/>
      <c r="M19" s="742">
        <f>K19-'[13]oktobris'!K19</f>
        <v>374</v>
      </c>
      <c r="O19" s="788">
        <f t="shared" si="3"/>
        <v>4522</v>
      </c>
      <c r="P19">
        <v>4148</v>
      </c>
      <c r="Q19" s="813">
        <f t="shared" si="4"/>
        <v>374</v>
      </c>
      <c r="R19">
        <v>3428</v>
      </c>
      <c r="S19">
        <f t="shared" si="2"/>
        <v>720</v>
      </c>
    </row>
    <row r="20" spans="1:19" ht="13.5" customHeight="1">
      <c r="A20" s="106" t="s">
        <v>940</v>
      </c>
      <c r="B20" s="112" t="s">
        <v>744</v>
      </c>
      <c r="C20" s="105"/>
      <c r="D20" s="101">
        <v>-495631.59</v>
      </c>
      <c r="E20" s="102"/>
      <c r="F20" s="101">
        <f>D20-'[13]oktobris'!D20</f>
        <v>-256100.42</v>
      </c>
      <c r="H20" s="107" t="s">
        <v>940</v>
      </c>
      <c r="I20" s="113" t="s">
        <v>744</v>
      </c>
      <c r="J20" s="805"/>
      <c r="K20" s="245">
        <f t="shared" si="6"/>
        <v>-496</v>
      </c>
      <c r="L20" s="97"/>
      <c r="M20" s="742">
        <f>K20-'[13]oktobris'!K20</f>
        <v>-256</v>
      </c>
      <c r="O20" s="788">
        <f t="shared" si="3"/>
        <v>-496</v>
      </c>
      <c r="P20">
        <v>-240</v>
      </c>
      <c r="Q20" s="813">
        <f t="shared" si="4"/>
        <v>-256</v>
      </c>
      <c r="R20">
        <v>-226</v>
      </c>
      <c r="S20">
        <f t="shared" si="2"/>
        <v>-14</v>
      </c>
    </row>
    <row r="21" spans="1:19" ht="13.5" customHeight="1">
      <c r="A21" s="98" t="s">
        <v>941</v>
      </c>
      <c r="B21" s="93">
        <f>B22+B23+B24+B25+B26+B27+B31+B32</f>
        <v>63990583</v>
      </c>
      <c r="C21" s="94">
        <v>103.11</v>
      </c>
      <c r="D21" s="93">
        <f>D22+D23+D24+D25+D26+D27+D31+D32</f>
        <v>62621572.01</v>
      </c>
      <c r="E21" s="95">
        <f aca="true" t="shared" si="7" ref="E21:E40">IF(ISERROR(D21/B21)," ",(D21/B21))*100</f>
        <v>97.86060553628649</v>
      </c>
      <c r="F21" s="101">
        <f>D21-'[13]oktobris'!D21</f>
        <v>4423778.990000002</v>
      </c>
      <c r="H21" s="98" t="s">
        <v>941</v>
      </c>
      <c r="I21" s="96">
        <f>I22+I23+I24+I25+I26+I27+I31+I32</f>
        <v>63990</v>
      </c>
      <c r="J21" s="109">
        <f aca="true" t="shared" si="8" ref="J21:J40">C21</f>
        <v>103.11</v>
      </c>
      <c r="K21" s="96">
        <f>K22+K23+K24+K25+K26+K27+K31+K32</f>
        <v>62622</v>
      </c>
      <c r="L21" s="97">
        <f aca="true" t="shared" si="9" ref="L21:L40">E21</f>
        <v>97.86060553628649</v>
      </c>
      <c r="M21" s="742">
        <f>K21-'[13]oktobris'!K21</f>
        <v>4425</v>
      </c>
      <c r="O21" s="788">
        <f t="shared" si="3"/>
        <v>62622</v>
      </c>
      <c r="P21">
        <v>58197</v>
      </c>
      <c r="Q21" s="813">
        <f t="shared" si="4"/>
        <v>4425</v>
      </c>
      <c r="R21">
        <v>51796</v>
      </c>
      <c r="S21">
        <f t="shared" si="2"/>
        <v>6401</v>
      </c>
    </row>
    <row r="22" spans="1:19" ht="13.5" customHeight="1">
      <c r="A22" s="69" t="s">
        <v>942</v>
      </c>
      <c r="B22" s="99">
        <v>1250000</v>
      </c>
      <c r="C22" s="105">
        <v>438.56</v>
      </c>
      <c r="D22" s="101">
        <v>5473829.49</v>
      </c>
      <c r="E22" s="102">
        <f t="shared" si="7"/>
        <v>437.90635920000005</v>
      </c>
      <c r="F22" s="101">
        <f>D22-'[13]oktobris'!D22</f>
        <v>778.589999999851</v>
      </c>
      <c r="H22" s="67" t="s">
        <v>942</v>
      </c>
      <c r="I22" s="103">
        <f aca="true" t="shared" si="10" ref="I22:I39">ROUND(B22/1000,0)</f>
        <v>1250</v>
      </c>
      <c r="J22" s="805">
        <f t="shared" si="8"/>
        <v>438.56</v>
      </c>
      <c r="K22" s="245">
        <f aca="true" t="shared" si="11" ref="K22:K31">ROUND(D22/1000,0)</f>
        <v>5474</v>
      </c>
      <c r="L22" s="294">
        <f t="shared" si="9"/>
        <v>437.90635920000005</v>
      </c>
      <c r="M22" s="742">
        <f>K22-'[13]oktobris'!K22</f>
        <v>1</v>
      </c>
      <c r="O22" s="788">
        <f t="shared" si="3"/>
        <v>5474</v>
      </c>
      <c r="P22">
        <v>5473</v>
      </c>
      <c r="Q22" s="813">
        <f t="shared" si="4"/>
        <v>1</v>
      </c>
      <c r="R22">
        <v>5476</v>
      </c>
      <c r="S22">
        <f t="shared" si="2"/>
        <v>-3</v>
      </c>
    </row>
    <row r="23" spans="1:19" ht="13.5" customHeight="1">
      <c r="A23" s="114" t="s">
        <v>943</v>
      </c>
      <c r="B23" s="99">
        <v>14528225</v>
      </c>
      <c r="C23" s="105">
        <v>106.21</v>
      </c>
      <c r="D23" s="101">
        <v>14703943.6</v>
      </c>
      <c r="E23" s="102">
        <f t="shared" si="7"/>
        <v>101.20949806325274</v>
      </c>
      <c r="F23" s="101">
        <f>D23-'[13]oktobris'!D23</f>
        <v>704205.5700000003</v>
      </c>
      <c r="H23" s="115" t="s">
        <v>943</v>
      </c>
      <c r="I23" s="103">
        <f t="shared" si="10"/>
        <v>14528</v>
      </c>
      <c r="J23" s="805">
        <f t="shared" si="8"/>
        <v>106.21</v>
      </c>
      <c r="K23" s="245">
        <f t="shared" si="11"/>
        <v>14704</v>
      </c>
      <c r="L23" s="294">
        <f t="shared" si="9"/>
        <v>101.20949806325274</v>
      </c>
      <c r="M23" s="742">
        <f>K23-'[13]oktobris'!K23</f>
        <v>704</v>
      </c>
      <c r="O23" s="788">
        <f t="shared" si="3"/>
        <v>14704</v>
      </c>
      <c r="P23">
        <v>14000</v>
      </c>
      <c r="Q23" s="813">
        <f t="shared" si="4"/>
        <v>704</v>
      </c>
      <c r="R23">
        <v>12207</v>
      </c>
      <c r="S23">
        <f t="shared" si="2"/>
        <v>1793</v>
      </c>
    </row>
    <row r="24" spans="1:19" ht="25.5">
      <c r="A24" s="69" t="s">
        <v>944</v>
      </c>
      <c r="B24" s="99">
        <v>21059195</v>
      </c>
      <c r="C24" s="105">
        <v>83.6</v>
      </c>
      <c r="D24" s="101">
        <v>16831033.27</v>
      </c>
      <c r="E24" s="102">
        <f t="shared" si="7"/>
        <v>79.92249119683824</v>
      </c>
      <c r="F24" s="101">
        <f>D24-'[13]oktobris'!D24</f>
        <v>1636231.2999999989</v>
      </c>
      <c r="H24" s="67" t="s">
        <v>944</v>
      </c>
      <c r="I24" s="103">
        <f t="shared" si="10"/>
        <v>21059</v>
      </c>
      <c r="J24" s="805">
        <f t="shared" si="8"/>
        <v>83.6</v>
      </c>
      <c r="K24" s="245">
        <f t="shared" si="11"/>
        <v>16831</v>
      </c>
      <c r="L24" s="294">
        <f t="shared" si="9"/>
        <v>79.92249119683824</v>
      </c>
      <c r="M24" s="742">
        <f>K24-'[13]oktobris'!K24</f>
        <v>1636</v>
      </c>
      <c r="O24" s="788">
        <f t="shared" si="3"/>
        <v>16831</v>
      </c>
      <c r="P24">
        <v>15195</v>
      </c>
      <c r="Q24" s="813">
        <f t="shared" si="4"/>
        <v>1636</v>
      </c>
      <c r="R24">
        <v>13131</v>
      </c>
      <c r="S24">
        <f t="shared" si="2"/>
        <v>2064</v>
      </c>
    </row>
    <row r="25" spans="1:19" ht="24.75" customHeight="1">
      <c r="A25" s="69" t="s">
        <v>945</v>
      </c>
      <c r="B25" s="99">
        <v>852609</v>
      </c>
      <c r="C25" s="105">
        <v>100.28</v>
      </c>
      <c r="D25" s="101">
        <v>787391.1</v>
      </c>
      <c r="E25" s="102">
        <f t="shared" si="7"/>
        <v>92.35078447447775</v>
      </c>
      <c r="F25" s="101">
        <f>D25-'[13]oktobris'!D25</f>
        <v>88018.28999999992</v>
      </c>
      <c r="H25" s="67" t="s">
        <v>945</v>
      </c>
      <c r="I25" s="103">
        <f t="shared" si="10"/>
        <v>853</v>
      </c>
      <c r="J25" s="805">
        <f t="shared" si="8"/>
        <v>100.28</v>
      </c>
      <c r="K25" s="245">
        <f t="shared" si="11"/>
        <v>787</v>
      </c>
      <c r="L25" s="294">
        <f t="shared" si="9"/>
        <v>92.35078447447775</v>
      </c>
      <c r="M25" s="742">
        <f>K25-'[13]oktobris'!K25</f>
        <v>88</v>
      </c>
      <c r="O25" s="788">
        <f t="shared" si="3"/>
        <v>787</v>
      </c>
      <c r="P25">
        <v>699</v>
      </c>
      <c r="Q25" s="813">
        <f t="shared" si="4"/>
        <v>88</v>
      </c>
      <c r="R25">
        <v>653</v>
      </c>
      <c r="S25">
        <f t="shared" si="2"/>
        <v>46</v>
      </c>
    </row>
    <row r="26" spans="1:19" ht="13.5" customHeight="1">
      <c r="A26" s="69" t="s">
        <v>946</v>
      </c>
      <c r="B26" s="99">
        <v>624000</v>
      </c>
      <c r="C26" s="105">
        <v>68.59</v>
      </c>
      <c r="D26" s="101">
        <v>397834.98</v>
      </c>
      <c r="E26" s="102">
        <f t="shared" si="7"/>
        <v>63.75560576923076</v>
      </c>
      <c r="F26" s="101">
        <f>D26-'[13]oktobris'!D26</f>
        <v>15816.409999999974</v>
      </c>
      <c r="H26" s="67" t="s">
        <v>946</v>
      </c>
      <c r="I26" s="103">
        <f t="shared" si="10"/>
        <v>624</v>
      </c>
      <c r="J26" s="805">
        <f t="shared" si="8"/>
        <v>68.59</v>
      </c>
      <c r="K26" s="245">
        <f t="shared" si="11"/>
        <v>398</v>
      </c>
      <c r="L26" s="294">
        <f t="shared" si="9"/>
        <v>63.75560576923076</v>
      </c>
      <c r="M26" s="742">
        <f>K26-'[13]oktobris'!K26</f>
        <v>16</v>
      </c>
      <c r="O26" s="788">
        <f t="shared" si="3"/>
        <v>398</v>
      </c>
      <c r="P26">
        <v>382</v>
      </c>
      <c r="Q26" s="813">
        <f t="shared" si="4"/>
        <v>16</v>
      </c>
      <c r="R26">
        <v>367</v>
      </c>
      <c r="S26">
        <f t="shared" si="2"/>
        <v>15</v>
      </c>
    </row>
    <row r="27" spans="1:19" ht="13.5" customHeight="1">
      <c r="A27" s="116" t="s">
        <v>947</v>
      </c>
      <c r="B27" s="99">
        <f>3500000</f>
        <v>3500000</v>
      </c>
      <c r="C27" s="105">
        <v>110.6</v>
      </c>
      <c r="D27" s="101">
        <v>3404913.03</v>
      </c>
      <c r="E27" s="102">
        <f t="shared" si="7"/>
        <v>97.28322942857143</v>
      </c>
      <c r="F27" s="101">
        <f>D27-'[13]oktobris'!D27</f>
        <v>235339.97999999998</v>
      </c>
      <c r="H27" s="117" t="s">
        <v>947</v>
      </c>
      <c r="I27" s="103">
        <f t="shared" si="10"/>
        <v>3500</v>
      </c>
      <c r="J27" s="805">
        <f t="shared" si="8"/>
        <v>110.6</v>
      </c>
      <c r="K27" s="245">
        <f t="shared" si="11"/>
        <v>3405</v>
      </c>
      <c r="L27" s="294">
        <f t="shared" si="9"/>
        <v>97.28322942857143</v>
      </c>
      <c r="M27" s="742">
        <f>K27-'[13]oktobris'!K27</f>
        <v>235</v>
      </c>
      <c r="O27" s="788">
        <f t="shared" si="3"/>
        <v>3405</v>
      </c>
      <c r="P27">
        <v>3170</v>
      </c>
      <c r="Q27" s="813">
        <f t="shared" si="4"/>
        <v>235</v>
      </c>
      <c r="R27">
        <v>2822</v>
      </c>
      <c r="S27">
        <f t="shared" si="2"/>
        <v>348</v>
      </c>
    </row>
    <row r="28" spans="1:22" ht="22.5" customHeight="1">
      <c r="A28" s="118" t="s">
        <v>948</v>
      </c>
      <c r="B28" s="99">
        <v>2250000</v>
      </c>
      <c r="C28" s="105">
        <v>101.96</v>
      </c>
      <c r="D28" s="101">
        <v>2176704.98</v>
      </c>
      <c r="E28" s="102">
        <f t="shared" si="7"/>
        <v>96.74244355555555</v>
      </c>
      <c r="F28" s="101">
        <f>D28-'[13]oktobris'!D28</f>
        <v>136398.05000000005</v>
      </c>
      <c r="H28" s="119" t="s">
        <v>948</v>
      </c>
      <c r="I28" s="103">
        <f t="shared" si="10"/>
        <v>2250</v>
      </c>
      <c r="J28" s="805">
        <f t="shared" si="8"/>
        <v>101.96</v>
      </c>
      <c r="K28" s="245">
        <f t="shared" si="11"/>
        <v>2177</v>
      </c>
      <c r="L28" s="294">
        <f t="shared" si="9"/>
        <v>96.74244355555555</v>
      </c>
      <c r="M28" s="742">
        <f>K28-'[13]oktobris'!K28</f>
        <v>137</v>
      </c>
      <c r="O28" s="788">
        <f t="shared" si="3"/>
        <v>2177</v>
      </c>
      <c r="P28">
        <v>2040</v>
      </c>
      <c r="Q28" s="813">
        <f t="shared" si="4"/>
        <v>137</v>
      </c>
      <c r="R28">
        <v>1860</v>
      </c>
      <c r="S28">
        <f t="shared" si="2"/>
        <v>180</v>
      </c>
      <c r="V28" s="660"/>
    </row>
    <row r="29" spans="1:19" ht="15" customHeight="1">
      <c r="A29" s="118" t="s">
        <v>790</v>
      </c>
      <c r="B29" s="120">
        <v>1050000</v>
      </c>
      <c r="C29" s="105">
        <v>51.58</v>
      </c>
      <c r="D29" s="101">
        <v>546055.13</v>
      </c>
      <c r="E29" s="102">
        <f t="shared" si="7"/>
        <v>52.005250476190476</v>
      </c>
      <c r="F29" s="101">
        <f>D29-'[13]oktobris'!D29</f>
        <v>60000</v>
      </c>
      <c r="H29" s="119" t="s">
        <v>791</v>
      </c>
      <c r="I29" s="103">
        <f t="shared" si="10"/>
        <v>1050</v>
      </c>
      <c r="J29" s="805">
        <f t="shared" si="8"/>
        <v>51.58</v>
      </c>
      <c r="K29" s="245">
        <f t="shared" si="11"/>
        <v>546</v>
      </c>
      <c r="L29" s="294">
        <f t="shared" si="9"/>
        <v>52.005250476190476</v>
      </c>
      <c r="M29" s="742">
        <f>K29-'[13]oktobris'!K29</f>
        <v>60</v>
      </c>
      <c r="O29" s="788">
        <f t="shared" si="3"/>
        <v>546</v>
      </c>
      <c r="P29">
        <v>486</v>
      </c>
      <c r="Q29" s="813">
        <f t="shared" si="4"/>
        <v>60</v>
      </c>
      <c r="R29">
        <v>421</v>
      </c>
      <c r="S29">
        <f t="shared" si="2"/>
        <v>65</v>
      </c>
    </row>
    <row r="30" spans="1:19" ht="15.75" customHeight="1">
      <c r="A30" s="118" t="s">
        <v>792</v>
      </c>
      <c r="B30" s="120">
        <v>200000</v>
      </c>
      <c r="C30" s="105">
        <v>152.36</v>
      </c>
      <c r="D30" s="101">
        <v>251545</v>
      </c>
      <c r="E30" s="102">
        <f t="shared" si="7"/>
        <v>125.7725</v>
      </c>
      <c r="F30" s="101">
        <f>D30-'[13]oktobris'!D30</f>
        <v>1830</v>
      </c>
      <c r="H30" s="119" t="s">
        <v>949</v>
      </c>
      <c r="I30" s="103">
        <f t="shared" si="10"/>
        <v>200</v>
      </c>
      <c r="J30" s="805">
        <f t="shared" si="8"/>
        <v>152.36</v>
      </c>
      <c r="K30" s="245">
        <f t="shared" si="11"/>
        <v>252</v>
      </c>
      <c r="L30" s="294">
        <f t="shared" si="9"/>
        <v>125.7725</v>
      </c>
      <c r="M30" s="742">
        <f>K30-'[13]oktobris'!K30</f>
        <v>2</v>
      </c>
      <c r="O30" s="788">
        <f t="shared" si="3"/>
        <v>252</v>
      </c>
      <c r="P30">
        <v>250</v>
      </c>
      <c r="Q30" s="813">
        <f t="shared" si="4"/>
        <v>2</v>
      </c>
      <c r="R30">
        <v>195</v>
      </c>
      <c r="S30">
        <f t="shared" si="2"/>
        <v>55</v>
      </c>
    </row>
    <row r="31" spans="1:19" ht="13.5" customHeight="1">
      <c r="A31" s="60" t="s">
        <v>950</v>
      </c>
      <c r="B31" s="99">
        <v>8594225</v>
      </c>
      <c r="C31" s="105">
        <v>82.69</v>
      </c>
      <c r="D31" s="101">
        <v>6780467.53</v>
      </c>
      <c r="E31" s="102">
        <f t="shared" si="7"/>
        <v>78.89562502727122</v>
      </c>
      <c r="F31" s="101">
        <f>D31-'[13]oktobris'!D31</f>
        <v>644413.6100000003</v>
      </c>
      <c r="H31" s="66" t="s">
        <v>950</v>
      </c>
      <c r="I31" s="103">
        <f t="shared" si="10"/>
        <v>8594</v>
      </c>
      <c r="J31" s="805">
        <f t="shared" si="8"/>
        <v>82.69</v>
      </c>
      <c r="K31" s="245">
        <f t="shared" si="11"/>
        <v>6780</v>
      </c>
      <c r="L31" s="294">
        <f t="shared" si="9"/>
        <v>78.89562502727122</v>
      </c>
      <c r="M31" s="742">
        <f>K31-'[13]oktobris'!K31</f>
        <v>644</v>
      </c>
      <c r="O31" s="788">
        <f t="shared" si="3"/>
        <v>6780</v>
      </c>
      <c r="P31">
        <v>6136</v>
      </c>
      <c r="Q31" s="813">
        <f t="shared" si="4"/>
        <v>644</v>
      </c>
      <c r="R31">
        <v>5459</v>
      </c>
      <c r="S31">
        <f t="shared" si="2"/>
        <v>677</v>
      </c>
    </row>
    <row r="32" spans="1:19" ht="13.5" customHeight="1">
      <c r="A32" s="60" t="s">
        <v>951</v>
      </c>
      <c r="B32" s="99">
        <v>13582329</v>
      </c>
      <c r="C32" s="105">
        <v>111.92</v>
      </c>
      <c r="D32" s="101">
        <v>14242159.01</v>
      </c>
      <c r="E32" s="102">
        <f t="shared" si="7"/>
        <v>104.85800343961628</v>
      </c>
      <c r="F32" s="101">
        <f>D32-'[13]oktobris'!D32</f>
        <v>1098975.2400000002</v>
      </c>
      <c r="H32" s="66" t="s">
        <v>951</v>
      </c>
      <c r="I32" s="103">
        <f t="shared" si="10"/>
        <v>13582</v>
      </c>
      <c r="J32" s="805">
        <f t="shared" si="8"/>
        <v>111.92</v>
      </c>
      <c r="K32" s="245">
        <f>ROUND(D32/1000,0)+1</f>
        <v>14243</v>
      </c>
      <c r="L32" s="294">
        <f t="shared" si="9"/>
        <v>104.85800343961628</v>
      </c>
      <c r="M32" s="742">
        <f>K32-'[13]oktobris'!K32</f>
        <v>1101</v>
      </c>
      <c r="O32" s="788">
        <f t="shared" si="3"/>
        <v>14243</v>
      </c>
      <c r="P32">
        <v>13142</v>
      </c>
      <c r="Q32" s="813">
        <f t="shared" si="4"/>
        <v>1101</v>
      </c>
      <c r="R32">
        <v>11681</v>
      </c>
      <c r="S32">
        <f t="shared" si="2"/>
        <v>1461</v>
      </c>
    </row>
    <row r="33" spans="1:19" ht="27.75" customHeight="1">
      <c r="A33" s="121" t="s">
        <v>793</v>
      </c>
      <c r="B33" s="99">
        <v>1201200</v>
      </c>
      <c r="C33" s="105">
        <v>99.99</v>
      </c>
      <c r="D33" s="101">
        <v>1101100</v>
      </c>
      <c r="E33" s="102">
        <f t="shared" si="7"/>
        <v>91.66666666666666</v>
      </c>
      <c r="F33" s="101">
        <f>D33-'[13]oktobris'!D33</f>
        <v>100100</v>
      </c>
      <c r="H33" s="122" t="s">
        <v>952</v>
      </c>
      <c r="I33" s="103">
        <f t="shared" si="10"/>
        <v>1201</v>
      </c>
      <c r="J33" s="805">
        <f t="shared" si="8"/>
        <v>99.99</v>
      </c>
      <c r="K33" s="245">
        <f>ROUND(D33/1000,0)</f>
        <v>1101</v>
      </c>
      <c r="L33" s="294">
        <f t="shared" si="9"/>
        <v>91.66666666666666</v>
      </c>
      <c r="M33" s="742">
        <f>K33-'[13]oktobris'!K33</f>
        <v>100</v>
      </c>
      <c r="O33" s="788">
        <f t="shared" si="3"/>
        <v>1101</v>
      </c>
      <c r="P33">
        <v>1001</v>
      </c>
      <c r="Q33" s="813">
        <f t="shared" si="4"/>
        <v>100</v>
      </c>
      <c r="R33">
        <v>901</v>
      </c>
      <c r="S33">
        <f t="shared" si="2"/>
        <v>100</v>
      </c>
    </row>
    <row r="34" spans="1:19" ht="12.75">
      <c r="A34" s="123" t="s">
        <v>794</v>
      </c>
      <c r="B34" s="99">
        <v>8136610</v>
      </c>
      <c r="C34" s="105">
        <v>100</v>
      </c>
      <c r="D34" s="101">
        <v>7458000</v>
      </c>
      <c r="E34" s="102">
        <f t="shared" si="7"/>
        <v>91.65979443527465</v>
      </c>
      <c r="F34" s="101">
        <f>D34-'[13]oktobris'!D34</f>
        <v>678000</v>
      </c>
      <c r="H34" s="124" t="s">
        <v>953</v>
      </c>
      <c r="I34" s="103">
        <f t="shared" si="10"/>
        <v>8137</v>
      </c>
      <c r="J34" s="805">
        <f t="shared" si="8"/>
        <v>100</v>
      </c>
      <c r="K34" s="245">
        <f>ROUND(D34/1000,0)</f>
        <v>7458</v>
      </c>
      <c r="L34" s="294">
        <f t="shared" si="9"/>
        <v>91.65979443527465</v>
      </c>
      <c r="M34" s="742">
        <f>K34-'[13]oktobris'!K34</f>
        <v>678</v>
      </c>
      <c r="O34" s="788">
        <f t="shared" si="3"/>
        <v>7458</v>
      </c>
      <c r="P34">
        <v>6780</v>
      </c>
      <c r="Q34" s="813">
        <f t="shared" si="4"/>
        <v>678</v>
      </c>
      <c r="R34">
        <v>6102</v>
      </c>
      <c r="S34">
        <f t="shared" si="2"/>
        <v>678</v>
      </c>
    </row>
    <row r="35" spans="1:19" ht="12.75">
      <c r="A35" s="123" t="s">
        <v>795</v>
      </c>
      <c r="B35" s="99">
        <v>239519</v>
      </c>
      <c r="C35" s="105">
        <v>89.98</v>
      </c>
      <c r="D35" s="101">
        <v>201449</v>
      </c>
      <c r="E35" s="102">
        <f t="shared" si="7"/>
        <v>84.1056450636484</v>
      </c>
      <c r="F35" s="101">
        <f>D35-'[13]oktobris'!D35</f>
        <v>0</v>
      </c>
      <c r="H35" s="124" t="s">
        <v>954</v>
      </c>
      <c r="I35" s="103">
        <f t="shared" si="10"/>
        <v>240</v>
      </c>
      <c r="J35" s="805">
        <f t="shared" si="8"/>
        <v>89.98</v>
      </c>
      <c r="K35" s="245">
        <f>ROUND(D35/1000,0)</f>
        <v>201</v>
      </c>
      <c r="L35" s="294">
        <f t="shared" si="9"/>
        <v>84.1056450636484</v>
      </c>
      <c r="M35" s="742">
        <f>K35-'[13]oktobris'!K35</f>
        <v>0</v>
      </c>
      <c r="O35" s="788">
        <f t="shared" si="3"/>
        <v>201</v>
      </c>
      <c r="P35">
        <v>201</v>
      </c>
      <c r="Q35" s="813">
        <f t="shared" si="4"/>
        <v>0</v>
      </c>
      <c r="R35">
        <v>161</v>
      </c>
      <c r="S35">
        <f t="shared" si="2"/>
        <v>40</v>
      </c>
    </row>
    <row r="36" spans="1:19" ht="27.75" customHeight="1">
      <c r="A36" s="118" t="s">
        <v>796</v>
      </c>
      <c r="B36" s="99">
        <v>100000</v>
      </c>
      <c r="C36" s="105">
        <v>100</v>
      </c>
      <c r="D36" s="101">
        <v>100000</v>
      </c>
      <c r="E36" s="102">
        <f t="shared" si="7"/>
        <v>100</v>
      </c>
      <c r="F36" s="101">
        <f>D36-'[13]oktobris'!D36</f>
        <v>0</v>
      </c>
      <c r="H36" s="119" t="s">
        <v>955</v>
      </c>
      <c r="I36" s="103">
        <f t="shared" si="10"/>
        <v>100</v>
      </c>
      <c r="J36" s="805">
        <f t="shared" si="8"/>
        <v>100</v>
      </c>
      <c r="K36" s="245">
        <f>ROUND(D36/1000,0)</f>
        <v>100</v>
      </c>
      <c r="L36" s="294">
        <f t="shared" si="9"/>
        <v>100</v>
      </c>
      <c r="M36" s="742">
        <f>K36-'[13]oktobris'!K36</f>
        <v>0</v>
      </c>
      <c r="O36" s="788">
        <f t="shared" si="3"/>
        <v>100</v>
      </c>
      <c r="P36">
        <v>100</v>
      </c>
      <c r="Q36" s="813">
        <f t="shared" si="4"/>
        <v>0</v>
      </c>
      <c r="R36">
        <v>100</v>
      </c>
      <c r="S36">
        <f t="shared" si="2"/>
        <v>0</v>
      </c>
    </row>
    <row r="37" spans="1:19" ht="23.25" customHeight="1">
      <c r="A37" s="114" t="s">
        <v>797</v>
      </c>
      <c r="B37" s="125">
        <v>180000</v>
      </c>
      <c r="C37" s="105">
        <v>100</v>
      </c>
      <c r="D37" s="101">
        <v>90000</v>
      </c>
      <c r="E37" s="102">
        <f t="shared" si="7"/>
        <v>50</v>
      </c>
      <c r="F37" s="101">
        <f>D37-'[13]oktobris'!D37</f>
        <v>0</v>
      </c>
      <c r="H37" s="114" t="s">
        <v>797</v>
      </c>
      <c r="I37" s="103">
        <f t="shared" si="10"/>
        <v>180</v>
      </c>
      <c r="J37" s="805">
        <f t="shared" si="8"/>
        <v>100</v>
      </c>
      <c r="K37" s="245">
        <f>ROUND(D37/1000,0)</f>
        <v>90</v>
      </c>
      <c r="L37" s="294">
        <f t="shared" si="9"/>
        <v>50</v>
      </c>
      <c r="M37" s="742">
        <f>K37-'[13]oktobris'!K37</f>
        <v>0</v>
      </c>
      <c r="O37" s="788">
        <f t="shared" si="3"/>
        <v>90</v>
      </c>
      <c r="P37">
        <v>90</v>
      </c>
      <c r="Q37" s="813">
        <f t="shared" si="4"/>
        <v>0</v>
      </c>
      <c r="R37">
        <v>90</v>
      </c>
      <c r="S37">
        <f t="shared" si="2"/>
        <v>0</v>
      </c>
    </row>
    <row r="38" spans="1:19" ht="12.75">
      <c r="A38" s="126" t="s">
        <v>956</v>
      </c>
      <c r="B38" s="127">
        <v>65086359</v>
      </c>
      <c r="C38" s="128">
        <v>92.73</v>
      </c>
      <c r="D38" s="127">
        <f>D39</f>
        <v>56544440.1</v>
      </c>
      <c r="E38" s="95">
        <f t="shared" si="7"/>
        <v>86.87602282376865</v>
      </c>
      <c r="F38" s="101">
        <f>D38-'[13]oktobris'!D38</f>
        <v>4618575.840000004</v>
      </c>
      <c r="H38" s="126" t="s">
        <v>313</v>
      </c>
      <c r="I38" s="96">
        <f t="shared" si="10"/>
        <v>65086</v>
      </c>
      <c r="J38" s="109">
        <f t="shared" si="8"/>
        <v>92.73</v>
      </c>
      <c r="K38" s="96">
        <f>K39</f>
        <v>56545</v>
      </c>
      <c r="L38" s="97">
        <f t="shared" si="9"/>
        <v>86.87602282376865</v>
      </c>
      <c r="M38" s="742">
        <f>K38-'[13]oktobris'!K38</f>
        <v>4619</v>
      </c>
      <c r="O38" s="788">
        <f t="shared" si="3"/>
        <v>56545</v>
      </c>
      <c r="P38">
        <v>51926</v>
      </c>
      <c r="Q38" s="813">
        <f t="shared" si="4"/>
        <v>4619</v>
      </c>
      <c r="R38">
        <v>45830</v>
      </c>
      <c r="S38">
        <f t="shared" si="2"/>
        <v>6096</v>
      </c>
    </row>
    <row r="39" spans="1:19" ht="25.5">
      <c r="A39" s="129" t="s">
        <v>957</v>
      </c>
      <c r="B39" s="99">
        <v>65086359</v>
      </c>
      <c r="C39" s="105">
        <v>92.73</v>
      </c>
      <c r="D39" s="101">
        <v>56544440.1</v>
      </c>
      <c r="E39" s="102">
        <f t="shared" si="7"/>
        <v>86.87602282376865</v>
      </c>
      <c r="F39" s="101">
        <f>D39-'[13]oktobris'!D39</f>
        <v>4618575.840000004</v>
      </c>
      <c r="H39" s="130" t="s">
        <v>957</v>
      </c>
      <c r="I39" s="103">
        <f t="shared" si="10"/>
        <v>65086</v>
      </c>
      <c r="J39" s="805">
        <f t="shared" si="8"/>
        <v>92.73</v>
      </c>
      <c r="K39" s="245">
        <f>ROUND(D39/1000,0)+1</f>
        <v>56545</v>
      </c>
      <c r="L39" s="294">
        <f t="shared" si="9"/>
        <v>86.87602282376865</v>
      </c>
      <c r="M39" s="742">
        <f>K39-'[13]oktobris'!K39</f>
        <v>4619</v>
      </c>
      <c r="O39" s="788">
        <f t="shared" si="3"/>
        <v>56545</v>
      </c>
      <c r="P39">
        <v>51926</v>
      </c>
      <c r="Q39" s="813">
        <f t="shared" si="4"/>
        <v>4619</v>
      </c>
      <c r="R39">
        <v>45830</v>
      </c>
      <c r="S39">
        <f t="shared" si="2"/>
        <v>6096</v>
      </c>
    </row>
    <row r="40" spans="1:19" ht="12.75">
      <c r="A40" s="126" t="s">
        <v>958</v>
      </c>
      <c r="B40" s="127">
        <v>52377182</v>
      </c>
      <c r="C40" s="128">
        <v>51.25</v>
      </c>
      <c r="D40" s="110">
        <v>25102889.08</v>
      </c>
      <c r="E40" s="95">
        <f t="shared" si="7"/>
        <v>47.92714713059591</v>
      </c>
      <c r="F40" s="101">
        <f>D40-'[13]oktobris'!D40</f>
        <v>1861120.8099999987</v>
      </c>
      <c r="H40" s="126" t="s">
        <v>314</v>
      </c>
      <c r="I40" s="96">
        <f>ROUND(B40/1000,0)</f>
        <v>52377</v>
      </c>
      <c r="J40" s="109">
        <f t="shared" si="8"/>
        <v>51.25</v>
      </c>
      <c r="K40" s="96">
        <f>ROUND(D40/1000,0)</f>
        <v>25103</v>
      </c>
      <c r="L40" s="97">
        <f t="shared" si="9"/>
        <v>47.92714713059591</v>
      </c>
      <c r="M40" s="742">
        <f>K40-'[13]oktobris'!K40</f>
        <v>1861</v>
      </c>
      <c r="O40" s="788">
        <f t="shared" si="3"/>
        <v>25103</v>
      </c>
      <c r="P40">
        <v>23242</v>
      </c>
      <c r="Q40" s="813">
        <f t="shared" si="4"/>
        <v>1861</v>
      </c>
      <c r="R40">
        <v>17069</v>
      </c>
      <c r="S40">
        <f t="shared" si="2"/>
        <v>6173</v>
      </c>
    </row>
    <row r="41" spans="1:13" ht="17.25" customHeight="1">
      <c r="A41" s="131"/>
      <c r="B41" s="132"/>
      <c r="C41" s="133"/>
      <c r="D41" s="133"/>
      <c r="E41" s="133"/>
      <c r="F41" s="134"/>
      <c r="H41" s="203" t="s">
        <v>315</v>
      </c>
      <c r="I41" s="205"/>
      <c r="J41" s="89"/>
      <c r="K41" s="1"/>
      <c r="L41" s="133"/>
      <c r="M41" s="133"/>
    </row>
    <row r="42" spans="1:13" ht="17.25" customHeight="1">
      <c r="A42" s="135"/>
      <c r="B42" s="136"/>
      <c r="C42" s="133"/>
      <c r="D42" s="133"/>
      <c r="E42" s="133"/>
      <c r="F42" s="133"/>
      <c r="H42" s="135"/>
      <c r="I42" s="136"/>
      <c r="J42" s="133"/>
      <c r="K42" s="133"/>
      <c r="L42" s="133"/>
      <c r="M42" s="133"/>
    </row>
    <row r="43" spans="1:12" ht="15" customHeight="1">
      <c r="A43" s="41" t="s">
        <v>798</v>
      </c>
      <c r="B43" s="39"/>
      <c r="C43" s="39"/>
      <c r="D43" s="39" t="s">
        <v>799</v>
      </c>
      <c r="E43" s="1"/>
      <c r="H43" s="137" t="s">
        <v>546</v>
      </c>
      <c r="I43" s="6"/>
      <c r="J43" s="6"/>
      <c r="L43" s="6" t="s">
        <v>959</v>
      </c>
    </row>
    <row r="45" spans="8:12" ht="14.25" customHeight="1">
      <c r="H45" s="1" t="s">
        <v>960</v>
      </c>
      <c r="I45" s="39"/>
      <c r="J45" s="39"/>
      <c r="K45" s="39"/>
      <c r="L45" s="1"/>
    </row>
    <row r="46" ht="15" customHeight="1">
      <c r="H46" s="1" t="s">
        <v>316</v>
      </c>
    </row>
    <row r="47" ht="12.75" customHeight="1"/>
    <row r="48" ht="15.75" customHeight="1"/>
    <row r="49" ht="15" customHeight="1"/>
    <row r="52" ht="17.25" customHeight="1">
      <c r="H52" s="1"/>
    </row>
    <row r="53" ht="17.25" customHeight="1">
      <c r="H53" s="1"/>
    </row>
    <row r="55" ht="15.75" customHeight="1"/>
    <row r="56" ht="15.75" customHeight="1"/>
  </sheetData>
  <mergeCells count="6">
    <mergeCell ref="A5:E5"/>
    <mergeCell ref="H5:L5"/>
    <mergeCell ref="A2:F2"/>
    <mergeCell ref="H2:M2"/>
    <mergeCell ref="A4:F4"/>
    <mergeCell ref="H4:M4"/>
  </mergeCells>
  <printOptions/>
  <pageMargins left="0.75" right="0.27" top="1" bottom="1" header="0.5" footer="0.5"/>
  <pageSetup firstPageNumber="7" useFirstPageNumber="1" horizontalDpi="600" verticalDpi="600" orientation="portrait" paperSize="9" scale="93" r:id="rId1"/>
  <headerFooter alignWithMargins="0">
    <oddFooter>&amp;R&amp;9&amp;P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EQ39"/>
  <sheetViews>
    <sheetView workbookViewId="0" topLeftCell="F3">
      <selection activeCell="F7" sqref="F7"/>
    </sheetView>
  </sheetViews>
  <sheetFormatPr defaultColWidth="9.140625" defaultRowHeight="17.25" customHeight="1"/>
  <cols>
    <col min="1" max="1" width="34.28125" style="0" hidden="1" customWidth="1"/>
    <col min="2" max="3" width="12.7109375" style="0" hidden="1" customWidth="1"/>
    <col min="4" max="4" width="5.57421875" style="0" hidden="1" customWidth="1"/>
    <col min="5" max="5" width="12.140625" style="0" hidden="1" customWidth="1"/>
    <col min="6" max="6" width="37.7109375" style="0" customWidth="1"/>
    <col min="7" max="7" width="12.140625" style="0" customWidth="1"/>
    <col min="8" max="8" width="10.7109375" style="0" customWidth="1"/>
    <col min="9" max="9" width="9.8515625" style="0" customWidth="1"/>
    <col min="10" max="10" width="10.28125" style="0" customWidth="1"/>
    <col min="148" max="16384" width="9.140625" style="49" customWidth="1"/>
  </cols>
  <sheetData>
    <row r="1" spans="1:10" ht="12.75">
      <c r="A1" s="49"/>
      <c r="B1" s="50"/>
      <c r="C1" s="49"/>
      <c r="E1" s="271"/>
      <c r="F1" s="49"/>
      <c r="G1" s="50"/>
      <c r="H1" s="49"/>
      <c r="J1" s="271" t="s">
        <v>679</v>
      </c>
    </row>
    <row r="2" spans="1:10" ht="12.75">
      <c r="A2" s="49"/>
      <c r="B2" s="50"/>
      <c r="C2" s="49"/>
      <c r="E2" s="271"/>
      <c r="F2" s="49"/>
      <c r="G2" s="50"/>
      <c r="H2" s="49"/>
      <c r="J2" s="271"/>
    </row>
    <row r="3" spans="1:10" ht="12.75">
      <c r="A3" s="855" t="s">
        <v>926</v>
      </c>
      <c r="B3" s="855"/>
      <c r="C3" s="855"/>
      <c r="D3" s="855"/>
      <c r="E3" s="855"/>
      <c r="F3" s="855" t="s">
        <v>926</v>
      </c>
      <c r="G3" s="855"/>
      <c r="H3" s="855"/>
      <c r="I3" s="855"/>
      <c r="J3" s="855"/>
    </row>
    <row r="4" spans="1:10" ht="12.75">
      <c r="A4" s="49"/>
      <c r="B4" s="50"/>
      <c r="C4" s="49"/>
      <c r="E4" s="271"/>
      <c r="F4" s="49"/>
      <c r="G4" s="50"/>
      <c r="H4" s="49"/>
      <c r="J4" s="271"/>
    </row>
    <row r="5" spans="1:10" ht="45" customHeight="1">
      <c r="A5" s="913" t="s">
        <v>680</v>
      </c>
      <c r="B5" s="913"/>
      <c r="C5" s="913"/>
      <c r="D5" s="913"/>
      <c r="E5" s="913"/>
      <c r="F5" s="913" t="s">
        <v>353</v>
      </c>
      <c r="G5" s="913"/>
      <c r="H5" s="913"/>
      <c r="I5" s="913"/>
      <c r="J5" s="913"/>
    </row>
    <row r="6" spans="1:10" ht="17.25" customHeight="1">
      <c r="A6" s="53"/>
      <c r="B6" s="52"/>
      <c r="C6" s="51"/>
      <c r="D6" s="38"/>
      <c r="E6" s="2" t="s">
        <v>252</v>
      </c>
      <c r="F6" s="53"/>
      <c r="G6" s="52"/>
      <c r="H6" s="51"/>
      <c r="I6" s="38"/>
      <c r="J6" s="2" t="s">
        <v>842</v>
      </c>
    </row>
    <row r="7" spans="1:10" ht="50.25" customHeight="1">
      <c r="A7" s="9" t="s">
        <v>738</v>
      </c>
      <c r="B7" s="54" t="s">
        <v>843</v>
      </c>
      <c r="C7" s="9" t="s">
        <v>844</v>
      </c>
      <c r="D7" s="9" t="s">
        <v>681</v>
      </c>
      <c r="E7" s="9" t="s">
        <v>1046</v>
      </c>
      <c r="F7" s="9" t="s">
        <v>738</v>
      </c>
      <c r="G7" s="54" t="s">
        <v>843</v>
      </c>
      <c r="H7" s="9" t="s">
        <v>844</v>
      </c>
      <c r="I7" s="9" t="s">
        <v>681</v>
      </c>
      <c r="J7" s="9" t="s">
        <v>310</v>
      </c>
    </row>
    <row r="8" spans="1:10" ht="12.75">
      <c r="A8" s="9">
        <v>1</v>
      </c>
      <c r="B8" s="54">
        <v>2</v>
      </c>
      <c r="C8" s="54">
        <v>4</v>
      </c>
      <c r="D8" s="54">
        <v>5</v>
      </c>
      <c r="E8" s="54">
        <v>7</v>
      </c>
      <c r="F8" s="9">
        <v>1</v>
      </c>
      <c r="G8" s="54">
        <v>2</v>
      </c>
      <c r="H8" s="54">
        <v>4</v>
      </c>
      <c r="I8" s="54">
        <v>5</v>
      </c>
      <c r="J8" s="54">
        <v>7</v>
      </c>
    </row>
    <row r="9" spans="1:147" s="646" customFormat="1" ht="15.75">
      <c r="A9" s="645" t="s">
        <v>682</v>
      </c>
      <c r="B9" s="646">
        <f>B10+B11+B14+B19+B21+B23+B30</f>
        <v>55211790</v>
      </c>
      <c r="C9" s="646">
        <f>C10+C11+C14+C19+C21+C23+C30</f>
        <v>49141245</v>
      </c>
      <c r="D9" s="647">
        <f aca="true" t="shared" si="0" ref="D9:D30">C9/B9*100</f>
        <v>89.00498426151371</v>
      </c>
      <c r="E9" s="646">
        <f>C9-'[26]Oktobris'!C9</f>
        <v>4998104</v>
      </c>
      <c r="F9" s="830" t="s">
        <v>469</v>
      </c>
      <c r="G9" s="831">
        <f>G10+G11+G14+G19+G21+G23+G30</f>
        <v>55212</v>
      </c>
      <c r="H9" s="831">
        <f>H10+H11+H14+H19+H21+H23+H30</f>
        <v>49141</v>
      </c>
      <c r="I9" s="832">
        <f aca="true" t="shared" si="1" ref="I9:I30">H9/G9*100</f>
        <v>89.00420198507571</v>
      </c>
      <c r="J9" s="831">
        <f>H9-'[26]Oktobris'!H9</f>
        <v>4998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</row>
    <row r="10" spans="1:10" ht="12.75">
      <c r="A10" s="32" t="s">
        <v>987</v>
      </c>
      <c r="B10" s="57">
        <v>48424727</v>
      </c>
      <c r="C10" s="57">
        <v>42792780</v>
      </c>
      <c r="D10" s="192">
        <f t="shared" si="0"/>
        <v>88.36968765977761</v>
      </c>
      <c r="E10" s="57">
        <f>C10-'[26]Oktobris'!C10</f>
        <v>4458617</v>
      </c>
      <c r="F10" s="32" t="s">
        <v>987</v>
      </c>
      <c r="G10" s="57">
        <f>ROUND(B10/1000,0)</f>
        <v>48425</v>
      </c>
      <c r="H10" s="57">
        <f>ROUND(C10/1000,0)</f>
        <v>42793</v>
      </c>
      <c r="I10" s="192">
        <f t="shared" si="1"/>
        <v>88.36964377903975</v>
      </c>
      <c r="J10" s="57">
        <f>H10-'[26]Oktobris'!H10</f>
        <v>4459</v>
      </c>
    </row>
    <row r="11" spans="1:10" ht="12.75">
      <c r="A11" s="32" t="s">
        <v>683</v>
      </c>
      <c r="B11" s="57">
        <f>SUM(B12:B13)</f>
        <v>223133</v>
      </c>
      <c r="C11" s="57">
        <f>SUM(C12:C13)</f>
        <v>295083</v>
      </c>
      <c r="D11" s="192">
        <f t="shared" si="0"/>
        <v>132.24534246391167</v>
      </c>
      <c r="E11" s="57">
        <f>C11-'[26]Oktobris'!C11</f>
        <v>25916</v>
      </c>
      <c r="F11" s="32" t="s">
        <v>683</v>
      </c>
      <c r="G11" s="57">
        <f>SUM(G12:G13)</f>
        <v>223</v>
      </c>
      <c r="H11" s="57">
        <f>SUM(H12:H13)</f>
        <v>295</v>
      </c>
      <c r="I11" s="192">
        <f t="shared" si="1"/>
        <v>132.28699551569508</v>
      </c>
      <c r="J11" s="57">
        <f>H11-'[26]Oktobris'!H11</f>
        <v>26</v>
      </c>
    </row>
    <row r="12" spans="1:147" s="1" customFormat="1" ht="12.75">
      <c r="A12" s="66" t="s">
        <v>684</v>
      </c>
      <c r="B12" s="63">
        <v>61755</v>
      </c>
      <c r="C12" s="63">
        <v>54868</v>
      </c>
      <c r="D12" s="181">
        <f t="shared" si="0"/>
        <v>88.84786656950854</v>
      </c>
      <c r="E12" s="63">
        <f>C12-'[26]Oktobris'!C12</f>
        <v>6416</v>
      </c>
      <c r="F12" s="66" t="s">
        <v>684</v>
      </c>
      <c r="G12" s="63">
        <f>ROUND(B12/1000,0)</f>
        <v>62</v>
      </c>
      <c r="H12" s="63">
        <f>ROUND(C12/1000,0)</f>
        <v>55</v>
      </c>
      <c r="I12" s="181">
        <f t="shared" si="1"/>
        <v>88.70967741935483</v>
      </c>
      <c r="J12" s="63">
        <f>H12-'[26]Oktobris'!H12</f>
        <v>7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</row>
    <row r="13" spans="1:147" s="1" customFormat="1" ht="12.75">
      <c r="A13" s="66" t="s">
        <v>685</v>
      </c>
      <c r="B13" s="63">
        <v>161378</v>
      </c>
      <c r="C13" s="63">
        <v>240215</v>
      </c>
      <c r="D13" s="181">
        <f t="shared" si="0"/>
        <v>148.8523838441423</v>
      </c>
      <c r="E13" s="63">
        <f>C13-'[26]Oktobris'!C13</f>
        <v>19500</v>
      </c>
      <c r="F13" s="66" t="s">
        <v>685</v>
      </c>
      <c r="G13" s="63">
        <f>ROUND(B13/1000,0)</f>
        <v>161</v>
      </c>
      <c r="H13" s="63">
        <f>ROUND(C13/1000,0)</f>
        <v>240</v>
      </c>
      <c r="I13" s="181">
        <f t="shared" si="1"/>
        <v>149.06832298136646</v>
      </c>
      <c r="J13" s="63">
        <f>H13-'[26]Oktobris'!H13</f>
        <v>19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</row>
    <row r="14" spans="1:10" ht="17.25" customHeight="1">
      <c r="A14" s="32" t="s">
        <v>989</v>
      </c>
      <c r="B14" s="57">
        <f>SUM(B15:B18)</f>
        <v>1105085</v>
      </c>
      <c r="C14" s="57">
        <f>SUM(C15:C18)</f>
        <v>962407</v>
      </c>
      <c r="D14" s="192">
        <f t="shared" si="0"/>
        <v>87.08895695806204</v>
      </c>
      <c r="E14" s="57">
        <f>C14-'[26]Oktobris'!C14</f>
        <v>136099</v>
      </c>
      <c r="F14" s="32" t="s">
        <v>989</v>
      </c>
      <c r="G14" s="57">
        <f>SUM(G15:G18)</f>
        <v>1105</v>
      </c>
      <c r="H14" s="57">
        <f>SUM(H15:H18)</f>
        <v>962</v>
      </c>
      <c r="I14" s="192">
        <f t="shared" si="1"/>
        <v>87.05882352941177</v>
      </c>
      <c r="J14" s="57">
        <f>H14-'[26]Oktobris'!H14</f>
        <v>136</v>
      </c>
    </row>
    <row r="15" spans="1:147" s="1" customFormat="1" ht="24">
      <c r="A15" s="67" t="s">
        <v>686</v>
      </c>
      <c r="B15" s="63">
        <v>167030</v>
      </c>
      <c r="C15" s="63">
        <v>137250</v>
      </c>
      <c r="D15" s="181">
        <f t="shared" si="0"/>
        <v>82.17086750883075</v>
      </c>
      <c r="E15" s="63">
        <f>C15-'[26]Oktobris'!C15</f>
        <v>19390</v>
      </c>
      <c r="F15" s="67" t="s">
        <v>686</v>
      </c>
      <c r="G15" s="63">
        <f aca="true" t="shared" si="2" ref="G15:H18">ROUND(B15/1000,0)</f>
        <v>167</v>
      </c>
      <c r="H15" s="63">
        <f>ROUND(C15/1000,0)</f>
        <v>137</v>
      </c>
      <c r="I15" s="181">
        <f t="shared" si="1"/>
        <v>82.03592814371258</v>
      </c>
      <c r="J15" s="63">
        <f>H15-'[26]Oktobris'!H15</f>
        <v>19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</row>
    <row r="16" spans="1:147" s="1" customFormat="1" ht="24">
      <c r="A16" s="67" t="s">
        <v>687</v>
      </c>
      <c r="B16" s="63">
        <v>265000</v>
      </c>
      <c r="C16" s="63">
        <v>163157</v>
      </c>
      <c r="D16" s="181">
        <f t="shared" si="0"/>
        <v>61.56867924528302</v>
      </c>
      <c r="E16" s="63">
        <f>C16-'[26]Oktobris'!C16</f>
        <v>104709</v>
      </c>
      <c r="F16" s="67" t="s">
        <v>687</v>
      </c>
      <c r="G16" s="63">
        <f t="shared" si="2"/>
        <v>265</v>
      </c>
      <c r="H16" s="179">
        <f t="shared" si="2"/>
        <v>163</v>
      </c>
      <c r="I16" s="181">
        <f t="shared" si="1"/>
        <v>61.50943396226415</v>
      </c>
      <c r="J16" s="179">
        <f>H16-'[26]Oktobris'!H16</f>
        <v>105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</row>
    <row r="17" spans="1:147" s="1" customFormat="1" ht="12.75">
      <c r="A17" s="66" t="s">
        <v>688</v>
      </c>
      <c r="B17" s="63">
        <v>530000</v>
      </c>
      <c r="C17" s="63">
        <v>530000</v>
      </c>
      <c r="D17" s="181">
        <f t="shared" si="0"/>
        <v>100</v>
      </c>
      <c r="E17" s="63">
        <f>C17-'[26]Oktobris'!C17</f>
        <v>0</v>
      </c>
      <c r="F17" s="66" t="s">
        <v>688</v>
      </c>
      <c r="G17" s="63">
        <f t="shared" si="2"/>
        <v>530</v>
      </c>
      <c r="H17" s="63">
        <f t="shared" si="2"/>
        <v>530</v>
      </c>
      <c r="I17" s="181">
        <f t="shared" si="1"/>
        <v>100</v>
      </c>
      <c r="J17" s="63">
        <f>H17-'[26]Oktobris'!H17</f>
        <v>0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</row>
    <row r="18" spans="1:147" s="1" customFormat="1" ht="24">
      <c r="A18" s="67" t="s">
        <v>689</v>
      </c>
      <c r="B18" s="63">
        <v>143055</v>
      </c>
      <c r="C18" s="63">
        <v>132000</v>
      </c>
      <c r="D18" s="181">
        <f t="shared" si="0"/>
        <v>92.2722029988466</v>
      </c>
      <c r="E18" s="63">
        <f>C18-'[26]Oktobris'!C18</f>
        <v>12000</v>
      </c>
      <c r="F18" s="67" t="s">
        <v>689</v>
      </c>
      <c r="G18" s="63">
        <f t="shared" si="2"/>
        <v>143</v>
      </c>
      <c r="H18" s="63">
        <f t="shared" si="2"/>
        <v>132</v>
      </c>
      <c r="I18" s="181">
        <f t="shared" si="1"/>
        <v>92.3076923076923</v>
      </c>
      <c r="J18" s="63">
        <f>H18-'[26]Oktobris'!H18</f>
        <v>12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</row>
    <row r="19" spans="1:10" ht="12.75">
      <c r="A19" s="32" t="s">
        <v>1011</v>
      </c>
      <c r="B19" s="57">
        <f>SUM(B20)</f>
        <v>347522</v>
      </c>
      <c r="C19" s="57">
        <f>SUM(C20)</f>
        <v>330917</v>
      </c>
      <c r="D19" s="192">
        <f t="shared" si="0"/>
        <v>95.2218852331651</v>
      </c>
      <c r="E19" s="57">
        <f>C19-'[26]Oktobris'!C19</f>
        <v>39680</v>
      </c>
      <c r="F19" s="32" t="s">
        <v>1011</v>
      </c>
      <c r="G19" s="57">
        <f>SUM(G20)</f>
        <v>348</v>
      </c>
      <c r="H19" s="174">
        <f>SUM(H20)</f>
        <v>331</v>
      </c>
      <c r="I19" s="192">
        <f t="shared" si="1"/>
        <v>95.11494252873564</v>
      </c>
      <c r="J19" s="174">
        <f>H19-'[26]Oktobris'!H19</f>
        <v>40</v>
      </c>
    </row>
    <row r="20" spans="1:147" s="1" customFormat="1" ht="12.75">
      <c r="A20" s="66" t="s">
        <v>690</v>
      </c>
      <c r="B20" s="63">
        <v>347522</v>
      </c>
      <c r="C20" s="63">
        <v>330917</v>
      </c>
      <c r="D20" s="181">
        <f t="shared" si="0"/>
        <v>95.2218852331651</v>
      </c>
      <c r="E20" s="63">
        <f>C20-'[26]Oktobris'!C20</f>
        <v>39680</v>
      </c>
      <c r="F20" s="66" t="s">
        <v>690</v>
      </c>
      <c r="G20" s="63">
        <f>ROUND(B20/1000,0)</f>
        <v>348</v>
      </c>
      <c r="H20" s="179">
        <f>ROUND(C20/1000,0)</f>
        <v>331</v>
      </c>
      <c r="I20" s="181">
        <f t="shared" si="1"/>
        <v>95.11494252873564</v>
      </c>
      <c r="J20" s="179">
        <f>H20-'[26]Oktobris'!H20</f>
        <v>40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</row>
    <row r="21" spans="1:10" ht="12.75">
      <c r="A21" s="32" t="s">
        <v>1001</v>
      </c>
      <c r="B21" s="57">
        <f>SUM(B22)</f>
        <v>275000</v>
      </c>
      <c r="C21" s="57">
        <f>SUM(C22)</f>
        <v>275000</v>
      </c>
      <c r="D21" s="192">
        <f t="shared" si="0"/>
        <v>100</v>
      </c>
      <c r="E21" s="57">
        <f>C21-'[26]Oktobris'!C21</f>
        <v>0</v>
      </c>
      <c r="F21" s="32" t="s">
        <v>1001</v>
      </c>
      <c r="G21" s="57">
        <f>SUM(G22)</f>
        <v>275</v>
      </c>
      <c r="H21" s="174">
        <f>SUM(H22)</f>
        <v>275</v>
      </c>
      <c r="I21" s="192">
        <f t="shared" si="1"/>
        <v>100</v>
      </c>
      <c r="J21" s="174">
        <f>H21-'[26]Oktobris'!H21</f>
        <v>0</v>
      </c>
    </row>
    <row r="22" spans="1:147" s="1" customFormat="1" ht="36">
      <c r="A22" s="67" t="s">
        <v>691</v>
      </c>
      <c r="B22" s="63">
        <v>275000</v>
      </c>
      <c r="C22" s="63">
        <v>275000</v>
      </c>
      <c r="D22" s="181">
        <f t="shared" si="0"/>
        <v>100</v>
      </c>
      <c r="E22" s="63">
        <f>C22-'[26]Oktobris'!C22</f>
        <v>0</v>
      </c>
      <c r="F22" s="67" t="s">
        <v>692</v>
      </c>
      <c r="G22" s="63">
        <f>ROUND(B22/1000,0)</f>
        <v>275</v>
      </c>
      <c r="H22" s="179">
        <f>ROUND(C22/1000,0)</f>
        <v>275</v>
      </c>
      <c r="I22" s="181">
        <f t="shared" si="1"/>
        <v>100</v>
      </c>
      <c r="J22" s="179">
        <f>H22-'[26]Oktobris'!H22</f>
        <v>0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</row>
    <row r="23" spans="1:10" ht="12.75">
      <c r="A23" s="32" t="s">
        <v>995</v>
      </c>
      <c r="B23" s="57">
        <f>SUM(B24:B29)</f>
        <v>3192416</v>
      </c>
      <c r="C23" s="57">
        <f>SUM(C24:C29)</f>
        <v>2956505</v>
      </c>
      <c r="D23" s="192">
        <f t="shared" si="0"/>
        <v>92.6102675841745</v>
      </c>
      <c r="E23" s="57">
        <f>C23-'[26]Oktobris'!C23</f>
        <v>233993</v>
      </c>
      <c r="F23" s="32" t="s">
        <v>995</v>
      </c>
      <c r="G23" s="57">
        <f>SUM(G24:G29)</f>
        <v>3192</v>
      </c>
      <c r="H23" s="57">
        <f>SUM(H24:H29)</f>
        <v>2956</v>
      </c>
      <c r="I23" s="192">
        <f t="shared" si="1"/>
        <v>92.60651629072682</v>
      </c>
      <c r="J23" s="57">
        <f>H23-'[26]Oktobris'!H23</f>
        <v>233</v>
      </c>
    </row>
    <row r="24" spans="1:147" s="1" customFormat="1" ht="12.75">
      <c r="A24" s="66" t="s">
        <v>693</v>
      </c>
      <c r="B24" s="63">
        <v>1190814</v>
      </c>
      <c r="C24" s="63">
        <v>1088475</v>
      </c>
      <c r="D24" s="181">
        <f t="shared" si="0"/>
        <v>91.40596264404013</v>
      </c>
      <c r="E24" s="63">
        <f>C24-'[26]Oktobris'!C24</f>
        <v>100315</v>
      </c>
      <c r="F24" s="66" t="s">
        <v>693</v>
      </c>
      <c r="G24" s="63">
        <f aca="true" t="shared" si="3" ref="G24:H30">ROUND(B24/1000,0)</f>
        <v>1191</v>
      </c>
      <c r="H24" s="63">
        <f>ROUND(C24/1000,0)</f>
        <v>1088</v>
      </c>
      <c r="I24" s="181">
        <f t="shared" si="1"/>
        <v>91.3518052057095</v>
      </c>
      <c r="J24" s="63">
        <f>H24-'[26]Oktobris'!H24</f>
        <v>100</v>
      </c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</row>
    <row r="25" spans="1:147" s="1" customFormat="1" ht="24">
      <c r="A25" s="67" t="s">
        <v>697</v>
      </c>
      <c r="B25" s="63">
        <v>919056</v>
      </c>
      <c r="C25" s="63">
        <v>914093</v>
      </c>
      <c r="D25" s="181">
        <f t="shared" si="0"/>
        <v>99.45998938040772</v>
      </c>
      <c r="E25" s="63">
        <f>C25-'[26]Oktobris'!C25</f>
        <v>14852</v>
      </c>
      <c r="F25" s="67" t="s">
        <v>697</v>
      </c>
      <c r="G25" s="63">
        <f t="shared" si="3"/>
        <v>919</v>
      </c>
      <c r="H25" s="63">
        <f>ROUND(C25/1000,0)</f>
        <v>914</v>
      </c>
      <c r="I25" s="181">
        <f t="shared" si="1"/>
        <v>99.45593035908597</v>
      </c>
      <c r="J25" s="63">
        <f>H25-'[26]Oktobris'!H25</f>
        <v>15</v>
      </c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</row>
    <row r="26" spans="1:147" s="1" customFormat="1" ht="24">
      <c r="A26" s="67" t="s">
        <v>189</v>
      </c>
      <c r="B26" s="63">
        <v>150000</v>
      </c>
      <c r="C26" s="63">
        <v>106012</v>
      </c>
      <c r="D26" s="181">
        <f t="shared" si="0"/>
        <v>70.67466666666667</v>
      </c>
      <c r="E26" s="63">
        <f>C26-'[26]Oktobris'!C26</f>
        <v>36225</v>
      </c>
      <c r="F26" s="67" t="s">
        <v>189</v>
      </c>
      <c r="G26" s="63">
        <f t="shared" si="3"/>
        <v>150</v>
      </c>
      <c r="H26" s="179">
        <f t="shared" si="3"/>
        <v>106</v>
      </c>
      <c r="I26" s="181">
        <f t="shared" si="1"/>
        <v>70.66666666666667</v>
      </c>
      <c r="J26" s="179">
        <f>H26-'[26]Oktobris'!H26</f>
        <v>36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</row>
    <row r="27" spans="1:147" s="1" customFormat="1" ht="60">
      <c r="A27" s="67" t="s">
        <v>694</v>
      </c>
      <c r="B27" s="63">
        <v>225466</v>
      </c>
      <c r="C27" s="63">
        <v>208630</v>
      </c>
      <c r="D27" s="181">
        <f t="shared" si="0"/>
        <v>92.53279873683837</v>
      </c>
      <c r="E27" s="63">
        <f>C27-'[26]Oktobris'!C27</f>
        <v>16310</v>
      </c>
      <c r="F27" s="67" t="s">
        <v>694</v>
      </c>
      <c r="G27" s="63">
        <f t="shared" si="3"/>
        <v>225</v>
      </c>
      <c r="H27" s="63">
        <f t="shared" si="3"/>
        <v>209</v>
      </c>
      <c r="I27" s="181">
        <f t="shared" si="1"/>
        <v>92.88888888888889</v>
      </c>
      <c r="J27" s="63">
        <f>H27-'[26]Oktobris'!H27</f>
        <v>17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</row>
    <row r="28" spans="1:147" s="1" customFormat="1" ht="36">
      <c r="A28" s="67" t="s">
        <v>695</v>
      </c>
      <c r="B28" s="63">
        <v>141288</v>
      </c>
      <c r="C28" s="63">
        <v>132210</v>
      </c>
      <c r="D28" s="181">
        <f t="shared" si="0"/>
        <v>93.57482588754884</v>
      </c>
      <c r="E28" s="63">
        <f>C28-'[26]Oktobris'!C28</f>
        <v>11611</v>
      </c>
      <c r="F28" s="67" t="s">
        <v>695</v>
      </c>
      <c r="G28" s="63">
        <f t="shared" si="3"/>
        <v>141</v>
      </c>
      <c r="H28" s="63">
        <f t="shared" si="3"/>
        <v>132</v>
      </c>
      <c r="I28" s="181">
        <f t="shared" si="1"/>
        <v>93.61702127659575</v>
      </c>
      <c r="J28" s="63">
        <f>H28-'[26]Oktobris'!H28</f>
        <v>11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</row>
    <row r="29" spans="1:147" s="1" customFormat="1" ht="24">
      <c r="A29" s="67" t="s">
        <v>696</v>
      </c>
      <c r="B29" s="63">
        <v>565792</v>
      </c>
      <c r="C29" s="63">
        <v>507085</v>
      </c>
      <c r="D29" s="181">
        <f t="shared" si="0"/>
        <v>89.62392540014706</v>
      </c>
      <c r="E29" s="63">
        <f>C29-'[26]Oktobris'!C29</f>
        <v>54680</v>
      </c>
      <c r="F29" s="67" t="s">
        <v>696</v>
      </c>
      <c r="G29" s="63">
        <f t="shared" si="3"/>
        <v>566</v>
      </c>
      <c r="H29" s="63">
        <f>ROUND(C29/1000,0)</f>
        <v>507</v>
      </c>
      <c r="I29" s="181">
        <f t="shared" si="1"/>
        <v>89.57597173144876</v>
      </c>
      <c r="J29" s="63">
        <f>H29-'[26]Oktobris'!H29</f>
        <v>54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</row>
    <row r="30" spans="1:10" ht="12.75">
      <c r="A30" s="32" t="s">
        <v>1025</v>
      </c>
      <c r="B30" s="57">
        <v>1643907</v>
      </c>
      <c r="C30" s="57">
        <v>1528553</v>
      </c>
      <c r="D30" s="192">
        <f t="shared" si="0"/>
        <v>92.98293638265424</v>
      </c>
      <c r="E30" s="57">
        <f>C30-'[26]Oktobris'!C30</f>
        <v>103799</v>
      </c>
      <c r="F30" s="32" t="s">
        <v>1025</v>
      </c>
      <c r="G30" s="57">
        <f t="shared" si="3"/>
        <v>1644</v>
      </c>
      <c r="H30" s="57">
        <f t="shared" si="3"/>
        <v>1529</v>
      </c>
      <c r="I30" s="192">
        <f t="shared" si="1"/>
        <v>93.00486618004867</v>
      </c>
      <c r="J30" s="57">
        <f>H30-'[26]Oktobris'!H30</f>
        <v>104</v>
      </c>
    </row>
    <row r="31" spans="1:147" s="83" customFormat="1" ht="17.25" customHeight="1">
      <c r="A31" s="538"/>
      <c r="B31" s="82"/>
      <c r="E31"/>
      <c r="F31" s="538"/>
      <c r="G31" s="82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</row>
    <row r="32" spans="1:147" s="83" customFormat="1" ht="17.25" customHeight="1" hidden="1">
      <c r="A32" s="84"/>
      <c r="B32" s="82"/>
      <c r="E32"/>
      <c r="F32" s="84"/>
      <c r="G32" s="8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</row>
    <row r="33" spans="1:9" ht="17.25" customHeight="1">
      <c r="A33" s="85"/>
      <c r="B33" s="50"/>
      <c r="C33" s="49"/>
      <c r="D33" s="49"/>
      <c r="F33" s="85"/>
      <c r="G33" s="50"/>
      <c r="H33" s="49"/>
      <c r="I33" s="49"/>
    </row>
    <row r="34" spans="1:12" ht="17.25" customHeight="1">
      <c r="A34" s="41" t="s">
        <v>1038</v>
      </c>
      <c r="B34" s="49"/>
      <c r="C34" s="49"/>
      <c r="D34" s="49"/>
      <c r="E34" s="49"/>
      <c r="F34" s="845" t="s">
        <v>567</v>
      </c>
      <c r="G34" s="845"/>
      <c r="H34" s="845"/>
      <c r="I34" s="845"/>
      <c r="J34" s="845"/>
      <c r="K34" s="845"/>
      <c r="L34" s="845"/>
    </row>
    <row r="36" spans="1:9" ht="17.25" customHeight="1">
      <c r="A36" s="86"/>
      <c r="B36" s="52"/>
      <c r="C36" s="87"/>
      <c r="D36" s="87"/>
      <c r="F36" s="86"/>
      <c r="G36" s="52"/>
      <c r="H36" s="87"/>
      <c r="I36" s="87"/>
    </row>
    <row r="37" spans="1:9" ht="17.25" customHeight="1">
      <c r="A37" s="1"/>
      <c r="B37" s="50"/>
      <c r="C37" s="49"/>
      <c r="D37" s="49"/>
      <c r="F37" s="1"/>
      <c r="G37" s="50"/>
      <c r="H37" s="49"/>
      <c r="I37" s="49"/>
    </row>
    <row r="38" spans="1:9" ht="12.75">
      <c r="A38" s="1"/>
      <c r="B38" s="50"/>
      <c r="C38" s="38"/>
      <c r="D38" s="38"/>
      <c r="F38" s="38" t="s">
        <v>923</v>
      </c>
      <c r="G38" s="50"/>
      <c r="H38" s="38"/>
      <c r="I38" s="38"/>
    </row>
    <row r="39" spans="2:9" ht="12.75">
      <c r="B39" s="50"/>
      <c r="C39" s="49"/>
      <c r="D39" s="49"/>
      <c r="F39" s="38" t="s">
        <v>340</v>
      </c>
      <c r="G39" s="50"/>
      <c r="H39" s="49"/>
      <c r="I39" s="49"/>
    </row>
    <row r="40" ht="12.75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  <row r="202" ht="17.25" customHeight="1"/>
    <row r="203" ht="17.25" customHeight="1"/>
    <row r="204" ht="17.25" customHeight="1"/>
    <row r="205" ht="17.25" customHeight="1"/>
    <row r="206" ht="17.25" customHeight="1"/>
    <row r="207" ht="17.25" customHeight="1"/>
    <row r="208" ht="17.25" customHeight="1"/>
    <row r="209" ht="17.25" customHeight="1"/>
    <row r="210" ht="17.25" customHeight="1"/>
    <row r="211" ht="17.25" customHeight="1"/>
    <row r="212" ht="17.25" customHeight="1"/>
    <row r="213" ht="17.25" customHeight="1"/>
    <row r="214" ht="17.25" customHeight="1"/>
    <row r="215" ht="17.25" customHeight="1"/>
    <row r="216" ht="17.25" customHeight="1"/>
    <row r="217" ht="17.25" customHeight="1"/>
    <row r="218" ht="17.25" customHeight="1"/>
    <row r="219" ht="17.25" customHeight="1"/>
    <row r="220" ht="17.25" customHeight="1"/>
    <row r="221" ht="17.25" customHeight="1"/>
    <row r="222" ht="17.25" customHeight="1"/>
    <row r="223" ht="17.25" customHeight="1"/>
    <row r="224" ht="17.25" customHeight="1"/>
    <row r="225" ht="17.25" customHeight="1"/>
    <row r="226" ht="17.25" customHeight="1"/>
    <row r="227" ht="17.25" customHeight="1"/>
    <row r="228" ht="17.2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36" ht="17.25" customHeight="1"/>
    <row r="237" ht="17.25" customHeight="1"/>
    <row r="238" ht="17.25" customHeight="1"/>
    <row r="239" ht="17.25" customHeight="1"/>
    <row r="240" ht="17.25" customHeight="1"/>
    <row r="241" ht="17.25" customHeight="1"/>
    <row r="242" ht="17.25" customHeight="1"/>
    <row r="243" ht="17.25" customHeight="1"/>
    <row r="244" ht="17.25" customHeight="1"/>
    <row r="245" ht="17.25" customHeight="1"/>
    <row r="246" ht="17.25" customHeight="1"/>
    <row r="247" ht="17.25" customHeight="1"/>
    <row r="248" ht="17.25" customHeight="1"/>
    <row r="249" ht="17.25" customHeight="1"/>
    <row r="250" ht="17.25" customHeight="1"/>
    <row r="251" ht="17.25" customHeight="1"/>
    <row r="252" ht="17.25" customHeight="1"/>
    <row r="253" ht="17.25" customHeight="1"/>
    <row r="254" ht="17.25" customHeight="1"/>
    <row r="255" ht="17.25" customHeight="1"/>
    <row r="256" ht="17.25" customHeight="1"/>
    <row r="257" ht="17.25" customHeight="1"/>
    <row r="258" ht="17.25" customHeight="1"/>
    <row r="259" ht="17.25" customHeight="1"/>
    <row r="260" ht="17.25" customHeight="1"/>
    <row r="261" ht="17.25" customHeight="1"/>
    <row r="262" ht="17.25" customHeight="1"/>
    <row r="263" ht="17.2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72" ht="17.25" customHeight="1"/>
    <row r="273" ht="17.25" customHeight="1"/>
    <row r="274" ht="17.25" customHeight="1"/>
    <row r="275" ht="17.25" customHeight="1"/>
    <row r="276" ht="17.25" customHeight="1"/>
    <row r="277" ht="17.25" customHeight="1"/>
    <row r="278" ht="17.25" customHeight="1"/>
    <row r="279" ht="17.25" customHeight="1"/>
    <row r="280" ht="17.25" customHeight="1"/>
    <row r="281" ht="17.25" customHeight="1"/>
    <row r="282" ht="17.25" customHeight="1"/>
    <row r="283" ht="17.25" customHeight="1"/>
    <row r="284" ht="17.25" customHeight="1"/>
    <row r="285" ht="17.25" customHeight="1"/>
    <row r="286" ht="17.25" customHeight="1"/>
    <row r="287" ht="17.2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299" ht="17.25" customHeight="1"/>
    <row r="300" ht="17.25" customHeight="1"/>
    <row r="301" ht="17.25" customHeight="1"/>
    <row r="302" ht="17.25" customHeight="1"/>
    <row r="303" ht="17.25" customHeight="1"/>
    <row r="304" ht="17.25" customHeight="1"/>
    <row r="305" ht="17.25" customHeight="1"/>
    <row r="306" ht="17.25" customHeight="1"/>
    <row r="307" ht="17.25" customHeight="1"/>
    <row r="308" ht="17.25" customHeight="1"/>
    <row r="309" ht="17.25" customHeight="1"/>
    <row r="310" ht="17.25" customHeight="1"/>
    <row r="311" ht="17.25" customHeight="1"/>
    <row r="312" ht="17.25" customHeight="1"/>
    <row r="313" ht="17.25" customHeight="1"/>
    <row r="314" ht="17.25" customHeight="1"/>
    <row r="315" ht="17.25" customHeight="1"/>
    <row r="316" ht="17.25" customHeight="1"/>
    <row r="317" ht="17.25" customHeight="1"/>
    <row r="318" ht="17.25" customHeight="1"/>
    <row r="319" ht="17.25" customHeight="1"/>
    <row r="320" ht="17.25" customHeight="1"/>
    <row r="321" ht="17.25" customHeight="1"/>
    <row r="322" ht="17.25" customHeight="1"/>
    <row r="323" ht="17.25" customHeight="1"/>
    <row r="324" ht="17.25" customHeight="1"/>
    <row r="325" ht="17.25" customHeight="1"/>
    <row r="326" ht="17.25" customHeight="1"/>
    <row r="327" ht="17.25" customHeight="1"/>
    <row r="328" ht="17.25" customHeight="1"/>
    <row r="329" ht="17.25" customHeight="1"/>
    <row r="330" ht="17.25" customHeight="1"/>
    <row r="331" ht="17.25" customHeight="1"/>
    <row r="332" ht="17.25" customHeight="1"/>
    <row r="333" ht="17.25" customHeight="1"/>
    <row r="334" ht="17.25" customHeight="1"/>
    <row r="335" ht="17.25" customHeight="1"/>
    <row r="336" ht="17.25" customHeight="1"/>
    <row r="337" ht="17.25" customHeight="1"/>
    <row r="338" ht="17.25" customHeight="1"/>
    <row r="339" ht="17.25" customHeight="1"/>
    <row r="340" ht="17.25" customHeight="1"/>
    <row r="341" ht="17.25" customHeight="1"/>
    <row r="342" ht="17.25" customHeight="1"/>
    <row r="343" ht="17.25" customHeight="1"/>
    <row r="344" ht="17.25" customHeight="1"/>
    <row r="345" ht="17.25" customHeight="1"/>
    <row r="346" ht="17.25" customHeight="1"/>
    <row r="347" ht="17.25" customHeight="1"/>
    <row r="348" ht="17.25" customHeight="1"/>
    <row r="349" ht="17.25" customHeight="1"/>
    <row r="350" ht="17.25" customHeight="1"/>
    <row r="351" ht="17.25" customHeight="1"/>
    <row r="352" ht="17.25" customHeight="1"/>
    <row r="353" ht="17.25" customHeight="1"/>
    <row r="354" ht="17.25" customHeight="1"/>
    <row r="355" ht="17.25" customHeight="1"/>
    <row r="356" ht="17.25" customHeight="1"/>
    <row r="357" ht="17.25" customHeight="1"/>
    <row r="358" ht="17.25" customHeight="1"/>
    <row r="359" ht="17.25" customHeight="1"/>
    <row r="360" ht="17.25" customHeight="1"/>
    <row r="361" ht="17.25" customHeight="1"/>
    <row r="362" ht="17.25" customHeight="1"/>
    <row r="363" ht="17.25" customHeight="1"/>
    <row r="364" ht="17.25" customHeight="1"/>
    <row r="365" ht="17.25" customHeight="1"/>
    <row r="366" ht="17.25" customHeight="1"/>
    <row r="367" ht="17.25" customHeight="1"/>
    <row r="368" ht="17.25" customHeight="1"/>
    <row r="369" ht="17.25" customHeight="1"/>
    <row r="370" ht="17.25" customHeight="1"/>
    <row r="371" ht="17.25" customHeight="1"/>
    <row r="372" ht="17.25" customHeight="1"/>
    <row r="373" ht="17.25" customHeight="1"/>
    <row r="374" ht="17.25" customHeight="1"/>
    <row r="375" ht="17.25" customHeight="1"/>
    <row r="376" ht="17.25" customHeight="1"/>
    <row r="377" ht="17.25" customHeight="1"/>
    <row r="378" ht="17.25" customHeight="1"/>
    <row r="379" ht="17.25" customHeight="1"/>
    <row r="380" ht="17.25" customHeight="1"/>
    <row r="381" ht="17.25" customHeight="1"/>
    <row r="382" ht="17.25" customHeight="1"/>
    <row r="383" ht="17.25" customHeight="1"/>
    <row r="384" ht="17.25" customHeight="1"/>
    <row r="385" ht="17.25" customHeight="1"/>
    <row r="386" ht="17.25" customHeight="1"/>
    <row r="387" ht="17.25" customHeight="1"/>
    <row r="388" ht="17.25" customHeight="1"/>
    <row r="389" ht="17.25" customHeight="1"/>
    <row r="390" ht="17.25" customHeight="1"/>
    <row r="391" ht="17.25" customHeight="1"/>
    <row r="392" ht="17.25" customHeight="1"/>
    <row r="393" ht="17.25" customHeight="1"/>
    <row r="394" ht="17.25" customHeight="1"/>
    <row r="395" ht="17.25" customHeight="1"/>
    <row r="396" ht="17.25" customHeight="1"/>
    <row r="397" ht="17.25" customHeight="1"/>
    <row r="398" ht="17.25" customHeight="1"/>
    <row r="399" ht="17.25" customHeight="1"/>
    <row r="400" ht="17.25" customHeight="1"/>
    <row r="401" ht="17.25" customHeight="1"/>
    <row r="402" ht="17.25" customHeight="1"/>
    <row r="403" ht="17.25" customHeight="1"/>
    <row r="404" ht="17.25" customHeight="1"/>
    <row r="405" ht="17.25" customHeight="1"/>
    <row r="406" ht="17.25" customHeight="1"/>
    <row r="407" ht="17.25" customHeight="1"/>
    <row r="408" ht="17.25" customHeight="1"/>
    <row r="409" ht="17.25" customHeight="1"/>
    <row r="410" ht="17.25" customHeight="1"/>
    <row r="411" ht="17.25" customHeight="1"/>
    <row r="412" ht="17.25" customHeight="1"/>
    <row r="413" ht="17.25" customHeight="1"/>
    <row r="414" ht="17.25" customHeight="1"/>
    <row r="415" ht="17.25" customHeight="1"/>
    <row r="416" ht="17.25" customHeight="1"/>
    <row r="417" ht="17.25" customHeight="1"/>
    <row r="418" ht="17.25" customHeight="1"/>
    <row r="419" ht="17.25" customHeight="1"/>
    <row r="420" ht="17.25" customHeight="1"/>
    <row r="421" ht="17.25" customHeight="1"/>
    <row r="422" ht="17.25" customHeight="1"/>
    <row r="423" ht="17.25" customHeight="1"/>
    <row r="424" ht="17.25" customHeight="1"/>
    <row r="425" ht="17.25" customHeight="1"/>
    <row r="426" ht="17.25" customHeight="1"/>
    <row r="427" ht="17.25" customHeight="1"/>
    <row r="428" ht="17.25" customHeight="1"/>
    <row r="429" ht="17.25" customHeight="1"/>
    <row r="430" ht="17.25" customHeight="1"/>
    <row r="431" ht="17.25" customHeight="1"/>
    <row r="432" ht="17.25" customHeight="1"/>
    <row r="433" ht="17.25" customHeight="1"/>
    <row r="434" ht="17.25" customHeight="1"/>
    <row r="435" ht="17.25" customHeight="1"/>
    <row r="436" ht="17.25" customHeight="1"/>
    <row r="437" ht="17.25" customHeight="1"/>
    <row r="438" ht="17.25" customHeight="1"/>
    <row r="439" ht="17.25" customHeight="1"/>
    <row r="440" ht="17.25" customHeight="1"/>
    <row r="441" ht="17.25" customHeight="1"/>
    <row r="442" ht="17.25" customHeight="1"/>
    <row r="443" ht="17.25" customHeight="1"/>
    <row r="444" ht="17.25" customHeight="1"/>
    <row r="445" ht="17.25" customHeight="1"/>
    <row r="446" ht="17.25" customHeight="1"/>
    <row r="447" ht="17.25" customHeight="1"/>
    <row r="448" ht="17.25" customHeight="1"/>
    <row r="449" ht="17.25" customHeight="1"/>
    <row r="450" ht="17.25" customHeight="1"/>
    <row r="451" ht="17.25" customHeight="1"/>
    <row r="452" ht="17.25" customHeight="1"/>
    <row r="453" ht="17.25" customHeight="1"/>
    <row r="454" ht="17.25" customHeight="1"/>
    <row r="455" ht="17.25" customHeight="1"/>
    <row r="456" ht="17.25" customHeight="1"/>
    <row r="457" ht="17.25" customHeight="1"/>
  </sheetData>
  <mergeCells count="5">
    <mergeCell ref="F34:L34"/>
    <mergeCell ref="A3:E3"/>
    <mergeCell ref="F3:J3"/>
    <mergeCell ref="A5:E5"/>
    <mergeCell ref="F5:J5"/>
  </mergeCells>
  <printOptions/>
  <pageMargins left="0.75" right="0.75" top="0.25" bottom="0.24" header="0.5" footer="0.5"/>
  <pageSetup firstPageNumber="56" useFirstPageNumber="1" horizontalDpi="600" verticalDpi="600" orientation="portrait" paperSize="9" r:id="rId1"/>
  <headerFooter alignWithMargins="0">
    <oddFooter>&amp;R&amp;9&amp;P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I85"/>
  <sheetViews>
    <sheetView zoomScale="75" zoomScaleNormal="75" workbookViewId="0" topLeftCell="A1">
      <selection activeCell="B6" sqref="B6"/>
    </sheetView>
  </sheetViews>
  <sheetFormatPr defaultColWidth="9.140625" defaultRowHeight="17.25" customHeight="1"/>
  <cols>
    <col min="1" max="1" width="22.140625" style="0" customWidth="1"/>
    <col min="2" max="2" width="43.57421875" style="0" customWidth="1"/>
    <col min="3" max="3" width="11.7109375" style="0" customWidth="1"/>
    <col min="4" max="4" width="13.28125" style="0" customWidth="1"/>
    <col min="5" max="5" width="13.140625" style="0" customWidth="1"/>
    <col min="6" max="6" width="13.421875" style="0" customWidth="1"/>
    <col min="7" max="7" width="11.7109375" style="0" customWidth="1"/>
    <col min="8" max="8" width="11.8515625" style="0" customWidth="1"/>
  </cols>
  <sheetData>
    <row r="1" ht="17.25" customHeight="1">
      <c r="G1" s="268" t="s">
        <v>807</v>
      </c>
    </row>
    <row r="2" spans="1:7" ht="17.25" customHeight="1">
      <c r="A2" s="854" t="s">
        <v>135</v>
      </c>
      <c r="B2" s="854"/>
      <c r="C2" s="854"/>
      <c r="D2" s="854"/>
      <c r="E2" s="854"/>
      <c r="F2" s="854"/>
      <c r="G2" s="854"/>
    </row>
    <row r="3" spans="2:8" ht="17.25" customHeight="1">
      <c r="B3" s="5"/>
      <c r="C3" s="5"/>
      <c r="D3" s="5"/>
      <c r="E3" s="5"/>
      <c r="F3" s="5"/>
      <c r="G3" s="5"/>
      <c r="H3" s="5"/>
    </row>
    <row r="4" spans="1:8" ht="21" customHeight="1">
      <c r="A4" s="917" t="s">
        <v>921</v>
      </c>
      <c r="B4" s="917"/>
      <c r="C4" s="917"/>
      <c r="D4" s="917"/>
      <c r="E4" s="917"/>
      <c r="F4" s="917"/>
      <c r="G4" s="917"/>
      <c r="H4" s="769"/>
    </row>
    <row r="5" spans="1:8" ht="16.5" customHeight="1">
      <c r="A5" s="865" t="s">
        <v>915</v>
      </c>
      <c r="B5" s="865"/>
      <c r="C5" s="865"/>
      <c r="D5" s="865"/>
      <c r="E5" s="865"/>
      <c r="F5" s="865"/>
      <c r="G5" s="865"/>
      <c r="H5" s="769"/>
    </row>
    <row r="6" spans="2:7" ht="17.25" customHeight="1">
      <c r="B6" s="5"/>
      <c r="C6" s="5"/>
      <c r="D6" s="5"/>
      <c r="E6" s="5"/>
      <c r="F6" s="5"/>
      <c r="G6" s="268" t="s">
        <v>842</v>
      </c>
    </row>
    <row r="7" spans="1:7" ht="41.25" customHeight="1">
      <c r="A7" s="235" t="s">
        <v>808</v>
      </c>
      <c r="B7" s="142" t="s">
        <v>809</v>
      </c>
      <c r="C7" s="235" t="s">
        <v>843</v>
      </c>
      <c r="D7" s="235" t="s">
        <v>810</v>
      </c>
      <c r="E7" s="235" t="s">
        <v>221</v>
      </c>
      <c r="F7" s="235" t="s">
        <v>811</v>
      </c>
      <c r="G7" s="9" t="s">
        <v>913</v>
      </c>
    </row>
    <row r="8" spans="1:7" ht="15">
      <c r="A8" s="398">
        <v>1</v>
      </c>
      <c r="B8" s="770">
        <v>2</v>
      </c>
      <c r="C8" s="398">
        <v>3</v>
      </c>
      <c r="D8" s="771">
        <v>4</v>
      </c>
      <c r="E8" s="771">
        <v>5</v>
      </c>
      <c r="F8" s="771">
        <v>6</v>
      </c>
      <c r="G8" s="398">
        <v>7</v>
      </c>
    </row>
    <row r="9" spans="1:7" ht="17.25" customHeight="1">
      <c r="A9" s="134"/>
      <c r="B9" s="772" t="s">
        <v>812</v>
      </c>
      <c r="C9" s="134">
        <f>SUM(C10,C13)</f>
        <v>9519</v>
      </c>
      <c r="D9" s="134">
        <f>SUM(D10,D13)</f>
        <v>6662</v>
      </c>
      <c r="E9" s="134">
        <f>SUM(E10,E13)</f>
        <v>1705</v>
      </c>
      <c r="F9" s="773">
        <f>E9/C9*100</f>
        <v>17.91154533039185</v>
      </c>
      <c r="G9" s="134">
        <f>SUM(G10,G13)</f>
        <v>793</v>
      </c>
    </row>
    <row r="10" spans="1:7" ht="17.25" customHeight="1">
      <c r="A10" s="134"/>
      <c r="B10" s="774" t="s">
        <v>813</v>
      </c>
      <c r="C10" s="134">
        <f>SUM(C11:C12)</f>
        <v>6829</v>
      </c>
      <c r="D10" s="134">
        <f>SUM(D11:D12)</f>
        <v>5202</v>
      </c>
      <c r="E10" s="134">
        <f>SUM(E11:E12)</f>
        <v>540</v>
      </c>
      <c r="F10" s="773">
        <f>E10/C10*100</f>
        <v>7.907453507102065</v>
      </c>
      <c r="G10" s="134">
        <f>SUM(G11:G12)</f>
        <v>114</v>
      </c>
    </row>
    <row r="11" spans="1:7" ht="17.25" customHeight="1">
      <c r="A11" s="134"/>
      <c r="B11" s="775" t="s">
        <v>705</v>
      </c>
      <c r="C11" s="134">
        <f>SUM(C28)</f>
        <v>191</v>
      </c>
      <c r="D11" s="134">
        <f>SUM(D28)</f>
        <v>39</v>
      </c>
      <c r="E11" s="134">
        <f>SUM(E28)</f>
        <v>18</v>
      </c>
      <c r="F11" s="134">
        <f>SUM(F28)</f>
        <v>0</v>
      </c>
      <c r="G11" s="134">
        <f>SUM(G28)</f>
        <v>18</v>
      </c>
    </row>
    <row r="12" spans="1:7" ht="17.25" customHeight="1">
      <c r="A12" s="134"/>
      <c r="B12" s="775" t="s">
        <v>976</v>
      </c>
      <c r="C12" s="134">
        <f>SUM(C20,C24,C33,C40,C48,C52,C57,C62,C67,C72,C77)</f>
        <v>6638</v>
      </c>
      <c r="D12" s="134">
        <f>SUM(D20,D24,D33,D40,D48,D52,D57,D62,D67,D72,D77)</f>
        <v>5163</v>
      </c>
      <c r="E12" s="134">
        <f>SUM(E20,E24,E33,E40,E48,E52,E57,E62,E67,E72,E77)</f>
        <v>522</v>
      </c>
      <c r="F12" s="773">
        <f>E12/C12*100</f>
        <v>7.863814401928291</v>
      </c>
      <c r="G12" s="134">
        <f>SUM(G20,G24,G33,G40,G48,G52,G57,G62,G67,G72,G77)</f>
        <v>96</v>
      </c>
    </row>
    <row r="13" spans="1:7" ht="17.25" customHeight="1">
      <c r="A13" s="134"/>
      <c r="B13" s="774" t="s">
        <v>258</v>
      </c>
      <c r="C13" s="134">
        <f>C15</f>
        <v>2690</v>
      </c>
      <c r="D13" s="134">
        <f>D15</f>
        <v>1460</v>
      </c>
      <c r="E13" s="134">
        <f>E15</f>
        <v>1165</v>
      </c>
      <c r="F13" s="773">
        <f>E13/C13*100</f>
        <v>43.30855018587361</v>
      </c>
      <c r="G13" s="134">
        <f>G15</f>
        <v>679</v>
      </c>
    </row>
    <row r="14" spans="1:7" ht="17.25" customHeight="1" hidden="1">
      <c r="A14" s="134"/>
      <c r="B14" s="775" t="s">
        <v>705</v>
      </c>
      <c r="C14" s="134"/>
      <c r="D14" s="134">
        <v>0</v>
      </c>
      <c r="E14" s="134"/>
      <c r="F14" s="773" t="e">
        <f>E14/C14*100</f>
        <v>#DIV/0!</v>
      </c>
      <c r="G14" s="134"/>
    </row>
    <row r="15" spans="1:7" ht="17.25" customHeight="1">
      <c r="A15" s="134"/>
      <c r="B15" s="775" t="s">
        <v>976</v>
      </c>
      <c r="C15" s="134">
        <f>SUM(C35,C42)</f>
        <v>2690</v>
      </c>
      <c r="D15" s="134">
        <f>SUM(D35,D42)</f>
        <v>1460</v>
      </c>
      <c r="E15" s="134">
        <f>SUM(E35,E42)</f>
        <v>1165</v>
      </c>
      <c r="F15" s="773">
        <f>E15/C15*100</f>
        <v>43.30855018587361</v>
      </c>
      <c r="G15" s="134">
        <f>SUM(G35,G42)</f>
        <v>679</v>
      </c>
    </row>
    <row r="16" spans="1:8" ht="17.25" customHeight="1">
      <c r="A16" s="776" t="s">
        <v>1001</v>
      </c>
      <c r="B16" s="134"/>
      <c r="C16" s="134"/>
      <c r="D16" s="134"/>
      <c r="E16" s="134"/>
      <c r="F16" s="134"/>
      <c r="G16" s="134"/>
      <c r="H16" s="133"/>
    </row>
    <row r="17" spans="1:8" ht="31.5" customHeight="1">
      <c r="A17" s="777" t="s">
        <v>814</v>
      </c>
      <c r="B17" s="914" t="s">
        <v>815</v>
      </c>
      <c r="C17" s="914"/>
      <c r="D17" s="914"/>
      <c r="E17" s="914"/>
      <c r="F17" s="914"/>
      <c r="G17" s="914"/>
      <c r="H17" s="778"/>
    </row>
    <row r="18" spans="1:7" ht="17.25" customHeight="1">
      <c r="A18" s="134"/>
      <c r="B18" s="779" t="s">
        <v>42</v>
      </c>
      <c r="C18" s="134">
        <f>C19</f>
        <v>110</v>
      </c>
      <c r="D18" s="134">
        <f>D19</f>
        <v>0</v>
      </c>
      <c r="E18" s="134">
        <v>0</v>
      </c>
      <c r="F18" s="134">
        <v>0</v>
      </c>
      <c r="G18" s="134">
        <v>0</v>
      </c>
    </row>
    <row r="19" spans="1:8" ht="17.25" customHeight="1">
      <c r="A19" s="134"/>
      <c r="B19" s="774" t="s">
        <v>816</v>
      </c>
      <c r="C19">
        <f>C20</f>
        <v>110</v>
      </c>
      <c r="D19">
        <f>D20</f>
        <v>0</v>
      </c>
      <c r="E19">
        <f>E20</f>
        <v>0</v>
      </c>
      <c r="F19">
        <f>F20</f>
        <v>0</v>
      </c>
      <c r="G19">
        <f>G20</f>
        <v>0</v>
      </c>
      <c r="H19" s="133"/>
    </row>
    <row r="20" spans="1:8" ht="17.25" customHeight="1">
      <c r="A20" s="134"/>
      <c r="B20" s="134" t="s">
        <v>976</v>
      </c>
      <c r="C20" s="134">
        <v>110</v>
      </c>
      <c r="D20" s="134">
        <v>0</v>
      </c>
      <c r="E20" s="134">
        <v>0</v>
      </c>
      <c r="F20" s="134">
        <v>0</v>
      </c>
      <c r="G20" s="134">
        <f>E20-'[10]Septembris'!G20</f>
        <v>0</v>
      </c>
      <c r="H20" s="133"/>
    </row>
    <row r="21" spans="1:9" ht="16.5" customHeight="1">
      <c r="A21" s="777" t="s">
        <v>817</v>
      </c>
      <c r="B21" s="914" t="s">
        <v>818</v>
      </c>
      <c r="C21" s="914"/>
      <c r="D21" s="914"/>
      <c r="E21" s="914"/>
      <c r="F21" s="914"/>
      <c r="G21" s="914"/>
      <c r="H21" s="780"/>
      <c r="I21" s="133"/>
    </row>
    <row r="22" spans="1:7" ht="17.25" customHeight="1">
      <c r="A22" s="134"/>
      <c r="B22" s="779" t="s">
        <v>42</v>
      </c>
      <c r="C22" s="134">
        <f aca="true" t="shared" si="0" ref="C22:G23">C23</f>
        <v>2320</v>
      </c>
      <c r="D22" s="134">
        <f t="shared" si="0"/>
        <v>1657</v>
      </c>
      <c r="E22" s="134">
        <f t="shared" si="0"/>
        <v>0</v>
      </c>
      <c r="F22" s="134">
        <f t="shared" si="0"/>
        <v>0</v>
      </c>
      <c r="G22" s="134">
        <f t="shared" si="0"/>
        <v>0</v>
      </c>
    </row>
    <row r="23" spans="1:7" ht="17.25" customHeight="1">
      <c r="A23" s="134"/>
      <c r="B23" s="774" t="s">
        <v>816</v>
      </c>
      <c r="C23" s="134">
        <f t="shared" si="0"/>
        <v>2320</v>
      </c>
      <c r="D23" s="134">
        <f t="shared" si="0"/>
        <v>1657</v>
      </c>
      <c r="E23" s="134">
        <f t="shared" si="0"/>
        <v>0</v>
      </c>
      <c r="F23" s="134">
        <f t="shared" si="0"/>
        <v>0</v>
      </c>
      <c r="G23" s="134">
        <f t="shared" si="0"/>
        <v>0</v>
      </c>
    </row>
    <row r="24" spans="1:7" ht="17.25" customHeight="1">
      <c r="A24" s="134"/>
      <c r="B24" s="134" t="s">
        <v>976</v>
      </c>
      <c r="C24" s="134">
        <v>2320</v>
      </c>
      <c r="D24" s="804">
        <v>1657</v>
      </c>
      <c r="E24" s="134">
        <v>0</v>
      </c>
      <c r="F24" s="134">
        <v>0</v>
      </c>
      <c r="G24" s="134">
        <f>E24-'[10]Septembris'!E24</f>
        <v>0</v>
      </c>
    </row>
    <row r="25" spans="1:8" ht="48.75" customHeight="1">
      <c r="A25" s="781" t="s">
        <v>819</v>
      </c>
      <c r="B25" s="914" t="s">
        <v>820</v>
      </c>
      <c r="C25" s="914"/>
      <c r="D25" s="914"/>
      <c r="E25" s="914"/>
      <c r="F25" s="914"/>
      <c r="G25" s="914"/>
      <c r="H25" s="780"/>
    </row>
    <row r="26" spans="1:7" ht="17.25" customHeight="1">
      <c r="A26" s="134"/>
      <c r="B26" s="779" t="s">
        <v>42</v>
      </c>
      <c r="C26" s="134">
        <f aca="true" t="shared" si="1" ref="C26:E27">C27</f>
        <v>191</v>
      </c>
      <c r="D26" s="134">
        <f t="shared" si="1"/>
        <v>39</v>
      </c>
      <c r="E26" s="134">
        <f t="shared" si="1"/>
        <v>18</v>
      </c>
      <c r="F26" s="134">
        <v>0</v>
      </c>
      <c r="G26" s="134">
        <f>G27</f>
        <v>18</v>
      </c>
    </row>
    <row r="27" spans="1:7" ht="17.25" customHeight="1">
      <c r="A27" s="134"/>
      <c r="B27" s="774" t="s">
        <v>816</v>
      </c>
      <c r="C27" s="134">
        <f t="shared" si="1"/>
        <v>191</v>
      </c>
      <c r="D27" s="134">
        <f t="shared" si="1"/>
        <v>39</v>
      </c>
      <c r="E27" s="134">
        <f t="shared" si="1"/>
        <v>18</v>
      </c>
      <c r="F27" s="134">
        <v>0</v>
      </c>
      <c r="G27" s="134">
        <f>G28</f>
        <v>18</v>
      </c>
    </row>
    <row r="28" spans="1:7" ht="17.25" customHeight="1">
      <c r="A28" s="134"/>
      <c r="B28" s="134" t="s">
        <v>705</v>
      </c>
      <c r="C28" s="134">
        <v>191</v>
      </c>
      <c r="D28" s="134">
        <v>39</v>
      </c>
      <c r="E28" s="134">
        <v>18</v>
      </c>
      <c r="F28" s="134">
        <v>0</v>
      </c>
      <c r="G28" s="134">
        <f>E28-'[10]Septembris'!G28</f>
        <v>18</v>
      </c>
    </row>
    <row r="29" spans="1:7" ht="17.25" customHeight="1" hidden="1">
      <c r="A29" s="134"/>
      <c r="B29" s="134" t="s">
        <v>976</v>
      </c>
      <c r="C29" s="134"/>
      <c r="D29" s="134"/>
      <c r="E29" s="134"/>
      <c r="F29" s="134"/>
      <c r="G29" s="134"/>
    </row>
    <row r="30" spans="1:9" ht="17.25" customHeight="1">
      <c r="A30" s="134"/>
      <c r="B30" s="914" t="s">
        <v>821</v>
      </c>
      <c r="C30" s="914"/>
      <c r="D30" s="914"/>
      <c r="E30" s="914"/>
      <c r="F30" s="914"/>
      <c r="G30" s="914"/>
      <c r="H30" s="780"/>
      <c r="I30" s="133"/>
    </row>
    <row r="31" spans="1:7" ht="17.25" customHeight="1">
      <c r="A31" s="134"/>
      <c r="B31" s="779" t="s">
        <v>42</v>
      </c>
      <c r="C31" s="134">
        <f>SUM(C32,C34)</f>
        <v>4760</v>
      </c>
      <c r="D31" s="134">
        <f>SUM(D32,D34)</f>
        <v>2948</v>
      </c>
      <c r="E31" s="134">
        <f>SUM(E32,E34)</f>
        <v>1679</v>
      </c>
      <c r="F31" s="773">
        <f>E31/C31*100</f>
        <v>35.27310924369748</v>
      </c>
      <c r="G31" s="134">
        <f>SUM(G32,G34)</f>
        <v>772</v>
      </c>
    </row>
    <row r="32" spans="1:7" ht="17.25" customHeight="1">
      <c r="A32" s="134"/>
      <c r="B32" s="774" t="s">
        <v>816</v>
      </c>
      <c r="C32" s="134">
        <f>C33</f>
        <v>2320</v>
      </c>
      <c r="D32" s="134">
        <f>D33</f>
        <v>1618</v>
      </c>
      <c r="E32" s="134">
        <f>E33</f>
        <v>522</v>
      </c>
      <c r="F32" s="773">
        <f>E32/C32*100</f>
        <v>22.5</v>
      </c>
      <c r="G32" s="134">
        <f>G33</f>
        <v>96</v>
      </c>
    </row>
    <row r="33" spans="1:7" ht="17.25" customHeight="1">
      <c r="A33" s="134"/>
      <c r="B33" s="134" t="s">
        <v>976</v>
      </c>
      <c r="C33" s="134">
        <v>2320</v>
      </c>
      <c r="D33" s="134">
        <v>1618</v>
      </c>
      <c r="E33" s="134">
        <v>522</v>
      </c>
      <c r="F33" s="773">
        <f>E33/C33*100</f>
        <v>22.5</v>
      </c>
      <c r="G33" s="134">
        <f>E33-'[10]Septembris'!E33</f>
        <v>96</v>
      </c>
    </row>
    <row r="34" spans="1:7" ht="17.25" customHeight="1">
      <c r="A34" s="134"/>
      <c r="B34" s="774" t="s">
        <v>258</v>
      </c>
      <c r="C34" s="134">
        <f>C35</f>
        <v>2440</v>
      </c>
      <c r="D34" s="134">
        <f>D35</f>
        <v>1330</v>
      </c>
      <c r="E34" s="134">
        <f>E35</f>
        <v>1157</v>
      </c>
      <c r="F34" s="773">
        <f>E34/C34*100</f>
        <v>47.41803278688524</v>
      </c>
      <c r="G34" s="134">
        <f>G35</f>
        <v>676</v>
      </c>
    </row>
    <row r="35" spans="1:7" ht="17.25" customHeight="1">
      <c r="A35" s="134"/>
      <c r="B35" s="134" t="s">
        <v>976</v>
      </c>
      <c r="C35" s="134">
        <v>2440</v>
      </c>
      <c r="D35" s="134">
        <v>1330</v>
      </c>
      <c r="E35" s="134">
        <v>1157</v>
      </c>
      <c r="F35" s="773">
        <f>E35/C35*100</f>
        <v>47.41803278688524</v>
      </c>
      <c r="G35" s="134">
        <f>E35-'[10]Septembris'!E35</f>
        <v>676</v>
      </c>
    </row>
    <row r="36" spans="1:7" ht="17.25" customHeight="1">
      <c r="A36" s="776" t="s">
        <v>1007</v>
      </c>
      <c r="B36" s="134"/>
      <c r="C36" s="134"/>
      <c r="D36" s="134"/>
      <c r="E36" s="134"/>
      <c r="F36" s="134"/>
      <c r="G36" s="134"/>
    </row>
    <row r="37" spans="1:8" ht="17.25" customHeight="1">
      <c r="A37" s="134" t="s">
        <v>822</v>
      </c>
      <c r="B37" s="914" t="s">
        <v>823</v>
      </c>
      <c r="C37" s="914"/>
      <c r="D37" s="914"/>
      <c r="E37" s="914"/>
      <c r="F37" s="914"/>
      <c r="G37" s="914"/>
      <c r="H37" s="780"/>
    </row>
    <row r="38" spans="1:7" ht="17.25" customHeight="1">
      <c r="A38" s="134"/>
      <c r="B38" s="779" t="s">
        <v>42</v>
      </c>
      <c r="C38" s="134">
        <f>SUM(C39,C41)</f>
        <v>250</v>
      </c>
      <c r="D38" s="134">
        <f>SUM(D39,D41)</f>
        <v>130</v>
      </c>
      <c r="E38" s="134">
        <f>SUM(E39,E41)</f>
        <v>8</v>
      </c>
      <c r="F38" s="773">
        <f>E38/C38*100</f>
        <v>3.2</v>
      </c>
      <c r="G38" s="134">
        <f>SUM(G39,G41)</f>
        <v>3</v>
      </c>
    </row>
    <row r="39" spans="1:7" ht="17.25" customHeight="1" hidden="1">
      <c r="A39" s="134"/>
      <c r="B39" s="774" t="s">
        <v>813</v>
      </c>
      <c r="C39" s="134">
        <f>C40</f>
        <v>0</v>
      </c>
      <c r="D39" s="134">
        <f>D40</f>
        <v>0</v>
      </c>
      <c r="E39" s="134"/>
      <c r="F39" s="773" t="e">
        <f>E39/C39*100</f>
        <v>#DIV/0!</v>
      </c>
      <c r="G39" s="134"/>
    </row>
    <row r="40" spans="1:7" ht="17.25" customHeight="1" hidden="1">
      <c r="A40" s="134"/>
      <c r="B40" s="782" t="s">
        <v>976</v>
      </c>
      <c r="C40" s="134"/>
      <c r="D40" s="134">
        <v>0</v>
      </c>
      <c r="E40" s="134"/>
      <c r="F40" s="773" t="e">
        <f>E40/C40*100</f>
        <v>#DIV/0!</v>
      </c>
      <c r="G40" s="134"/>
    </row>
    <row r="41" spans="1:7" ht="17.25" customHeight="1">
      <c r="A41" s="134"/>
      <c r="B41" s="774" t="s">
        <v>258</v>
      </c>
      <c r="C41" s="134">
        <f>C42</f>
        <v>250</v>
      </c>
      <c r="D41" s="134">
        <f>D42</f>
        <v>130</v>
      </c>
      <c r="E41" s="134">
        <f>E42</f>
        <v>8</v>
      </c>
      <c r="F41" s="773">
        <f>E41/C41*100</f>
        <v>3.2</v>
      </c>
      <c r="G41" s="134">
        <f>G42</f>
        <v>3</v>
      </c>
    </row>
    <row r="42" spans="1:7" ht="17.25" customHeight="1">
      <c r="A42" s="134"/>
      <c r="B42" s="782" t="s">
        <v>976</v>
      </c>
      <c r="C42" s="134">
        <v>250</v>
      </c>
      <c r="D42" s="134">
        <v>130</v>
      </c>
      <c r="E42" s="134">
        <v>8</v>
      </c>
      <c r="F42" s="773">
        <f>E42/C42*100</f>
        <v>3.2</v>
      </c>
      <c r="G42" s="134">
        <f>E42-'[10]Septembris'!E42</f>
        <v>3</v>
      </c>
    </row>
    <row r="43" spans="1:7" ht="17.25" customHeight="1">
      <c r="A43" s="915" t="s">
        <v>824</v>
      </c>
      <c r="B43" s="915"/>
      <c r="C43" s="915"/>
      <c r="D43" s="915"/>
      <c r="E43" s="915"/>
      <c r="F43" s="915"/>
      <c r="G43" s="916"/>
    </row>
    <row r="44" spans="1:3" ht="17.25" customHeight="1">
      <c r="A44" s="134" t="s">
        <v>825</v>
      </c>
      <c r="B44" s="914" t="s">
        <v>826</v>
      </c>
      <c r="C44" s="914"/>
    </row>
    <row r="45" spans="1:7" ht="17.25" customHeight="1">
      <c r="A45" s="134"/>
      <c r="B45" s="779" t="s">
        <v>42</v>
      </c>
      <c r="C45" s="134">
        <f>C46</f>
        <v>531</v>
      </c>
      <c r="D45" s="134">
        <f>D46</f>
        <v>531</v>
      </c>
      <c r="E45" s="134">
        <v>0</v>
      </c>
      <c r="F45" s="134">
        <v>0</v>
      </c>
      <c r="G45" s="134">
        <v>0</v>
      </c>
    </row>
    <row r="46" spans="1:7" ht="17.25" customHeight="1">
      <c r="A46" s="134"/>
      <c r="B46" s="774" t="s">
        <v>813</v>
      </c>
      <c r="C46" s="134">
        <f>C48</f>
        <v>531</v>
      </c>
      <c r="D46" s="134">
        <f>D48</f>
        <v>531</v>
      </c>
      <c r="E46" s="134">
        <v>0</v>
      </c>
      <c r="F46" s="134">
        <v>0</v>
      </c>
      <c r="G46" s="134">
        <v>0</v>
      </c>
    </row>
    <row r="47" spans="1:7" ht="17.25" customHeight="1" hidden="1">
      <c r="A47" s="134"/>
      <c r="B47" s="134" t="s">
        <v>705</v>
      </c>
      <c r="C47" s="134"/>
      <c r="D47" s="134"/>
      <c r="E47" s="134"/>
      <c r="F47" s="134"/>
      <c r="G47" s="134"/>
    </row>
    <row r="48" spans="1:7" ht="17.25" customHeight="1">
      <c r="A48" s="134"/>
      <c r="B48" s="134" t="s">
        <v>976</v>
      </c>
      <c r="C48" s="134">
        <v>531</v>
      </c>
      <c r="D48" s="134">
        <v>531</v>
      </c>
      <c r="E48" s="134">
        <v>0</v>
      </c>
      <c r="F48" s="134">
        <v>0</v>
      </c>
      <c r="G48" s="134">
        <f>E39-'[10]Septembris'!G39</f>
        <v>0</v>
      </c>
    </row>
    <row r="49" spans="1:7" ht="17.25" customHeight="1">
      <c r="A49" s="134" t="s">
        <v>827</v>
      </c>
      <c r="B49" s="783" t="s">
        <v>828</v>
      </c>
      <c r="C49" s="134"/>
      <c r="D49" s="134"/>
      <c r="E49" s="134"/>
      <c r="F49" s="134"/>
      <c r="G49" s="134"/>
    </row>
    <row r="50" spans="1:7" ht="17.25" customHeight="1">
      <c r="A50" s="134"/>
      <c r="B50" s="134" t="s">
        <v>42</v>
      </c>
      <c r="C50" s="134">
        <f>C51</f>
        <v>177</v>
      </c>
      <c r="D50" s="134">
        <f>D51</f>
        <v>177</v>
      </c>
      <c r="E50" s="134">
        <v>0</v>
      </c>
      <c r="F50" s="134">
        <v>0</v>
      </c>
      <c r="G50" s="134">
        <v>0</v>
      </c>
    </row>
    <row r="51" spans="1:7" ht="17.25" customHeight="1">
      <c r="A51" s="134"/>
      <c r="B51" s="134" t="s">
        <v>813</v>
      </c>
      <c r="C51" s="134">
        <f>C52</f>
        <v>177</v>
      </c>
      <c r="D51" s="134">
        <f>D52</f>
        <v>177</v>
      </c>
      <c r="E51" s="134">
        <v>0</v>
      </c>
      <c r="F51" s="134">
        <v>0</v>
      </c>
      <c r="G51" s="134">
        <v>0</v>
      </c>
    </row>
    <row r="52" spans="1:7" ht="17.25" customHeight="1">
      <c r="A52" s="134"/>
      <c r="B52" s="134" t="s">
        <v>976</v>
      </c>
      <c r="C52" s="134">
        <v>177</v>
      </c>
      <c r="D52" s="134">
        <v>177</v>
      </c>
      <c r="E52" s="134">
        <v>0</v>
      </c>
      <c r="F52" s="134">
        <v>0</v>
      </c>
      <c r="G52" s="134">
        <v>0</v>
      </c>
    </row>
    <row r="53" spans="1:7" ht="17.25" customHeight="1">
      <c r="A53" s="134" t="s">
        <v>829</v>
      </c>
      <c r="B53" s="783" t="s">
        <v>830</v>
      </c>
      <c r="C53" s="134"/>
      <c r="D53" s="134"/>
      <c r="E53" s="134"/>
      <c r="F53" s="134"/>
      <c r="G53" s="134"/>
    </row>
    <row r="54" spans="1:7" ht="17.25" customHeight="1">
      <c r="A54" s="134"/>
      <c r="B54" s="134" t="s">
        <v>42</v>
      </c>
      <c r="C54" s="134">
        <f>C55</f>
        <v>1180</v>
      </c>
      <c r="D54" s="134">
        <f>D55</f>
        <v>1180</v>
      </c>
      <c r="E54" s="134">
        <v>0</v>
      </c>
      <c r="F54" s="134">
        <v>0</v>
      </c>
      <c r="G54" s="134">
        <v>0</v>
      </c>
    </row>
    <row r="55" spans="1:7" ht="17.25" customHeight="1">
      <c r="A55" s="134"/>
      <c r="B55" s="134" t="s">
        <v>813</v>
      </c>
      <c r="C55" s="134">
        <f>C56</f>
        <v>1180</v>
      </c>
      <c r="D55" s="134">
        <f>D56+D57</f>
        <v>1180</v>
      </c>
      <c r="E55" s="134">
        <v>0</v>
      </c>
      <c r="F55" s="134">
        <v>0</v>
      </c>
      <c r="G55" s="134">
        <v>0</v>
      </c>
    </row>
    <row r="56" spans="1:7" ht="17.25" customHeight="1" hidden="1">
      <c r="A56" s="134"/>
      <c r="B56" s="134" t="s">
        <v>705</v>
      </c>
      <c r="C56" s="134">
        <f>C57</f>
        <v>1180</v>
      </c>
      <c r="D56" s="134"/>
      <c r="E56" s="134"/>
      <c r="F56" s="134"/>
      <c r="G56" s="134"/>
    </row>
    <row r="57" spans="1:7" ht="17.25" customHeight="1">
      <c r="A57" s="134"/>
      <c r="B57" s="134" t="s">
        <v>976</v>
      </c>
      <c r="C57" s="134">
        <v>1180</v>
      </c>
      <c r="D57" s="134">
        <v>1180</v>
      </c>
      <c r="E57" s="134">
        <v>0</v>
      </c>
      <c r="F57" s="134">
        <v>0</v>
      </c>
      <c r="G57" s="134">
        <v>0</v>
      </c>
    </row>
    <row r="58" spans="1:7" ht="17.25" customHeight="1" hidden="1">
      <c r="A58" s="134" t="s">
        <v>831</v>
      </c>
      <c r="B58" s="783" t="s">
        <v>832</v>
      </c>
      <c r="C58" s="134"/>
      <c r="D58" s="134"/>
      <c r="E58" s="134"/>
      <c r="F58" s="134"/>
      <c r="G58" s="134"/>
    </row>
    <row r="59" spans="1:7" ht="17.25" customHeight="1" hidden="1">
      <c r="A59" s="134"/>
      <c r="B59" s="134" t="s">
        <v>42</v>
      </c>
      <c r="C59" s="134"/>
      <c r="D59" s="134">
        <f>D60</f>
        <v>0</v>
      </c>
      <c r="E59" s="134"/>
      <c r="F59" s="134"/>
      <c r="G59" s="134"/>
    </row>
    <row r="60" spans="1:7" ht="17.25" customHeight="1" hidden="1">
      <c r="A60" s="134"/>
      <c r="B60" s="134" t="s">
        <v>813</v>
      </c>
      <c r="C60" s="134"/>
      <c r="D60" s="134">
        <f>D62</f>
        <v>0</v>
      </c>
      <c r="E60" s="134"/>
      <c r="F60" s="134"/>
      <c r="G60" s="134"/>
    </row>
    <row r="61" spans="1:7" ht="17.25" customHeight="1" hidden="1">
      <c r="A61" s="134"/>
      <c r="B61" s="134" t="s">
        <v>705</v>
      </c>
      <c r="C61" s="134"/>
      <c r="D61" s="134"/>
      <c r="E61" s="134"/>
      <c r="F61" s="134"/>
      <c r="G61" s="134"/>
    </row>
    <row r="62" spans="1:7" ht="17.25" customHeight="1" hidden="1">
      <c r="A62" s="134"/>
      <c r="B62" s="134" t="s">
        <v>976</v>
      </c>
      <c r="C62" s="134"/>
      <c r="D62" s="134">
        <v>0</v>
      </c>
      <c r="E62" s="134"/>
      <c r="F62" s="134"/>
      <c r="G62" s="134"/>
    </row>
    <row r="63" spans="1:7" ht="17.25" customHeight="1" hidden="1">
      <c r="A63" s="134" t="s">
        <v>831</v>
      </c>
      <c r="B63" s="783" t="s">
        <v>833</v>
      </c>
      <c r="C63" s="134"/>
      <c r="D63" s="134"/>
      <c r="E63" s="134"/>
      <c r="F63" s="134"/>
      <c r="G63" s="134"/>
    </row>
    <row r="64" spans="1:7" ht="17.25" customHeight="1" hidden="1">
      <c r="A64" s="134"/>
      <c r="B64" s="134" t="s">
        <v>42</v>
      </c>
      <c r="C64" s="134"/>
      <c r="D64" s="134">
        <f>D65</f>
        <v>0</v>
      </c>
      <c r="E64" s="134"/>
      <c r="F64" s="134"/>
      <c r="G64" s="134"/>
    </row>
    <row r="65" spans="1:7" ht="17.25" customHeight="1" hidden="1">
      <c r="A65" s="134"/>
      <c r="B65" s="134" t="s">
        <v>813</v>
      </c>
      <c r="C65" s="134"/>
      <c r="D65" s="134">
        <f>D67</f>
        <v>0</v>
      </c>
      <c r="E65" s="134"/>
      <c r="F65" s="134"/>
      <c r="G65" s="134"/>
    </row>
    <row r="66" spans="1:7" ht="17.25" customHeight="1" hidden="1">
      <c r="A66" s="134"/>
      <c r="B66" s="134" t="s">
        <v>705</v>
      </c>
      <c r="C66" s="134"/>
      <c r="D66" s="134"/>
      <c r="E66" s="134"/>
      <c r="F66" s="134"/>
      <c r="G66" s="134"/>
    </row>
    <row r="67" spans="1:7" ht="17.25" customHeight="1" hidden="1">
      <c r="A67" s="134"/>
      <c r="B67" s="134" t="s">
        <v>976</v>
      </c>
      <c r="C67" s="134"/>
      <c r="D67" s="134">
        <v>0</v>
      </c>
      <c r="E67" s="134"/>
      <c r="F67" s="134"/>
      <c r="G67" s="134"/>
    </row>
    <row r="68" spans="1:7" ht="17.25" customHeight="1" hidden="1">
      <c r="A68" s="134" t="s">
        <v>834</v>
      </c>
      <c r="B68" s="783" t="s">
        <v>835</v>
      </c>
      <c r="C68" s="134"/>
      <c r="D68" s="134"/>
      <c r="E68" s="134"/>
      <c r="F68" s="134"/>
      <c r="G68" s="134"/>
    </row>
    <row r="69" spans="1:7" ht="17.25" customHeight="1" hidden="1">
      <c r="A69" s="134"/>
      <c r="B69" s="134" t="s">
        <v>42</v>
      </c>
      <c r="C69" s="134"/>
      <c r="D69" s="134">
        <f>D70</f>
        <v>0</v>
      </c>
      <c r="E69" s="134"/>
      <c r="F69" s="134"/>
      <c r="G69" s="134"/>
    </row>
    <row r="70" spans="1:7" ht="17.25" customHeight="1" hidden="1">
      <c r="A70" s="134"/>
      <c r="B70" s="134" t="s">
        <v>813</v>
      </c>
      <c r="C70" s="134"/>
      <c r="D70" s="134">
        <f>D72</f>
        <v>0</v>
      </c>
      <c r="E70" s="134"/>
      <c r="F70" s="134"/>
      <c r="G70" s="134"/>
    </row>
    <row r="71" spans="1:7" ht="17.25" customHeight="1" hidden="1">
      <c r="A71" s="134"/>
      <c r="B71" s="134" t="s">
        <v>705</v>
      </c>
      <c r="C71" s="134"/>
      <c r="D71" s="134"/>
      <c r="E71" s="134"/>
      <c r="F71" s="134"/>
      <c r="G71" s="134"/>
    </row>
    <row r="72" spans="1:7" ht="17.25" customHeight="1" hidden="1">
      <c r="A72" s="134"/>
      <c r="B72" s="134" t="s">
        <v>976</v>
      </c>
      <c r="C72" s="134"/>
      <c r="D72" s="134">
        <v>0</v>
      </c>
      <c r="E72" s="134"/>
      <c r="F72" s="134"/>
      <c r="G72" s="134"/>
    </row>
    <row r="73" spans="1:7" ht="17.25" customHeight="1" hidden="1">
      <c r="A73" s="134" t="s">
        <v>831</v>
      </c>
      <c r="B73" s="783" t="s">
        <v>836</v>
      </c>
      <c r="C73" s="134"/>
      <c r="D73" s="134"/>
      <c r="E73" s="134"/>
      <c r="F73" s="134"/>
      <c r="G73" s="134"/>
    </row>
    <row r="74" spans="1:7" ht="17.25" customHeight="1" hidden="1">
      <c r="A74" s="134"/>
      <c r="B74" s="134" t="s">
        <v>42</v>
      </c>
      <c r="C74" s="134"/>
      <c r="D74" s="134">
        <f>D75</f>
        <v>0</v>
      </c>
      <c r="E74" s="134"/>
      <c r="F74" s="134"/>
      <c r="G74" s="134"/>
    </row>
    <row r="75" spans="1:7" ht="17.25" customHeight="1" hidden="1">
      <c r="A75" s="134"/>
      <c r="B75" s="134" t="s">
        <v>813</v>
      </c>
      <c r="C75" s="134"/>
      <c r="D75" s="134">
        <f>D77</f>
        <v>0</v>
      </c>
      <c r="E75" s="134"/>
      <c r="F75" s="134"/>
      <c r="G75" s="134"/>
    </row>
    <row r="76" spans="1:7" ht="17.25" customHeight="1" hidden="1">
      <c r="A76" s="134"/>
      <c r="B76" s="134" t="s">
        <v>705</v>
      </c>
      <c r="C76" s="134"/>
      <c r="D76" s="134">
        <f>D78</f>
        <v>0</v>
      </c>
      <c r="E76" s="134"/>
      <c r="F76" s="134"/>
      <c r="G76" s="134"/>
    </row>
    <row r="77" spans="1:7" ht="17.25" customHeight="1" hidden="1">
      <c r="A77" s="134"/>
      <c r="B77" s="134" t="s">
        <v>976</v>
      </c>
      <c r="C77" s="134"/>
      <c r="D77" s="134">
        <f>D79</f>
        <v>0</v>
      </c>
      <c r="E77" s="134"/>
      <c r="F77" s="134"/>
      <c r="G77" s="134"/>
    </row>
    <row r="78" spans="1:7" ht="17.25" customHeight="1">
      <c r="A78" s="133"/>
      <c r="B78" s="133"/>
      <c r="C78" s="133"/>
      <c r="D78" s="133"/>
      <c r="E78" s="133"/>
      <c r="F78" s="133"/>
      <c r="G78" s="133"/>
    </row>
    <row r="79" spans="6:7" ht="17.25" customHeight="1">
      <c r="F79" s="133"/>
      <c r="G79" s="133"/>
    </row>
    <row r="80" spans="1:7" s="469" customFormat="1" ht="17.25" customHeight="1">
      <c r="A80" s="679" t="s">
        <v>568</v>
      </c>
      <c r="F80" s="172" t="s">
        <v>959</v>
      </c>
      <c r="G80" s="784"/>
    </row>
    <row r="81" spans="1:7" ht="17.25" customHeight="1">
      <c r="A81" s="133"/>
      <c r="B81" s="133"/>
      <c r="C81" s="133"/>
      <c r="D81" s="133"/>
      <c r="E81" s="133"/>
      <c r="F81" s="133"/>
      <c r="G81" s="133"/>
    </row>
    <row r="83" ht="17.25" customHeight="1">
      <c r="A83" t="s">
        <v>134</v>
      </c>
    </row>
    <row r="84" ht="17.25" customHeight="1">
      <c r="A84" t="s">
        <v>914</v>
      </c>
    </row>
    <row r="85" ht="17.25" customHeight="1">
      <c r="G85" s="49"/>
    </row>
  </sheetData>
  <mergeCells count="10">
    <mergeCell ref="A2:G2"/>
    <mergeCell ref="A4:G4"/>
    <mergeCell ref="A5:G5"/>
    <mergeCell ref="B17:G17"/>
    <mergeCell ref="B21:G21"/>
    <mergeCell ref="B44:C44"/>
    <mergeCell ref="B25:G25"/>
    <mergeCell ref="B30:G30"/>
    <mergeCell ref="B37:G37"/>
    <mergeCell ref="A43:G43"/>
  </mergeCells>
  <printOptions horizontalCentered="1"/>
  <pageMargins left="0.68" right="0.2755905511811024" top="0.53" bottom="0.55" header="0.25" footer="0.26"/>
  <pageSetup firstPageNumber="57" useFirstPageNumber="1" horizontalDpi="600" verticalDpi="600" orientation="portrait" paperSize="9" scale="70" r:id="rId1"/>
  <headerFooter alignWithMargins="0">
    <oddFooter>&amp;R&amp;P</oddFooter>
  </headerFooter>
  <rowBreaks count="1" manualBreakCount="1">
    <brk id="84" max="6" man="1"/>
  </rowBreaks>
  <colBreaks count="1" manualBreakCount="1">
    <brk id="7" max="65535" man="1"/>
  </col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GX53"/>
  <sheetViews>
    <sheetView workbookViewId="0" topLeftCell="E1">
      <selection activeCell="E7" sqref="E7"/>
    </sheetView>
  </sheetViews>
  <sheetFormatPr defaultColWidth="9.140625" defaultRowHeight="12.75"/>
  <cols>
    <col min="1" max="1" width="30.00390625" style="0" hidden="1" customWidth="1"/>
    <col min="2" max="2" width="14.28125" style="0" hidden="1" customWidth="1"/>
    <col min="3" max="3" width="14.421875" style="0" hidden="1" customWidth="1"/>
    <col min="4" max="4" width="12.421875" style="0" hidden="1" customWidth="1"/>
    <col min="5" max="5" width="32.7109375" style="0" customWidth="1"/>
    <col min="6" max="6" width="15.8515625" style="0" customWidth="1"/>
    <col min="7" max="7" width="16.28125" style="0" customWidth="1"/>
    <col min="8" max="8" width="13.28125" style="0" customWidth="1"/>
  </cols>
  <sheetData>
    <row r="1" spans="2:206" s="49" customFormat="1" ht="12.75">
      <c r="B1" s="50"/>
      <c r="D1" s="271" t="s">
        <v>698</v>
      </c>
      <c r="F1" s="50"/>
      <c r="H1" s="271" t="s">
        <v>698</v>
      </c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</row>
    <row r="2" spans="2:206" s="49" customFormat="1" ht="12.75">
      <c r="B2" s="50"/>
      <c r="D2" s="271"/>
      <c r="F2" s="50"/>
      <c r="H2" s="271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</row>
    <row r="3" spans="1:206" s="49" customFormat="1" ht="12.75">
      <c r="A3" s="855" t="s">
        <v>926</v>
      </c>
      <c r="B3" s="855"/>
      <c r="C3" s="855"/>
      <c r="D3" s="855"/>
      <c r="E3" s="855" t="s">
        <v>926</v>
      </c>
      <c r="F3" s="855"/>
      <c r="G3" s="855"/>
      <c r="H3" s="855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</row>
    <row r="4" spans="2:206" s="49" customFormat="1" ht="12.75">
      <c r="B4" s="50"/>
      <c r="D4" s="271"/>
      <c r="F4" s="50"/>
      <c r="H4" s="271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</row>
    <row r="5" spans="1:8" ht="15">
      <c r="A5" s="920" t="s">
        <v>699</v>
      </c>
      <c r="B5" s="920"/>
      <c r="C5" s="920"/>
      <c r="D5" s="920"/>
      <c r="E5" s="920" t="s">
        <v>699</v>
      </c>
      <c r="F5" s="920"/>
      <c r="G5" s="920"/>
      <c r="H5" s="920"/>
    </row>
    <row r="6" spans="1:8" ht="12.75">
      <c r="A6" s="918" t="s">
        <v>352</v>
      </c>
      <c r="B6" s="918"/>
      <c r="C6" s="918"/>
      <c r="D6" s="918"/>
      <c r="E6" s="855" t="s">
        <v>307</v>
      </c>
      <c r="F6" s="855"/>
      <c r="G6" s="855"/>
      <c r="H6" s="855"/>
    </row>
    <row r="7" spans="1:8" ht="12.75">
      <c r="A7" s="221"/>
      <c r="B7" s="221"/>
      <c r="C7" s="221"/>
      <c r="D7" s="221"/>
      <c r="E7" s="221"/>
      <c r="F7" s="221"/>
      <c r="G7" s="221"/>
      <c r="H7" s="221"/>
    </row>
    <row r="8" spans="4:8" ht="12.75">
      <c r="D8" s="2" t="s">
        <v>252</v>
      </c>
      <c r="H8" s="2" t="s">
        <v>842</v>
      </c>
    </row>
    <row r="9" spans="1:8" s="649" customFormat="1" ht="57" customHeight="1">
      <c r="A9" s="648" t="s">
        <v>738</v>
      </c>
      <c r="B9" s="274" t="s">
        <v>700</v>
      </c>
      <c r="C9" s="274" t="s">
        <v>707</v>
      </c>
      <c r="D9" s="274" t="s">
        <v>708</v>
      </c>
      <c r="E9" s="648" t="s">
        <v>738</v>
      </c>
      <c r="F9" s="274" t="s">
        <v>700</v>
      </c>
      <c r="G9" s="274" t="s">
        <v>707</v>
      </c>
      <c r="H9" s="274" t="s">
        <v>708</v>
      </c>
    </row>
    <row r="10" spans="1:8" s="651" customFormat="1" ht="11.25" customHeight="1">
      <c r="A10" s="650">
        <v>1</v>
      </c>
      <c r="B10" s="650">
        <v>2</v>
      </c>
      <c r="C10" s="8">
        <v>3</v>
      </c>
      <c r="D10" s="8" t="s">
        <v>709</v>
      </c>
      <c r="E10" s="650">
        <v>1</v>
      </c>
      <c r="F10" s="650">
        <v>2</v>
      </c>
      <c r="G10" s="8">
        <v>3</v>
      </c>
      <c r="H10" s="8" t="s">
        <v>709</v>
      </c>
    </row>
    <row r="11" spans="1:8" s="654" customFormat="1" ht="15">
      <c r="A11" s="652" t="s">
        <v>710</v>
      </c>
      <c r="B11" s="653">
        <f>B12+B35</f>
        <v>49031643</v>
      </c>
      <c r="C11" s="653">
        <f>C12+C35</f>
        <v>187526937</v>
      </c>
      <c r="D11" s="653">
        <f>C11-B11</f>
        <v>138495294</v>
      </c>
      <c r="E11" s="652" t="s">
        <v>710</v>
      </c>
      <c r="F11" s="653">
        <f>F12+F35</f>
        <v>49032</v>
      </c>
      <c r="G11" s="653">
        <f>G12+G35</f>
        <v>187527</v>
      </c>
      <c r="H11" s="653">
        <f>G11-F11</f>
        <v>138495</v>
      </c>
    </row>
    <row r="12" spans="1:8" s="426" customFormat="1" ht="12.75">
      <c r="A12" s="209" t="s">
        <v>711</v>
      </c>
      <c r="B12" s="210">
        <f>B13+B22</f>
        <v>47461838</v>
      </c>
      <c r="C12" s="210">
        <f>C13+C22</f>
        <v>182466528</v>
      </c>
      <c r="D12" s="210">
        <f aca="true" t="shared" si="0" ref="D12:D41">C12-B12</f>
        <v>135004690</v>
      </c>
      <c r="E12" s="209" t="s">
        <v>711</v>
      </c>
      <c r="F12" s="210">
        <f>F13+F22</f>
        <v>47462</v>
      </c>
      <c r="G12" s="210">
        <f>G13+G22</f>
        <v>182467</v>
      </c>
      <c r="H12" s="210">
        <f aca="true" t="shared" si="1" ref="H12:H41">G12-F12</f>
        <v>135005</v>
      </c>
    </row>
    <row r="13" spans="1:8" s="626" customFormat="1" ht="12">
      <c r="A13" s="74" t="s">
        <v>712</v>
      </c>
      <c r="B13" s="174">
        <f>SUM(B14:B21)</f>
        <v>25367091</v>
      </c>
      <c r="C13" s="174">
        <f>SUM(C14:C21)</f>
        <v>25509514</v>
      </c>
      <c r="D13" s="174">
        <f t="shared" si="0"/>
        <v>142423</v>
      </c>
      <c r="E13" s="74" t="s">
        <v>712</v>
      </c>
      <c r="F13" s="174">
        <f>SUM(F14:F21)</f>
        <v>25367</v>
      </c>
      <c r="G13" s="174">
        <f>SUM(G14:G21)</f>
        <v>25510</v>
      </c>
      <c r="H13" s="174">
        <f t="shared" si="1"/>
        <v>143</v>
      </c>
    </row>
    <row r="14" spans="1:8" s="38" customFormat="1" ht="11.25">
      <c r="A14" s="65" t="s">
        <v>767</v>
      </c>
      <c r="B14" s="535">
        <v>24184285</v>
      </c>
      <c r="C14" s="535">
        <f>906043+1089441+10765689+3888422+4525754+368813</f>
        <v>21544162</v>
      </c>
      <c r="D14" s="535">
        <f t="shared" si="0"/>
        <v>-2640123</v>
      </c>
      <c r="E14" s="65" t="s">
        <v>767</v>
      </c>
      <c r="F14" s="535">
        <f>ROUND(B14/1000,0)</f>
        <v>24184</v>
      </c>
      <c r="G14" s="535">
        <f>ROUND(C14/1000,0)</f>
        <v>21544</v>
      </c>
      <c r="H14" s="535">
        <f t="shared" si="1"/>
        <v>-2640</v>
      </c>
    </row>
    <row r="15" spans="1:8" s="38" customFormat="1" ht="11.25">
      <c r="A15" s="65" t="s">
        <v>713</v>
      </c>
      <c r="B15" s="535">
        <f>1683+47151</f>
        <v>48834</v>
      </c>
      <c r="C15" s="535">
        <v>36956</v>
      </c>
      <c r="D15" s="535">
        <f t="shared" si="0"/>
        <v>-11878</v>
      </c>
      <c r="E15" s="65" t="s">
        <v>713</v>
      </c>
      <c r="F15" s="535">
        <f aca="true" t="shared" si="2" ref="F15:G30">ROUND(B15/1000,0)</f>
        <v>49</v>
      </c>
      <c r="G15" s="535">
        <f t="shared" si="2"/>
        <v>37</v>
      </c>
      <c r="H15" s="535">
        <f t="shared" si="1"/>
        <v>-12</v>
      </c>
    </row>
    <row r="16" spans="1:8" s="38" customFormat="1" ht="11.25">
      <c r="A16" s="65" t="s">
        <v>714</v>
      </c>
      <c r="B16" s="535">
        <f>1051331+27952</f>
        <v>1079283</v>
      </c>
      <c r="C16" s="535">
        <f>41928+3308335</f>
        <v>3350263</v>
      </c>
      <c r="D16" s="535">
        <f t="shared" si="0"/>
        <v>2270980</v>
      </c>
      <c r="E16" s="65" t="s">
        <v>714</v>
      </c>
      <c r="F16" s="535">
        <f t="shared" si="2"/>
        <v>1079</v>
      </c>
      <c r="G16" s="535">
        <f t="shared" si="2"/>
        <v>3350</v>
      </c>
      <c r="H16" s="535">
        <f t="shared" si="1"/>
        <v>2271</v>
      </c>
    </row>
    <row r="17" spans="1:8" s="38" customFormat="1" ht="11.25">
      <c r="A17" s="65" t="s">
        <v>715</v>
      </c>
      <c r="B17" s="535">
        <v>11043</v>
      </c>
      <c r="C17" s="535">
        <v>15843</v>
      </c>
      <c r="D17" s="535">
        <f t="shared" si="0"/>
        <v>4800</v>
      </c>
      <c r="E17" s="65" t="s">
        <v>715</v>
      </c>
      <c r="F17" s="535">
        <f t="shared" si="2"/>
        <v>11</v>
      </c>
      <c r="G17" s="535">
        <f>ROUND(C17/1000,0)</f>
        <v>16</v>
      </c>
      <c r="H17" s="535">
        <f t="shared" si="1"/>
        <v>5</v>
      </c>
    </row>
    <row r="18" spans="1:8" s="38" customFormat="1" ht="11.25">
      <c r="A18" s="65" t="s">
        <v>716</v>
      </c>
      <c r="B18" s="535">
        <v>1284</v>
      </c>
      <c r="C18" s="535">
        <v>1815</v>
      </c>
      <c r="D18" s="535">
        <f t="shared" si="0"/>
        <v>531</v>
      </c>
      <c r="E18" s="65" t="s">
        <v>717</v>
      </c>
      <c r="F18" s="535">
        <f t="shared" si="2"/>
        <v>1</v>
      </c>
      <c r="G18" s="535">
        <f t="shared" si="2"/>
        <v>2</v>
      </c>
      <c r="H18" s="535">
        <f t="shared" si="1"/>
        <v>1</v>
      </c>
    </row>
    <row r="19" spans="1:8" s="38" customFormat="1" ht="11.25">
      <c r="A19" s="65" t="s">
        <v>718</v>
      </c>
      <c r="B19" s="535"/>
      <c r="C19" s="535"/>
      <c r="D19" s="535">
        <f t="shared" si="0"/>
        <v>0</v>
      </c>
      <c r="E19" s="65" t="s">
        <v>718</v>
      </c>
      <c r="F19" s="535">
        <f t="shared" si="2"/>
        <v>0</v>
      </c>
      <c r="G19" s="535">
        <f t="shared" si="2"/>
        <v>0</v>
      </c>
      <c r="H19" s="535">
        <f t="shared" si="1"/>
        <v>0</v>
      </c>
    </row>
    <row r="20" spans="1:8" s="38" customFormat="1" ht="11.25">
      <c r="A20" s="65" t="s">
        <v>719</v>
      </c>
      <c r="B20" s="535">
        <v>42362</v>
      </c>
      <c r="C20" s="535"/>
      <c r="D20" s="535">
        <f t="shared" si="0"/>
        <v>-42362</v>
      </c>
      <c r="E20" s="65" t="s">
        <v>719</v>
      </c>
      <c r="F20" s="535">
        <f>ROUND(B20/1000,0)+1</f>
        <v>43</v>
      </c>
      <c r="G20" s="535">
        <f t="shared" si="2"/>
        <v>0</v>
      </c>
      <c r="H20" s="535">
        <f t="shared" si="1"/>
        <v>-43</v>
      </c>
    </row>
    <row r="21" spans="1:8" s="38" customFormat="1" ht="11.25">
      <c r="A21" s="65" t="s">
        <v>720</v>
      </c>
      <c r="B21" s="535"/>
      <c r="C21" s="535">
        <v>560475</v>
      </c>
      <c r="D21" s="535">
        <f t="shared" si="0"/>
        <v>560475</v>
      </c>
      <c r="E21" s="65" t="s">
        <v>720</v>
      </c>
      <c r="F21" s="535">
        <f t="shared" si="2"/>
        <v>0</v>
      </c>
      <c r="G21" s="535">
        <f>ROUND(C21/1000,0)+1</f>
        <v>561</v>
      </c>
      <c r="H21" s="535">
        <f t="shared" si="1"/>
        <v>561</v>
      </c>
    </row>
    <row r="22" spans="1:8" s="626" customFormat="1" ht="12">
      <c r="A22" s="74" t="s">
        <v>721</v>
      </c>
      <c r="B22" s="174">
        <f>SUM(B23:B34)</f>
        <v>22094747</v>
      </c>
      <c r="C22" s="174">
        <f>SUM(C23:C34)</f>
        <v>156957014</v>
      </c>
      <c r="D22" s="174">
        <f t="shared" si="0"/>
        <v>134862267</v>
      </c>
      <c r="E22" s="74" t="s">
        <v>721</v>
      </c>
      <c r="F22" s="174">
        <f>SUM(F23:F34)</f>
        <v>22095</v>
      </c>
      <c r="G22" s="174">
        <f>SUM(G23:G34)</f>
        <v>156957</v>
      </c>
      <c r="H22" s="174">
        <f t="shared" si="1"/>
        <v>134862</v>
      </c>
    </row>
    <row r="23" spans="1:8" s="38" customFormat="1" ht="11.25">
      <c r="A23" s="65" t="s">
        <v>767</v>
      </c>
      <c r="B23" s="535">
        <v>22085409</v>
      </c>
      <c r="C23" s="535">
        <f>89300000+47449814+2907200</f>
        <v>139657014</v>
      </c>
      <c r="D23" s="535">
        <f t="shared" si="0"/>
        <v>117571605</v>
      </c>
      <c r="E23" s="65" t="s">
        <v>767</v>
      </c>
      <c r="F23" s="535">
        <f>ROUND(B23/1000,0)+1</f>
        <v>22086</v>
      </c>
      <c r="G23" s="535">
        <f>ROUND(C23/1000,0)</f>
        <v>139657</v>
      </c>
      <c r="H23" s="535">
        <f t="shared" si="1"/>
        <v>117571</v>
      </c>
    </row>
    <row r="24" spans="1:8" s="38" customFormat="1" ht="11.25">
      <c r="A24" s="65" t="s">
        <v>713</v>
      </c>
      <c r="B24" s="535"/>
      <c r="C24" s="535">
        <v>1300000</v>
      </c>
      <c r="D24" s="535">
        <f t="shared" si="0"/>
        <v>1300000</v>
      </c>
      <c r="E24" s="65" t="s">
        <v>713</v>
      </c>
      <c r="F24" s="535">
        <f t="shared" si="2"/>
        <v>0</v>
      </c>
      <c r="G24" s="535">
        <f t="shared" si="2"/>
        <v>1300</v>
      </c>
      <c r="H24" s="535">
        <f t="shared" si="1"/>
        <v>1300</v>
      </c>
    </row>
    <row r="25" spans="1:8" s="38" customFormat="1" ht="11.25">
      <c r="A25" s="65" t="s">
        <v>714</v>
      </c>
      <c r="B25" s="535"/>
      <c r="C25" s="535">
        <v>4500000</v>
      </c>
      <c r="D25" s="535">
        <f t="shared" si="0"/>
        <v>4500000</v>
      </c>
      <c r="E25" s="65" t="s">
        <v>714</v>
      </c>
      <c r="F25" s="535">
        <f t="shared" si="2"/>
        <v>0</v>
      </c>
      <c r="G25" s="535">
        <f t="shared" si="2"/>
        <v>4500</v>
      </c>
      <c r="H25" s="535">
        <f t="shared" si="1"/>
        <v>4500</v>
      </c>
    </row>
    <row r="26" spans="1:8" s="38" customFormat="1" ht="11.25">
      <c r="A26" s="65" t="s">
        <v>722</v>
      </c>
      <c r="B26" s="535"/>
      <c r="C26" s="535"/>
      <c r="D26" s="535">
        <f t="shared" si="0"/>
        <v>0</v>
      </c>
      <c r="E26" s="65" t="s">
        <v>722</v>
      </c>
      <c r="F26" s="535">
        <f t="shared" si="2"/>
        <v>0</v>
      </c>
      <c r="G26" s="535">
        <f t="shared" si="2"/>
        <v>0</v>
      </c>
      <c r="H26" s="535">
        <f t="shared" si="1"/>
        <v>0</v>
      </c>
    </row>
    <row r="27" spans="1:8" s="38" customFormat="1" ht="11.25">
      <c r="A27" s="65" t="s">
        <v>715</v>
      </c>
      <c r="B27" s="535"/>
      <c r="C27" s="535">
        <v>4700000</v>
      </c>
      <c r="D27" s="535">
        <f t="shared" si="0"/>
        <v>4700000</v>
      </c>
      <c r="E27" s="65" t="s">
        <v>715</v>
      </c>
      <c r="F27" s="535">
        <f t="shared" si="2"/>
        <v>0</v>
      </c>
      <c r="G27" s="535">
        <f t="shared" si="2"/>
        <v>4700</v>
      </c>
      <c r="H27" s="535">
        <f t="shared" si="1"/>
        <v>4700</v>
      </c>
    </row>
    <row r="28" spans="1:8" s="38" customFormat="1" ht="11.25">
      <c r="A28" s="65" t="s">
        <v>723</v>
      </c>
      <c r="B28" s="535"/>
      <c r="C28" s="535"/>
      <c r="D28" s="535">
        <f t="shared" si="0"/>
        <v>0</v>
      </c>
      <c r="E28" s="65" t="s">
        <v>723</v>
      </c>
      <c r="F28" s="535">
        <f t="shared" si="2"/>
        <v>0</v>
      </c>
      <c r="G28" s="535">
        <f t="shared" si="2"/>
        <v>0</v>
      </c>
      <c r="H28" s="535">
        <f t="shared" si="1"/>
        <v>0</v>
      </c>
    </row>
    <row r="29" spans="1:8" s="38" customFormat="1" ht="11.25">
      <c r="A29" s="65" t="s">
        <v>718</v>
      </c>
      <c r="B29" s="535">
        <v>9338</v>
      </c>
      <c r="C29" s="535"/>
      <c r="D29" s="535">
        <f t="shared" si="0"/>
        <v>-9338</v>
      </c>
      <c r="E29" s="65" t="s">
        <v>718</v>
      </c>
      <c r="F29" s="535">
        <f t="shared" si="2"/>
        <v>9</v>
      </c>
      <c r="G29" s="535">
        <f t="shared" si="2"/>
        <v>0</v>
      </c>
      <c r="H29" s="535">
        <f t="shared" si="1"/>
        <v>-9</v>
      </c>
    </row>
    <row r="30" spans="1:8" s="38" customFormat="1" ht="11.25">
      <c r="A30" s="65" t="s">
        <v>719</v>
      </c>
      <c r="B30" s="535"/>
      <c r="C30" s="535"/>
      <c r="D30" s="535">
        <f t="shared" si="0"/>
        <v>0</v>
      </c>
      <c r="E30" s="65" t="s">
        <v>719</v>
      </c>
      <c r="F30" s="535">
        <f t="shared" si="2"/>
        <v>0</v>
      </c>
      <c r="G30" s="535">
        <f t="shared" si="2"/>
        <v>0</v>
      </c>
      <c r="H30" s="535">
        <f t="shared" si="1"/>
        <v>0</v>
      </c>
    </row>
    <row r="31" spans="1:8" s="38" customFormat="1" ht="11.25">
      <c r="A31" s="65" t="s">
        <v>716</v>
      </c>
      <c r="B31" s="535"/>
      <c r="C31" s="535">
        <v>3300000</v>
      </c>
      <c r="D31" s="535">
        <f t="shared" si="0"/>
        <v>3300000</v>
      </c>
      <c r="E31" s="65" t="s">
        <v>717</v>
      </c>
      <c r="F31" s="535">
        <f aca="true" t="shared" si="3" ref="F31:G34">ROUND(B31/1000,0)</f>
        <v>0</v>
      </c>
      <c r="G31" s="535">
        <f t="shared" si="3"/>
        <v>3300</v>
      </c>
      <c r="H31" s="535">
        <f t="shared" si="1"/>
        <v>3300</v>
      </c>
    </row>
    <row r="32" spans="1:8" s="38" customFormat="1" ht="11.25">
      <c r="A32" s="65" t="s">
        <v>724</v>
      </c>
      <c r="B32" s="535"/>
      <c r="C32" s="535"/>
      <c r="D32" s="535">
        <f t="shared" si="0"/>
        <v>0</v>
      </c>
      <c r="E32" s="65" t="s">
        <v>724</v>
      </c>
      <c r="F32" s="535">
        <f t="shared" si="3"/>
        <v>0</v>
      </c>
      <c r="G32" s="535">
        <f t="shared" si="3"/>
        <v>0</v>
      </c>
      <c r="H32" s="535">
        <f t="shared" si="1"/>
        <v>0</v>
      </c>
    </row>
    <row r="33" spans="1:8" s="38" customFormat="1" ht="11.25">
      <c r="A33" s="65" t="s">
        <v>725</v>
      </c>
      <c r="B33" s="535"/>
      <c r="C33" s="535">
        <v>3500000</v>
      </c>
      <c r="D33" s="535">
        <f t="shared" si="0"/>
        <v>3500000</v>
      </c>
      <c r="E33" s="65" t="s">
        <v>725</v>
      </c>
      <c r="F33" s="535">
        <f t="shared" si="3"/>
        <v>0</v>
      </c>
      <c r="G33" s="535">
        <f t="shared" si="3"/>
        <v>3500</v>
      </c>
      <c r="H33" s="535">
        <f t="shared" si="1"/>
        <v>3500</v>
      </c>
    </row>
    <row r="34" spans="1:8" s="38" customFormat="1" ht="11.25">
      <c r="A34" s="65" t="s">
        <v>720</v>
      </c>
      <c r="B34" s="535"/>
      <c r="C34" s="535"/>
      <c r="D34" s="535">
        <f t="shared" si="0"/>
        <v>0</v>
      </c>
      <c r="E34" s="65" t="s">
        <v>720</v>
      </c>
      <c r="F34" s="535">
        <f t="shared" si="3"/>
        <v>0</v>
      </c>
      <c r="G34" s="535">
        <f t="shared" si="3"/>
        <v>0</v>
      </c>
      <c r="H34" s="535">
        <f t="shared" si="1"/>
        <v>0</v>
      </c>
    </row>
    <row r="35" spans="1:8" s="426" customFormat="1" ht="12.75">
      <c r="A35" s="209" t="s">
        <v>726</v>
      </c>
      <c r="B35" s="210">
        <f>B36</f>
        <v>1569805</v>
      </c>
      <c r="C35" s="210">
        <f>C36</f>
        <v>5060409</v>
      </c>
      <c r="D35" s="210">
        <f t="shared" si="0"/>
        <v>3490604</v>
      </c>
      <c r="E35" s="209" t="s">
        <v>726</v>
      </c>
      <c r="F35" s="210">
        <f>F36</f>
        <v>1570</v>
      </c>
      <c r="G35" s="210">
        <f>G36</f>
        <v>5060</v>
      </c>
      <c r="H35" s="210">
        <f t="shared" si="1"/>
        <v>3490</v>
      </c>
    </row>
    <row r="36" spans="1:8" s="626" customFormat="1" ht="12">
      <c r="A36" s="74" t="s">
        <v>727</v>
      </c>
      <c r="B36" s="174">
        <f>SUM(B37:B41)</f>
        <v>1569805</v>
      </c>
      <c r="C36" s="174">
        <f>SUM(C37:C41)</f>
        <v>5060409</v>
      </c>
      <c r="D36" s="174">
        <f t="shared" si="0"/>
        <v>3490604</v>
      </c>
      <c r="E36" s="74" t="s">
        <v>727</v>
      </c>
      <c r="F36" s="174">
        <f>SUM(F37:F41)</f>
        <v>1570</v>
      </c>
      <c r="G36" s="174">
        <f>SUM(G37:G41)</f>
        <v>5060</v>
      </c>
      <c r="H36" s="174">
        <f t="shared" si="1"/>
        <v>3490</v>
      </c>
    </row>
    <row r="37" spans="1:8" s="38" customFormat="1" ht="11.25">
      <c r="A37" s="65" t="s">
        <v>728</v>
      </c>
      <c r="B37" s="535">
        <v>158837</v>
      </c>
      <c r="C37" s="535">
        <v>146119</v>
      </c>
      <c r="D37" s="535">
        <f t="shared" si="0"/>
        <v>-12718</v>
      </c>
      <c r="E37" s="65" t="s">
        <v>728</v>
      </c>
      <c r="F37" s="535">
        <f aca="true" t="shared" si="4" ref="F37:G41">ROUND(B37/1000,0)</f>
        <v>159</v>
      </c>
      <c r="G37" s="535">
        <f>ROUND(C37/1000,0)</f>
        <v>146</v>
      </c>
      <c r="H37" s="535">
        <f t="shared" si="1"/>
        <v>-13</v>
      </c>
    </row>
    <row r="38" spans="1:8" s="38" customFormat="1" ht="11.25">
      <c r="A38" s="65" t="s">
        <v>729</v>
      </c>
      <c r="B38" s="535">
        <v>760900</v>
      </c>
      <c r="C38" s="535">
        <v>1598624</v>
      </c>
      <c r="D38" s="535">
        <f t="shared" si="0"/>
        <v>837724</v>
      </c>
      <c r="E38" s="65" t="s">
        <v>729</v>
      </c>
      <c r="F38" s="535">
        <f t="shared" si="4"/>
        <v>761</v>
      </c>
      <c r="G38" s="535">
        <f>ROUND(C38/1000,0)</f>
        <v>1599</v>
      </c>
      <c r="H38" s="535">
        <f t="shared" si="1"/>
        <v>838</v>
      </c>
    </row>
    <row r="39" spans="1:8" s="38" customFormat="1" ht="11.25">
      <c r="A39" s="65" t="s">
        <v>730</v>
      </c>
      <c r="B39" s="535">
        <v>120897</v>
      </c>
      <c r="C39" s="535">
        <v>233443</v>
      </c>
      <c r="D39" s="535">
        <f t="shared" si="0"/>
        <v>112546</v>
      </c>
      <c r="E39" s="65" t="s">
        <v>730</v>
      </c>
      <c r="F39" s="535">
        <f t="shared" si="4"/>
        <v>121</v>
      </c>
      <c r="G39" s="535">
        <f>ROUND(C39/1000,0)</f>
        <v>233</v>
      </c>
      <c r="H39" s="535">
        <f t="shared" si="1"/>
        <v>112</v>
      </c>
    </row>
    <row r="40" spans="1:8" s="38" customFormat="1" ht="11.25">
      <c r="A40" s="65" t="s">
        <v>731</v>
      </c>
      <c r="B40" s="535">
        <v>37031</v>
      </c>
      <c r="C40" s="535"/>
      <c r="D40" s="535">
        <f t="shared" si="0"/>
        <v>-37031</v>
      </c>
      <c r="E40" s="65" t="s">
        <v>731</v>
      </c>
      <c r="F40" s="535">
        <f>ROUND(B40/1000,0)</f>
        <v>37</v>
      </c>
      <c r="G40" s="535">
        <f t="shared" si="4"/>
        <v>0</v>
      </c>
      <c r="H40" s="535">
        <f t="shared" si="1"/>
        <v>-37</v>
      </c>
    </row>
    <row r="41" spans="1:8" s="38" customFormat="1" ht="11.25">
      <c r="A41" s="65" t="s">
        <v>732</v>
      </c>
      <c r="B41" s="535">
        <v>492140</v>
      </c>
      <c r="C41" s="535">
        <v>3082223</v>
      </c>
      <c r="D41" s="535">
        <f t="shared" si="0"/>
        <v>2590083</v>
      </c>
      <c r="E41" s="65" t="s">
        <v>732</v>
      </c>
      <c r="F41" s="535">
        <f t="shared" si="4"/>
        <v>492</v>
      </c>
      <c r="G41" s="535">
        <f t="shared" si="4"/>
        <v>3082</v>
      </c>
      <c r="H41" s="535">
        <f t="shared" si="1"/>
        <v>2590</v>
      </c>
    </row>
    <row r="42" ht="12.75">
      <c r="E42" s="38"/>
    </row>
    <row r="44" spans="1:8" s="49" customFormat="1" ht="12.75">
      <c r="A44" s="49" t="s">
        <v>733</v>
      </c>
      <c r="B44" s="619"/>
      <c r="C44" s="619"/>
      <c r="D44" s="329" t="s">
        <v>959</v>
      </c>
      <c r="F44" s="83"/>
      <c r="G44" s="83"/>
      <c r="H44" s="329"/>
    </row>
    <row r="46" spans="5:8" ht="12.75">
      <c r="E46" s="49" t="s">
        <v>733</v>
      </c>
      <c r="G46" s="919" t="s">
        <v>59</v>
      </c>
      <c r="H46" s="919"/>
    </row>
    <row r="52" ht="12.75">
      <c r="E52" s="38" t="s">
        <v>923</v>
      </c>
    </row>
    <row r="53" ht="12.75">
      <c r="E53" s="38" t="s">
        <v>340</v>
      </c>
    </row>
  </sheetData>
  <mergeCells count="7">
    <mergeCell ref="A6:D6"/>
    <mergeCell ref="E6:H6"/>
    <mergeCell ref="G46:H46"/>
    <mergeCell ref="A3:D3"/>
    <mergeCell ref="E3:H3"/>
    <mergeCell ref="A5:D5"/>
    <mergeCell ref="E5:H5"/>
  </mergeCells>
  <printOptions horizontalCentered="1"/>
  <pageMargins left="0.9448818897637796" right="0.5511811023622047" top="0.984251968503937" bottom="0.984251968503937" header="0.5118110236220472" footer="0.5118110236220472"/>
  <pageSetup firstPageNumber="57" useFirstPageNumber="1" horizontalDpi="600" verticalDpi="600" orientation="portrait" paperSize="9" r:id="rId1"/>
  <headerFooter alignWithMargins="0">
    <oddFooter>&amp;R&amp;9&amp;P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248"/>
  <sheetViews>
    <sheetView workbookViewId="0" topLeftCell="I1">
      <selection activeCell="K8" sqref="K8"/>
    </sheetView>
  </sheetViews>
  <sheetFormatPr defaultColWidth="9.140625" defaultRowHeight="17.25" customHeight="1"/>
  <cols>
    <col min="1" max="1" width="37.7109375" style="138" hidden="1" customWidth="1"/>
    <col min="2" max="2" width="12.140625" style="138" hidden="1" customWidth="1"/>
    <col min="3" max="3" width="12.421875" style="138" hidden="1" customWidth="1"/>
    <col min="4" max="4" width="11.140625" style="138" hidden="1" customWidth="1"/>
    <col min="5" max="5" width="7.8515625" style="138" hidden="1" customWidth="1"/>
    <col min="6" max="6" width="12.7109375" style="138" hidden="1" customWidth="1"/>
    <col min="7" max="7" width="12.28125" style="138" hidden="1" customWidth="1"/>
    <col min="8" max="8" width="6.57421875" style="138" hidden="1" customWidth="1"/>
    <col min="9" max="9" width="35.00390625" style="138" customWidth="1"/>
    <col min="10" max="10" width="11.8515625" style="138" customWidth="1"/>
    <col min="11" max="11" width="12.57421875" style="138" customWidth="1"/>
    <col min="12" max="12" width="8.421875" style="138" customWidth="1"/>
    <col min="13" max="13" width="7.7109375" style="138" customWidth="1"/>
    <col min="14" max="14" width="10.28125" style="138" customWidth="1"/>
    <col min="15" max="15" width="9.57421875" style="138" customWidth="1"/>
    <col min="16" max="16" width="9.140625" style="138" hidden="1" customWidth="1"/>
    <col min="17" max="18" width="8.140625" style="138" hidden="1" customWidth="1"/>
    <col min="19" max="19" width="11.421875" style="138" hidden="1" customWidth="1"/>
    <col min="20" max="16384" width="11.421875" style="138" customWidth="1"/>
  </cols>
  <sheetData>
    <row r="1" spans="2:15" ht="17.25" customHeight="1">
      <c r="B1" s="139"/>
      <c r="C1" s="139"/>
      <c r="D1" s="139"/>
      <c r="E1" s="139"/>
      <c r="F1" s="139"/>
      <c r="G1" s="138" t="s">
        <v>961</v>
      </c>
      <c r="J1" s="139"/>
      <c r="K1" s="139"/>
      <c r="L1" s="139"/>
      <c r="M1" s="139"/>
      <c r="N1" s="139"/>
      <c r="O1" s="138" t="s">
        <v>961</v>
      </c>
    </row>
    <row r="2" spans="1:14" ht="17.25" customHeight="1">
      <c r="A2" s="139" t="s">
        <v>962</v>
      </c>
      <c r="B2" s="139"/>
      <c r="C2" s="139"/>
      <c r="D2" s="139"/>
      <c r="E2" s="139"/>
      <c r="F2" s="139"/>
      <c r="I2" s="139" t="s">
        <v>962</v>
      </c>
      <c r="J2" s="139"/>
      <c r="K2" s="139"/>
      <c r="L2" s="139"/>
      <c r="M2" s="139"/>
      <c r="N2" s="139"/>
    </row>
    <row r="3" spans="1:15" ht="17.25" customHeight="1">
      <c r="A3" s="140" t="s">
        <v>963</v>
      </c>
      <c r="B3" s="139"/>
      <c r="C3" s="139"/>
      <c r="D3" s="139"/>
      <c r="E3" s="139"/>
      <c r="F3" s="139"/>
      <c r="I3" s="860" t="s">
        <v>963</v>
      </c>
      <c r="J3" s="860"/>
      <c r="K3" s="860"/>
      <c r="L3" s="860"/>
      <c r="M3" s="860"/>
      <c r="N3" s="860"/>
      <c r="O3" s="860"/>
    </row>
    <row r="4" spans="1:14" ht="17.25" customHeight="1">
      <c r="A4" s="861" t="s">
        <v>317</v>
      </c>
      <c r="B4" s="861"/>
      <c r="C4" s="861"/>
      <c r="D4" s="861"/>
      <c r="E4" s="861"/>
      <c r="F4" s="861"/>
      <c r="I4" s="859" t="s">
        <v>318</v>
      </c>
      <c r="J4" s="859"/>
      <c r="K4" s="859"/>
      <c r="L4" s="859"/>
      <c r="M4" s="859"/>
      <c r="N4" s="859"/>
    </row>
    <row r="5" spans="1:14" ht="17.25" customHeight="1">
      <c r="A5" s="859" t="s">
        <v>964</v>
      </c>
      <c r="B5" s="859"/>
      <c r="C5" s="859"/>
      <c r="D5" s="859"/>
      <c r="E5" s="859"/>
      <c r="F5" s="859"/>
      <c r="I5" s="859" t="s">
        <v>964</v>
      </c>
      <c r="J5" s="859"/>
      <c r="K5" s="859"/>
      <c r="L5" s="859"/>
      <c r="M5" s="859"/>
      <c r="N5" s="859"/>
    </row>
    <row r="6" spans="1:14" ht="17.25" customHeight="1" hidden="1">
      <c r="A6" s="141"/>
      <c r="B6" s="141"/>
      <c r="C6" s="141"/>
      <c r="D6" s="141"/>
      <c r="E6" s="141"/>
      <c r="F6" s="141"/>
      <c r="I6" s="141"/>
      <c r="J6" s="141"/>
      <c r="K6" s="141"/>
      <c r="L6" s="141"/>
      <c r="M6" s="141"/>
      <c r="N6" s="141"/>
    </row>
    <row r="7" spans="1:15" ht="15.75" customHeight="1">
      <c r="A7" s="859"/>
      <c r="B7" s="859"/>
      <c r="C7" s="859"/>
      <c r="D7" s="859"/>
      <c r="E7" s="859"/>
      <c r="F7" s="859"/>
      <c r="G7" s="138" t="s">
        <v>842</v>
      </c>
      <c r="I7" s="859"/>
      <c r="J7" s="859"/>
      <c r="K7" s="859"/>
      <c r="L7" s="859"/>
      <c r="M7" s="859"/>
      <c r="N7" s="859"/>
      <c r="O7" s="138" t="s">
        <v>842</v>
      </c>
    </row>
    <row r="8" spans="1:15" ht="85.5" customHeight="1">
      <c r="A8" s="142" t="s">
        <v>738</v>
      </c>
      <c r="B8" s="142" t="s">
        <v>843</v>
      </c>
      <c r="C8" s="142" t="s">
        <v>965</v>
      </c>
      <c r="D8" s="142" t="s">
        <v>844</v>
      </c>
      <c r="E8" s="142" t="s">
        <v>966</v>
      </c>
      <c r="F8" s="142" t="s">
        <v>967</v>
      </c>
      <c r="G8" s="142" t="s">
        <v>319</v>
      </c>
      <c r="I8" s="142" t="s">
        <v>738</v>
      </c>
      <c r="J8" s="142" t="s">
        <v>843</v>
      </c>
      <c r="K8" s="142" t="s">
        <v>965</v>
      </c>
      <c r="L8" s="142" t="s">
        <v>844</v>
      </c>
      <c r="M8" s="142" t="s">
        <v>966</v>
      </c>
      <c r="N8" s="142" t="s">
        <v>967</v>
      </c>
      <c r="O8" s="142" t="s">
        <v>312</v>
      </c>
    </row>
    <row r="9" spans="1:15" ht="12">
      <c r="A9" s="142">
        <v>1</v>
      </c>
      <c r="B9" s="142">
        <v>2</v>
      </c>
      <c r="C9" s="142">
        <v>3</v>
      </c>
      <c r="D9" s="142">
        <v>4</v>
      </c>
      <c r="E9" s="142">
        <v>5</v>
      </c>
      <c r="F9" s="142">
        <v>6</v>
      </c>
      <c r="G9" s="143">
        <v>7</v>
      </c>
      <c r="I9" s="142">
        <v>1</v>
      </c>
      <c r="J9" s="142">
        <v>2</v>
      </c>
      <c r="K9" s="142">
        <v>3</v>
      </c>
      <c r="L9" s="142">
        <v>4</v>
      </c>
      <c r="M9" s="142">
        <v>5</v>
      </c>
      <c r="N9" s="142">
        <v>6</v>
      </c>
      <c r="O9" s="143">
        <v>7</v>
      </c>
    </row>
    <row r="10" spans="1:19" ht="17.25" customHeight="1">
      <c r="A10" s="144" t="s">
        <v>968</v>
      </c>
      <c r="B10" s="145">
        <v>796473921</v>
      </c>
      <c r="C10" s="146"/>
      <c r="D10" s="174">
        <v>688768003</v>
      </c>
      <c r="E10" s="147">
        <f aca="true" t="shared" si="0" ref="E10:E19">IF(ISERROR(D10/B10)," ",(D10/B10))*100</f>
        <v>86.47715698402635</v>
      </c>
      <c r="F10" s="148"/>
      <c r="G10" s="174">
        <v>59027807</v>
      </c>
      <c r="I10" s="144" t="s">
        <v>968</v>
      </c>
      <c r="J10" s="145">
        <v>796473</v>
      </c>
      <c r="K10" s="149"/>
      <c r="L10" s="145">
        <f>ROUND(D10/1000,0)</f>
        <v>688768</v>
      </c>
      <c r="M10" s="153">
        <f aca="true" t="shared" si="1" ref="M10:M20">L10/J10*100</f>
        <v>86.47725660505755</v>
      </c>
      <c r="N10" s="153"/>
      <c r="O10" s="145">
        <f>ROUND(G10/1000,0)</f>
        <v>59028</v>
      </c>
      <c r="Q10" s="145">
        <v>688768</v>
      </c>
      <c r="R10" s="145">
        <v>629740</v>
      </c>
      <c r="S10" s="138">
        <f aca="true" t="shared" si="2" ref="S10:S73">Q10-R10</f>
        <v>59028</v>
      </c>
    </row>
    <row r="11" spans="1:19" ht="12.75" customHeight="1">
      <c r="A11" s="151" t="s">
        <v>969</v>
      </c>
      <c r="B11" s="661">
        <f>B22+B28+B35+B43+B50+B57+B66+B77+B85+B94+B102+B110+B119+B127+B135+B143+B150+B158+B164+B171+B178+B184+B189+B195+B202+B207+B215+B223+B230+B236</f>
        <v>832688403</v>
      </c>
      <c r="C11" s="661">
        <f>C22+C28+C35+C43+C50+C57+C66+C77+C85+C94+C102+C110+C119+C127+C135+C143+C150+C158+C164+C171+C178+C184+C189+C195+C202+C207+C215+C223+C230+C236</f>
        <v>753732701</v>
      </c>
      <c r="D11" s="661">
        <f>D22+D28+D35+D43+D50+D57+D66+D77+D85+D94+D102+D110+D119+D127+D135+D143+D150+D158+D164+D171+D178+D184+D189+D195+D202+D207+D215+D223+D230+D236</f>
        <v>727057710.91</v>
      </c>
      <c r="E11" s="147">
        <f t="shared" si="0"/>
        <v>87.31449943226842</v>
      </c>
      <c r="F11" s="147">
        <f aca="true" t="shared" si="3" ref="F11:F18">IF(ISERROR(D11/C11)," ",(D11/C11))*100</f>
        <v>96.46094828383994</v>
      </c>
      <c r="G11" s="661">
        <f>G22+G28+G35+G43+G50+G57+G66+G77+G85+G94+G102+G110+G119+G127+G135+G143+G150+G158+G164+G171+G178+G184+G189+G195+G202+G207+G215+G223+G230+G236</f>
        <v>65912399.9</v>
      </c>
      <c r="I11" s="151" t="s">
        <v>320</v>
      </c>
      <c r="J11" s="145">
        <f>J22+J28+J35+J43+J50+J57+J66+J77+J85+J94+J102+J110+J119+J127+J135+J143+J150+J158+J164+J171+J178+J184+J189+J195+J202+J207+J215+J223+J230+J236</f>
        <v>832688</v>
      </c>
      <c r="K11" s="145">
        <f>K22+K28+K35+K43+K50+K57+K66+K77+K85+K94+K102+K110+K119+K127+K135+K143+K150+K158+K164+K171+K178+K184+K189+K195+K202+K207+K215+K223+K230+K236</f>
        <v>753733</v>
      </c>
      <c r="L11" s="145">
        <f>L22+L28+L35+L43+L50+L57+L66+L77+L85+L94+L102+L110+L119+L127+L135+L143+L150+L158+L164+L171+L178+L184+L189+L195+L202+L207+L215+L230+L236</f>
        <v>727058</v>
      </c>
      <c r="M11" s="153">
        <f t="shared" si="1"/>
        <v>87.31457640797034</v>
      </c>
      <c r="N11" s="153">
        <f aca="true" t="shared" si="4" ref="N11:N18">L11/K11*100</f>
        <v>96.46094837296496</v>
      </c>
      <c r="O11" s="145">
        <f>O22+O28+O35+O43+O50+O57+O66+O77+O85+O94+O102+O110+O119+O127+O135+O143+O150+O158+O164+O171+O178+O184+O189+O195+O202+O207+O215+O223+O230+O236</f>
        <v>65913</v>
      </c>
      <c r="Q11" s="145">
        <v>727058</v>
      </c>
      <c r="R11" s="145">
        <v>661145</v>
      </c>
      <c r="S11" s="138">
        <f t="shared" si="2"/>
        <v>65913</v>
      </c>
    </row>
    <row r="12" spans="1:19" ht="12.75" customHeight="1">
      <c r="A12" s="151" t="s">
        <v>970</v>
      </c>
      <c r="B12" s="152">
        <f>B23+B29+B36+B44+B51+B58+B67+B78+B86+B95+B103+B111+B120+B128+B136+B144+B151+B159+B165+B172+B179+B185+B190+B196+B203+B208+B216+B231+B237</f>
        <v>711819838</v>
      </c>
      <c r="C12" s="152">
        <f>C23+C29+C36+C44+C51+C58+C67+C78+C86+C95+C103+C111+C120+C128+C136+C144+C151+C159+C165+C172+C179+C185+C190+C196+C203+C208+C216+C231+C237</f>
        <v>651530531</v>
      </c>
      <c r="D12" s="152">
        <f>D23+D29+D36+D44+D51+D58+D67+D78+D86+D95+D103+D111+D120+D128+D136+D144+D151+D159+D165+D172+D179+D185+D190+D196+D203+D208+D216+D231+D237</f>
        <v>651530531</v>
      </c>
      <c r="E12" s="148">
        <f t="shared" si="0"/>
        <v>91.53025754811853</v>
      </c>
      <c r="F12" s="148">
        <f t="shared" si="3"/>
        <v>100</v>
      </c>
      <c r="G12" s="152">
        <f>G23+G29+G36+G44+G51+G58+G67+G78+G86+G95+G103+G111+G120+G128+G136+G144+G151+G159+G165+G172+G179+G185+G190+G196+G203+G208+G216+G231+G237</f>
        <v>59714331</v>
      </c>
      <c r="I12" s="151" t="s">
        <v>970</v>
      </c>
      <c r="J12" s="154">
        <f>J23+J29+J36+J44+J51+J58+J67+J78+J86+J95+J103+J111+J120+J128+J136+J144+J151+J159+J165+J172+J179+J185+J190+J196+J203+J208+J216+J231+J237</f>
        <v>711820</v>
      </c>
      <c r="K12" s="154">
        <f>K23+K29+K36+K44+K51+K58+K67+K78+K86+K95+K103+K111+K120+K128+K136+K144+K151+K159+K165+K172+K179+K185+K190+K196+K203+K208+K216+K231+K237</f>
        <v>651530</v>
      </c>
      <c r="L12" s="154">
        <f>L23+L29+L36+L44+L51+L58+L67+L78+L86+L95+L103+L111+L120+L128+L136+L144+L151+L159+L165+L172+L179+L185+L190+L196+L203+L208+L216+L231+L237</f>
        <v>651530</v>
      </c>
      <c r="M12" s="155">
        <f t="shared" si="1"/>
        <v>91.53016211963698</v>
      </c>
      <c r="N12" s="155">
        <f t="shared" si="4"/>
        <v>100</v>
      </c>
      <c r="O12" s="154">
        <f>O23+O29+O36+O44+O51+O58+O67+O78+O86+O95+O103+O111+O120+O128+O136+O144+O151+O159+O165+O172+O179+O185+O190+O196+O203+O208+O216+O231+O237</f>
        <v>59714</v>
      </c>
      <c r="Q12" s="154">
        <v>651530</v>
      </c>
      <c r="R12" s="154">
        <v>591816</v>
      </c>
      <c r="S12" s="138">
        <f t="shared" si="2"/>
        <v>59714</v>
      </c>
    </row>
    <row r="13" spans="1:19" ht="12.75" customHeight="1">
      <c r="A13" s="151" t="s">
        <v>971</v>
      </c>
      <c r="B13" s="152">
        <f>B59+B68+B87+B112</f>
        <v>3405024</v>
      </c>
      <c r="C13" s="152">
        <f>C59+C68+C87+C112</f>
        <v>3062650</v>
      </c>
      <c r="D13" s="152">
        <f>D59+D68+D87+D112</f>
        <v>2117537.75</v>
      </c>
      <c r="E13" s="148">
        <f t="shared" si="0"/>
        <v>62.188629213773524</v>
      </c>
      <c r="F13" s="148">
        <f t="shared" si="3"/>
        <v>69.14070331249081</v>
      </c>
      <c r="G13" s="152">
        <f>G59+G68+G87+G112</f>
        <v>185018.0300000001</v>
      </c>
      <c r="I13" s="151" t="s">
        <v>971</v>
      </c>
      <c r="J13" s="154">
        <f>J59+J68+J87+J112</f>
        <v>3405</v>
      </c>
      <c r="K13" s="154">
        <f>K59+K68+K87+K112</f>
        <v>3063</v>
      </c>
      <c r="L13" s="154">
        <f>L59+L68+L87+L112</f>
        <v>2118</v>
      </c>
      <c r="M13" s="155">
        <f>L13/J13*100+0.01</f>
        <v>62.21264317180617</v>
      </c>
      <c r="N13" s="155">
        <f>L13/K13*100+0.1</f>
        <v>69.2478942213516</v>
      </c>
      <c r="O13" s="154">
        <f>O59+O68+O87+O112</f>
        <v>186</v>
      </c>
      <c r="Q13" s="154">
        <v>2118</v>
      </c>
      <c r="R13" s="154">
        <v>1932</v>
      </c>
      <c r="S13" s="138">
        <f t="shared" si="2"/>
        <v>186</v>
      </c>
    </row>
    <row r="14" spans="1:19" ht="12.75" customHeight="1">
      <c r="A14" s="151" t="s">
        <v>972</v>
      </c>
      <c r="B14" s="152">
        <f>B30+B37+B45+B52+B60+B69+B79+B88+B96+B104+B113+B121+B129+B137+B145+B152+B166+B173+B197+B224</f>
        <v>65086359</v>
      </c>
      <c r="C14" s="152">
        <f>C30+C37+C45+C52+C60+C69+C79+C88+C96+C104+C113+C121+C129+C137+C145+C152+C166+C173+C197+C224</f>
        <v>59542804</v>
      </c>
      <c r="D14" s="152">
        <f>D30+D37+D45+D52+D60+D69+D79+D88+D96+D104+D113+D121+D129+D137+D145+D152+D160+D166+D173+D191+D197+D209+D217+D224</f>
        <v>56544240.1</v>
      </c>
      <c r="E14" s="148">
        <f t="shared" si="0"/>
        <v>86.87571553971854</v>
      </c>
      <c r="F14" s="148">
        <f t="shared" si="3"/>
        <v>94.96401966558378</v>
      </c>
      <c r="G14" s="152">
        <f>G30+G37+G45+G52+G60+G69+G79+G88+G96+G104+G113+G121+G129+G137+G145+G152+G160+G166+G173+G191+G197+G209+G217+G224</f>
        <v>4618375.840000001</v>
      </c>
      <c r="I14" s="151" t="s">
        <v>972</v>
      </c>
      <c r="J14" s="154">
        <f>J30+J37+J45+J52+J60+J69+J79+J88+J96+J104+J113+J121+J129+J137+J145+J152+J166+J173+J197+J217+J224</f>
        <v>65086</v>
      </c>
      <c r="K14" s="154">
        <f>K30+K37+K45+K52+K60+K69+K79+K88+K96+K104+K113+K121+K129+K137+K145+K152+K166+K173+K197+K224</f>
        <v>59543</v>
      </c>
      <c r="L14" s="154">
        <f>L30+L37+L45+L52+L60+L69+L79+L88+L96+L104+L113+L121+L129+L137+L145+L152+L166+L173+L197+L224+L209</f>
        <v>56545</v>
      </c>
      <c r="M14" s="155">
        <f>L14/J14*100+0.01</f>
        <v>86.8873622591648</v>
      </c>
      <c r="N14" s="155">
        <f t="shared" si="4"/>
        <v>94.9649832893875</v>
      </c>
      <c r="O14" s="154">
        <f>O30+O37+O45+O52+O60+O69+O79+O88+O96+O104+O113+O121+O129+O137+O145+O152+O160+O166+O173+O191+O197+O209+O217+O224</f>
        <v>4619</v>
      </c>
      <c r="Q14" s="154">
        <v>56545</v>
      </c>
      <c r="R14" s="154">
        <v>51926</v>
      </c>
      <c r="S14" s="138">
        <f t="shared" si="2"/>
        <v>4619</v>
      </c>
    </row>
    <row r="15" spans="1:19" ht="12.75" customHeight="1">
      <c r="A15" s="151" t="s">
        <v>973</v>
      </c>
      <c r="B15" s="152">
        <f>B38+B61+B70+B80+B89+B97+B105+B114+B122+B130+B138+B153+B210+B218</f>
        <v>52377182</v>
      </c>
      <c r="C15" s="152">
        <f>C38+C61+C70+C80+C89+C97+C105+C114+C122+C130+C138+C153+C210+C218</f>
        <v>39596716</v>
      </c>
      <c r="D15" s="156">
        <f>D38+D61+D70+D80+D89+D97+D105+D114+D122+D130+D138+D153+D210+D218</f>
        <v>16865402.06</v>
      </c>
      <c r="E15" s="148">
        <f t="shared" si="0"/>
        <v>32.199903499963014</v>
      </c>
      <c r="F15" s="148">
        <f t="shared" si="3"/>
        <v>42.59293134309421</v>
      </c>
      <c r="G15" s="152">
        <f>G38+G61+G70+G80+G89+G97+G105+G114+G122+G130+G138+G153+G210+G218</f>
        <v>1394675.0300000007</v>
      </c>
      <c r="I15" s="151" t="s">
        <v>973</v>
      </c>
      <c r="J15" s="154">
        <f>J38+J61+J70+J80+J89+J97+J105+J114+J122+J130+J138+J153+J210+J218</f>
        <v>52377</v>
      </c>
      <c r="K15" s="154">
        <f>K38+K61+K70+K80+K89+K97+K105+K114+K122+K130+K138+K153+K210+K218</f>
        <v>39597</v>
      </c>
      <c r="L15" s="154">
        <f>L38+L61+L70+L80+L89+L97+L105+L114+L122+L130+L138+L153+L210+L218</f>
        <v>16865</v>
      </c>
      <c r="M15" s="155">
        <f t="shared" si="1"/>
        <v>32.199247761422</v>
      </c>
      <c r="N15" s="155">
        <f t="shared" si="4"/>
        <v>42.591610475541074</v>
      </c>
      <c r="O15" s="154">
        <f>O38+O61+O70+O80+O89+O97+O105+O114+O122+O130+O138+O153+O210+O218</f>
        <v>1394</v>
      </c>
      <c r="Q15" s="154">
        <v>16865</v>
      </c>
      <c r="R15" s="154">
        <v>15471</v>
      </c>
      <c r="S15" s="138">
        <f t="shared" si="2"/>
        <v>1394</v>
      </c>
    </row>
    <row r="16" spans="1:88" s="141" customFormat="1" ht="12.75" customHeight="1">
      <c r="A16" s="157" t="s">
        <v>974</v>
      </c>
      <c r="B16" s="158">
        <f>B24+B31+B39+B46+B53+B62+B71+B81+B90+B98+B106+B115+B123+B131+B139+B146+B154+B161+B167+B174+B180+B186+B192+B198+B204+B211+B219+B225+B232+B238</f>
        <v>833192037</v>
      </c>
      <c r="C16" s="158">
        <f>C24+C31+C39+C46+C53+C62+C71+C81+C90+C98+C106+C115+C123+C131+C139+C146+C154+C161+C167+C174+C180+C186+C192+C198+C204+C211+C219+C225+C232+C238</f>
        <v>754232693</v>
      </c>
      <c r="D16" s="158">
        <f>D24+D31+D39+D46+D53+D62+D71+D81+D90+D98+D106+D115+D123+D131+D139+D146+D154+D161+D167+D174+D180+D186+D192+D198+D204+D211+D219+D225+D232+D238</f>
        <v>700500444.9599999</v>
      </c>
      <c r="E16" s="147">
        <f t="shared" si="0"/>
        <v>84.07430866505028</v>
      </c>
      <c r="F16" s="147">
        <f t="shared" si="3"/>
        <v>92.87590573324563</v>
      </c>
      <c r="G16" s="158">
        <f>G24+G31+G39+G46+G53+G62+G71+G81+G90+G98+G106+G115+G123+G131+G139+G146+G154+G161+G167+G174+G180+G186+G192+G198+G204+G211+G219+G225+G232+G238</f>
        <v>64743263.71999999</v>
      </c>
      <c r="H16" s="138"/>
      <c r="I16" s="157" t="s">
        <v>321</v>
      </c>
      <c r="J16" s="145">
        <f>J17+J18</f>
        <v>833192</v>
      </c>
      <c r="K16" s="145">
        <f>K17+K18</f>
        <v>754233</v>
      </c>
      <c r="L16" s="145">
        <f>L17+L18</f>
        <v>700500</v>
      </c>
      <c r="M16" s="153">
        <f t="shared" si="1"/>
        <v>84.07425899432543</v>
      </c>
      <c r="N16" s="153">
        <f t="shared" si="4"/>
        <v>92.87580893437439</v>
      </c>
      <c r="O16" s="145">
        <f>O24+O31+O39+O46+O53+O62+O71+O81+O90+O98+O106+O115+O123+O131+O139+O146+O154+O161+O167+O174+O180+O186+O192+O198+O204+O211+O219+O225+O232+O238</f>
        <v>64743</v>
      </c>
      <c r="P16" s="138"/>
      <c r="Q16" s="145">
        <v>700500</v>
      </c>
      <c r="R16" s="145">
        <v>635757</v>
      </c>
      <c r="S16" s="138">
        <f t="shared" si="2"/>
        <v>64743</v>
      </c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  <c r="BG16" s="138"/>
      <c r="BH16" s="138"/>
      <c r="BI16" s="138"/>
      <c r="BJ16" s="138"/>
      <c r="BK16" s="138"/>
      <c r="BL16" s="138"/>
      <c r="BM16" s="138"/>
      <c r="BN16" s="138"/>
      <c r="BO16" s="138"/>
      <c r="BP16" s="138"/>
      <c r="BQ16" s="138"/>
      <c r="BR16" s="138"/>
      <c r="BS16" s="138"/>
      <c r="BT16" s="138"/>
      <c r="BU16" s="138"/>
      <c r="BV16" s="138"/>
      <c r="BW16" s="138"/>
      <c r="BX16" s="138"/>
      <c r="BY16" s="138"/>
      <c r="BZ16" s="138"/>
      <c r="CA16" s="138"/>
      <c r="CB16" s="138"/>
      <c r="CC16" s="138"/>
      <c r="CD16" s="138"/>
      <c r="CE16" s="138"/>
      <c r="CF16" s="138"/>
      <c r="CG16" s="138"/>
      <c r="CH16" s="138"/>
      <c r="CI16" s="138"/>
      <c r="CJ16" s="138"/>
    </row>
    <row r="17" spans="1:88" s="662" customFormat="1" ht="12.75" customHeight="1">
      <c r="A17" s="159" t="s">
        <v>975</v>
      </c>
      <c r="B17" s="160">
        <f>B25+B32+B40+B47+B54+B63+B72+B82+B91+B99+B107+B116+B124+B132+B140+B147+B155+B162+B175+B181+B187+B193+B199+B205+B212+B220+B226+B233+B239+B168</f>
        <v>755550068</v>
      </c>
      <c r="C17" s="160">
        <f>C25+C32+C40+C47+C54+C63+C72+C82+C91+C99+C107+C116+C124+C132+C140+C147+C155+C162+C175+C181+C187+C193+C199+C205+C212+C220+C226+C233+C239+C168</f>
        <v>682601524</v>
      </c>
      <c r="D17" s="160">
        <f>D25+D32+D40+D47+D54+D63+D72+D82+D91+D99+D107+D116+D124+D132+D140+D147+D155+D162+D175+D181+D187+D193+D199+D205+D212+D220+D226+D233+D239+D168</f>
        <v>649497398.3499999</v>
      </c>
      <c r="E17" s="148">
        <f t="shared" si="0"/>
        <v>85.96351530604322</v>
      </c>
      <c r="F17" s="148">
        <f t="shared" si="3"/>
        <v>95.15030006730542</v>
      </c>
      <c r="G17" s="160">
        <f>G25+G32+G40+G47+G54+G63+G72+G82+G91+G99+G107+G116+G124+G132+G140+G147+G155+G162+G175+G181+G187+G193+G199+G205+G212+G220+G226+G233+G239+G168</f>
        <v>59595902.71999999</v>
      </c>
      <c r="H17" s="138"/>
      <c r="I17" s="159" t="s">
        <v>975</v>
      </c>
      <c r="J17" s="160">
        <f>J25+J32+J40+J47+J54+J63+J72+J82+J91+J99+J107+J116+J124+J132+J140+J147+J155+J162+J175+J181+J187+J193+J199+J205+J212+J220+J226+J233+J239+J168</f>
        <v>755550</v>
      </c>
      <c r="K17" s="160">
        <f>K25+K32+K40+K47+K54+K63+K72+K82+K91+K99+K107+K116+K124+K132+K140+K147+K155+K162+K175+K181+K187+K193+K199+K205+K212+K220+K226+K233+K239+K168</f>
        <v>682602</v>
      </c>
      <c r="L17" s="160">
        <f>L25+L32+L40+L47+L54+L63+L72+L82+L91+L99+L107+L116+L124+L132+L140+L147+L155+L162+L175+L181+L187+L193+L199+L205+L212+L220+L226+L233+L239+L168</f>
        <v>649497</v>
      </c>
      <c r="M17" s="155">
        <f t="shared" si="1"/>
        <v>85.96347031963471</v>
      </c>
      <c r="N17" s="155">
        <f t="shared" si="4"/>
        <v>95.15017535840798</v>
      </c>
      <c r="O17" s="154">
        <f>O25+O32+O40+O47+O54+O63+O72+O82+O91+O99+O107+O116+O124+O132+O140+O147+O155+O162+O175+O181+O187+O193+O199+O205+O212+O220+O226+O233+O239+O168</f>
        <v>59596</v>
      </c>
      <c r="P17" s="138"/>
      <c r="Q17" s="160">
        <v>649497</v>
      </c>
      <c r="R17" s="160">
        <v>589901</v>
      </c>
      <c r="S17" s="138">
        <f t="shared" si="2"/>
        <v>59596</v>
      </c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8"/>
      <c r="BL17" s="138"/>
      <c r="BM17" s="138"/>
      <c r="BN17" s="138"/>
      <c r="BO17" s="138"/>
      <c r="BP17" s="138"/>
      <c r="BQ17" s="138"/>
      <c r="BR17" s="138"/>
      <c r="BS17" s="138"/>
      <c r="BT17" s="138"/>
      <c r="BU17" s="138"/>
      <c r="BV17" s="138"/>
      <c r="BW17" s="138"/>
      <c r="BX17" s="138"/>
      <c r="BY17" s="138"/>
      <c r="BZ17" s="138"/>
      <c r="CA17" s="138"/>
      <c r="CB17" s="138"/>
      <c r="CC17" s="138"/>
      <c r="CD17" s="138"/>
      <c r="CE17" s="138"/>
      <c r="CF17" s="138"/>
      <c r="CG17" s="138"/>
      <c r="CH17" s="138"/>
      <c r="CI17" s="138"/>
      <c r="CJ17" s="138"/>
    </row>
    <row r="18" spans="1:88" s="662" customFormat="1" ht="12.75" customHeight="1">
      <c r="A18" s="159" t="s">
        <v>976</v>
      </c>
      <c r="B18" s="160">
        <f>B26+B33+B41+B48+B55+B64+B73+B83+B92+B100+B108+B117+B125+B133+B141+B148+B156+B169+B176+B182+B200+B213+B221+B227+B234</f>
        <v>77641969</v>
      </c>
      <c r="C18" s="160">
        <f>C26+C33+C41+C48+C55+C64+C73+C83+C92+C100+C108+C117+C125+C133+C141+C148+C156+C163+C176+C182+C188+C194+C200+C206+C213+C221+C227+C234+C240+C169</f>
        <v>71631169</v>
      </c>
      <c r="D18" s="160">
        <f>D26+D33+D41+D48+D55+D64+D73+D83+D92+D100+D108+D117+D125+D133+D141+D148+D156+D169+D176+D182+D200+D213+D221+D227+D234</f>
        <v>51003046.60999999</v>
      </c>
      <c r="E18" s="148">
        <f t="shared" si="0"/>
        <v>65.69004787861574</v>
      </c>
      <c r="F18" s="148">
        <f t="shared" si="3"/>
        <v>71.2023094443705</v>
      </c>
      <c r="G18" s="160">
        <f>G26+G33+G41+G48+G55+G64+G73+G83+G92+G100+G108+G117+G125+G133+G141+G148+G156+G169+G176+G182+G200+G213+G221+G227+G234</f>
        <v>5147361.000000001</v>
      </c>
      <c r="H18" s="138"/>
      <c r="I18" s="159" t="s">
        <v>976</v>
      </c>
      <c r="J18" s="160">
        <f>J26+J33+J41+J48+J55+J64+J73+J83+J92+J100+J108+J117+J125+J133+J141+J148+J156+J169+J176+J182+J200+J213+J221+J227+J234</f>
        <v>77642</v>
      </c>
      <c r="K18" s="160">
        <f>K26+K33+K41+K48+K55+K64+K73+K83+K92+K100+K108+K117+K125+K133+K141+K148+K156+K169+K176+K182+K200+K213+K221+K227+K234</f>
        <v>71631</v>
      </c>
      <c r="L18" s="160">
        <f>L26+L33+L41+L48+L55+L64+L73+L83+L92+L100+L108+L117+L125+L133+L141+L148+L156+L169+L176+L182+L200+L213+L221+L227+L234</f>
        <v>51003</v>
      </c>
      <c r="M18" s="155">
        <f t="shared" si="1"/>
        <v>65.68996161871152</v>
      </c>
      <c r="N18" s="155">
        <f t="shared" si="4"/>
        <v>71.20241236336223</v>
      </c>
      <c r="O18" s="154">
        <f>O26+O33+O41+O48+O55+O64+O73+O83+O92+O100+O108+O117+O125+O133+O141+O148+O156+O169+O176+O182+O200+O213+O221+O227+O234</f>
        <v>5147</v>
      </c>
      <c r="P18" s="138"/>
      <c r="Q18" s="160">
        <v>51003</v>
      </c>
      <c r="R18" s="160">
        <v>45856</v>
      </c>
      <c r="S18" s="138">
        <f t="shared" si="2"/>
        <v>5147</v>
      </c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8"/>
      <c r="BU18" s="138"/>
      <c r="BV18" s="138"/>
      <c r="BW18" s="138"/>
      <c r="BX18" s="138"/>
      <c r="BY18" s="138"/>
      <c r="BZ18" s="138"/>
      <c r="CA18" s="138"/>
      <c r="CB18" s="138"/>
      <c r="CC18" s="138"/>
      <c r="CD18" s="138"/>
      <c r="CE18" s="138"/>
      <c r="CF18" s="138"/>
      <c r="CG18" s="138"/>
      <c r="CH18" s="138"/>
      <c r="CI18" s="138"/>
      <c r="CJ18" s="138"/>
    </row>
    <row r="19" spans="1:19" ht="12.75" customHeight="1">
      <c r="A19" s="117" t="s">
        <v>977</v>
      </c>
      <c r="B19" s="161">
        <f>B74</f>
        <v>48031380</v>
      </c>
      <c r="C19" s="161"/>
      <c r="D19" s="161">
        <f>D74</f>
        <v>33523570</v>
      </c>
      <c r="E19" s="148">
        <f t="shared" si="0"/>
        <v>69.79514225908146</v>
      </c>
      <c r="F19" s="161"/>
      <c r="G19" s="161">
        <f>G74</f>
        <v>2473533</v>
      </c>
      <c r="I19" s="117" t="s">
        <v>977</v>
      </c>
      <c r="J19" s="154">
        <f>ROUND(B19/1000,0)</f>
        <v>48031</v>
      </c>
      <c r="K19" s="149"/>
      <c r="L19" s="154">
        <f>L74</f>
        <v>33523</v>
      </c>
      <c r="M19" s="155">
        <f t="shared" si="1"/>
        <v>69.7945077137682</v>
      </c>
      <c r="N19" s="150"/>
      <c r="O19" s="154">
        <f>O74</f>
        <v>2473</v>
      </c>
      <c r="Q19" s="154">
        <v>33524</v>
      </c>
      <c r="R19" s="154">
        <v>31050</v>
      </c>
      <c r="S19" s="138">
        <f t="shared" si="2"/>
        <v>2474</v>
      </c>
    </row>
    <row r="20" spans="1:19" ht="12.75" customHeight="1">
      <c r="A20" s="117" t="s">
        <v>978</v>
      </c>
      <c r="B20" s="161">
        <f>B10-B16-B19</f>
        <v>-84749496</v>
      </c>
      <c r="C20" s="161"/>
      <c r="D20" s="161">
        <f>D10-D16-D19</f>
        <v>-45256011.95999992</v>
      </c>
      <c r="E20" s="148">
        <f>E10-E16-E19</f>
        <v>-67.39229394010539</v>
      </c>
      <c r="F20" s="148"/>
      <c r="G20" s="161">
        <f>G10-G16-G19</f>
        <v>-8188989.719999991</v>
      </c>
      <c r="I20" s="117" t="s">
        <v>978</v>
      </c>
      <c r="J20" s="154">
        <f>J10-J16-J19</f>
        <v>-84750</v>
      </c>
      <c r="K20" s="149"/>
      <c r="L20" s="154">
        <f>L10-L16-L19</f>
        <v>-45255</v>
      </c>
      <c r="M20" s="155">
        <f t="shared" si="1"/>
        <v>53.39823008849558</v>
      </c>
      <c r="N20" s="150"/>
      <c r="O20" s="154">
        <f>O10-O16-O19</f>
        <v>-8188</v>
      </c>
      <c r="Q20" s="154">
        <v>-45256</v>
      </c>
      <c r="R20" s="154">
        <v>-37067</v>
      </c>
      <c r="S20" s="138">
        <f t="shared" si="2"/>
        <v>-8189</v>
      </c>
    </row>
    <row r="21" spans="1:88" s="662" customFormat="1" ht="12.75" customHeight="1">
      <c r="A21" s="162" t="s">
        <v>979</v>
      </c>
      <c r="B21" s="163"/>
      <c r="C21" s="163"/>
      <c r="D21" s="163"/>
      <c r="E21" s="163"/>
      <c r="F21" s="163"/>
      <c r="G21" s="163"/>
      <c r="H21" s="138"/>
      <c r="I21" s="162" t="s">
        <v>980</v>
      </c>
      <c r="J21" s="163"/>
      <c r="K21" s="163"/>
      <c r="L21" s="163"/>
      <c r="M21" s="155"/>
      <c r="N21" s="155"/>
      <c r="O21" s="163"/>
      <c r="P21" s="138"/>
      <c r="Q21" s="163"/>
      <c r="R21" s="163"/>
      <c r="S21" s="138">
        <f t="shared" si="2"/>
        <v>0</v>
      </c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  <c r="BE21" s="138"/>
      <c r="BF21" s="138"/>
      <c r="BG21" s="138"/>
      <c r="BH21" s="138"/>
      <c r="BI21" s="138"/>
      <c r="BJ21" s="138"/>
      <c r="BK21" s="138"/>
      <c r="BL21" s="138"/>
      <c r="BM21" s="138"/>
      <c r="BN21" s="138"/>
      <c r="BO21" s="138"/>
      <c r="BP21" s="138"/>
      <c r="BQ21" s="138"/>
      <c r="BR21" s="138"/>
      <c r="BS21" s="138"/>
      <c r="BT21" s="138"/>
      <c r="BU21" s="138"/>
      <c r="BV21" s="138"/>
      <c r="BW21" s="138"/>
      <c r="BX21" s="138"/>
      <c r="BY21" s="138"/>
      <c r="BZ21" s="138"/>
      <c r="CA21" s="138"/>
      <c r="CB21" s="138"/>
      <c r="CC21" s="138"/>
      <c r="CD21" s="138"/>
      <c r="CE21" s="138"/>
      <c r="CF21" s="138"/>
      <c r="CG21" s="138"/>
      <c r="CH21" s="138"/>
      <c r="CI21" s="138"/>
      <c r="CJ21" s="138"/>
    </row>
    <row r="22" spans="1:88" s="662" customFormat="1" ht="12.75" customHeight="1">
      <c r="A22" s="151" t="s">
        <v>969</v>
      </c>
      <c r="B22" s="163">
        <f>B23</f>
        <v>1331732</v>
      </c>
      <c r="C22" s="163">
        <f>SUM(C23:C23)</f>
        <v>1245005</v>
      </c>
      <c r="D22" s="163">
        <f>D23</f>
        <v>1245005</v>
      </c>
      <c r="E22" s="147">
        <f>IF(ISERROR(D22/B22)," ",(D22/B22))*100</f>
        <v>93.48765367206015</v>
      </c>
      <c r="F22" s="147">
        <f>IF(ISERROR(D22/C22)," ",(D22/C22))*100</f>
        <v>100</v>
      </c>
      <c r="G22" s="163">
        <f>G23</f>
        <v>151209</v>
      </c>
      <c r="H22" s="165"/>
      <c r="I22" s="151" t="s">
        <v>969</v>
      </c>
      <c r="J22" s="145">
        <f>J23</f>
        <v>1332</v>
      </c>
      <c r="K22" s="145">
        <f>K23</f>
        <v>1245</v>
      </c>
      <c r="L22" s="145">
        <f>L23</f>
        <v>1245</v>
      </c>
      <c r="M22" s="153">
        <f>L22/J22*100</f>
        <v>93.46846846846847</v>
      </c>
      <c r="N22" s="153">
        <f>L22/K22*100</f>
        <v>100</v>
      </c>
      <c r="O22" s="145">
        <f>O23</f>
        <v>151</v>
      </c>
      <c r="P22" s="138"/>
      <c r="Q22" s="145">
        <v>1245</v>
      </c>
      <c r="R22" s="145">
        <v>1094</v>
      </c>
      <c r="S22" s="138">
        <f t="shared" si="2"/>
        <v>151</v>
      </c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138"/>
      <c r="BB22" s="138"/>
      <c r="BC22" s="138"/>
      <c r="BD22" s="138"/>
      <c r="BE22" s="138"/>
      <c r="BF22" s="138"/>
      <c r="BG22" s="138"/>
      <c r="BH22" s="138"/>
      <c r="BI22" s="138"/>
      <c r="BJ22" s="138"/>
      <c r="BK22" s="138"/>
      <c r="BL22" s="138"/>
      <c r="BM22" s="138"/>
      <c r="BN22" s="138"/>
      <c r="BO22" s="138"/>
      <c r="BP22" s="138"/>
      <c r="BQ22" s="138"/>
      <c r="BR22" s="138"/>
      <c r="BS22" s="138"/>
      <c r="BT22" s="138"/>
      <c r="BU22" s="138"/>
      <c r="BV22" s="138"/>
      <c r="BW22" s="138"/>
      <c r="BX22" s="138"/>
      <c r="BY22" s="138"/>
      <c r="BZ22" s="138"/>
      <c r="CA22" s="138"/>
      <c r="CB22" s="138"/>
      <c r="CC22" s="138"/>
      <c r="CD22" s="138"/>
      <c r="CE22" s="138"/>
      <c r="CF22" s="138"/>
      <c r="CG22" s="138"/>
      <c r="CH22" s="138"/>
      <c r="CI22" s="138"/>
      <c r="CJ22" s="138"/>
    </row>
    <row r="23" spans="1:88" s="662" customFormat="1" ht="12">
      <c r="A23" s="151" t="s">
        <v>970</v>
      </c>
      <c r="B23" s="161">
        <v>1331732</v>
      </c>
      <c r="C23" s="161">
        <v>1245005</v>
      </c>
      <c r="D23" s="161">
        <v>1245005</v>
      </c>
      <c r="E23" s="148">
        <f>IF(ISERROR(D23/B23)," ",(D23/B23))*100</f>
        <v>93.48765367206015</v>
      </c>
      <c r="F23" s="148">
        <f>IF(ISERROR(D23/C23)," ",(D23/C23))*100</f>
        <v>100</v>
      </c>
      <c r="G23" s="161">
        <f>D23-'[5]Oktobris'!D23</f>
        <v>151209</v>
      </c>
      <c r="H23" s="138"/>
      <c r="I23" s="151" t="s">
        <v>970</v>
      </c>
      <c r="J23" s="154">
        <f>ROUND(B23/1000,0)</f>
        <v>1332</v>
      </c>
      <c r="K23" s="154">
        <f>ROUND(C23/1000,0)</f>
        <v>1245</v>
      </c>
      <c r="L23" s="154">
        <f>ROUND(D23/1000,0)</f>
        <v>1245</v>
      </c>
      <c r="M23" s="155">
        <f>L23/J23*100</f>
        <v>93.46846846846847</v>
      </c>
      <c r="N23" s="155">
        <f>L23/K23*100</f>
        <v>100</v>
      </c>
      <c r="O23" s="154">
        <f>L23-'[5]Oktobris'!L23</f>
        <v>151</v>
      </c>
      <c r="P23" s="138"/>
      <c r="Q23" s="154">
        <v>1245</v>
      </c>
      <c r="R23" s="154">
        <v>1094</v>
      </c>
      <c r="S23" s="138">
        <f t="shared" si="2"/>
        <v>151</v>
      </c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138"/>
      <c r="BM23" s="138"/>
      <c r="BN23" s="138"/>
      <c r="BO23" s="138"/>
      <c r="BP23" s="138"/>
      <c r="BQ23" s="138"/>
      <c r="BR23" s="138"/>
      <c r="BS23" s="138"/>
      <c r="BT23" s="138"/>
      <c r="BU23" s="138"/>
      <c r="BV23" s="138"/>
      <c r="BW23" s="138"/>
      <c r="BX23" s="138"/>
      <c r="BY23" s="138"/>
      <c r="BZ23" s="138"/>
      <c r="CA23" s="138"/>
      <c r="CB23" s="138"/>
      <c r="CC23" s="138"/>
      <c r="CD23" s="138"/>
      <c r="CE23" s="138"/>
      <c r="CF23" s="138"/>
      <c r="CG23" s="138"/>
      <c r="CH23" s="138"/>
      <c r="CI23" s="138"/>
      <c r="CJ23" s="138"/>
    </row>
    <row r="24" spans="1:88" s="662" customFormat="1" ht="12.75" customHeight="1">
      <c r="A24" s="157" t="s">
        <v>981</v>
      </c>
      <c r="B24" s="163">
        <f>SUM(B25:B26)</f>
        <v>1331732</v>
      </c>
      <c r="C24" s="163">
        <f>SUM(C25:C26)</f>
        <v>1245005</v>
      </c>
      <c r="D24" s="163">
        <f>SUM(D25:D26)</f>
        <v>1195306.8800000001</v>
      </c>
      <c r="E24" s="147">
        <f>IF(ISERROR(D24/B24)," ",(D24/B24))*100</f>
        <v>89.75581273109005</v>
      </c>
      <c r="F24" s="147">
        <f>IF(ISERROR(D24/C24)," ",(D24/C24))*100</f>
        <v>96.00819916385879</v>
      </c>
      <c r="G24" s="163">
        <f>SUM(G25:G26)</f>
        <v>157379.4800000001</v>
      </c>
      <c r="H24" s="138"/>
      <c r="I24" s="157" t="s">
        <v>981</v>
      </c>
      <c r="J24" s="145">
        <f>J25+J26</f>
        <v>1332</v>
      </c>
      <c r="K24" s="145">
        <f>K25+K26</f>
        <v>1245</v>
      </c>
      <c r="L24" s="145">
        <f>L25+L26</f>
        <v>1195</v>
      </c>
      <c r="M24" s="153">
        <f>L24/J24*100</f>
        <v>89.71471471471472</v>
      </c>
      <c r="N24" s="153">
        <f>L24/K24*100</f>
        <v>95.98393574297188</v>
      </c>
      <c r="O24" s="145">
        <f>SUM(O25:O26)</f>
        <v>157</v>
      </c>
      <c r="P24" s="138"/>
      <c r="Q24" s="145">
        <v>1195</v>
      </c>
      <c r="R24" s="145">
        <v>1038</v>
      </c>
      <c r="S24" s="138">
        <f t="shared" si="2"/>
        <v>157</v>
      </c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/>
      <c r="BL24" s="138"/>
      <c r="BM24" s="138"/>
      <c r="BN24" s="138"/>
      <c r="BO24" s="138"/>
      <c r="BP24" s="138"/>
      <c r="BQ24" s="138"/>
      <c r="BR24" s="138"/>
      <c r="BS24" s="138"/>
      <c r="BT24" s="138"/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/>
    </row>
    <row r="25" spans="1:88" s="662" customFormat="1" ht="12.75" customHeight="1">
      <c r="A25" s="159" t="s">
        <v>975</v>
      </c>
      <c r="B25" s="161">
        <v>1257672</v>
      </c>
      <c r="C25" s="161">
        <v>1170945</v>
      </c>
      <c r="D25" s="161">
        <v>1139523.82</v>
      </c>
      <c r="E25" s="148">
        <f>IF(ISERROR(D25/B25)," ",(D25/B25))*100</f>
        <v>90.60580342092375</v>
      </c>
      <c r="F25" s="148">
        <f>IF(ISERROR(D25/C25)," ",(D25/C25))*100</f>
        <v>97.31659642425564</v>
      </c>
      <c r="G25" s="161">
        <f>D25-'[5]Oktobris'!D25</f>
        <v>157379.4800000001</v>
      </c>
      <c r="H25" s="138"/>
      <c r="I25" s="159" t="s">
        <v>975</v>
      </c>
      <c r="J25" s="154">
        <f aca="true" t="shared" si="5" ref="J25:L26">ROUND(B25/1000,0)</f>
        <v>1258</v>
      </c>
      <c r="K25" s="154">
        <f t="shared" si="5"/>
        <v>1171</v>
      </c>
      <c r="L25" s="154">
        <f>ROUND(D25/1000,0)-1</f>
        <v>1139</v>
      </c>
      <c r="M25" s="155">
        <f>L25/J25*100</f>
        <v>90.54054054054053</v>
      </c>
      <c r="N25" s="155">
        <f>L25/K25*100</f>
        <v>97.26729291204099</v>
      </c>
      <c r="O25" s="154">
        <f>L25-'[5]Oktobris'!L25</f>
        <v>157</v>
      </c>
      <c r="P25" s="138"/>
      <c r="Q25" s="154">
        <v>1139</v>
      </c>
      <c r="R25" s="154">
        <v>982</v>
      </c>
      <c r="S25" s="138">
        <f t="shared" si="2"/>
        <v>157</v>
      </c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  <c r="BD25" s="138"/>
      <c r="BE25" s="138"/>
      <c r="BF25" s="138"/>
      <c r="BG25" s="138"/>
      <c r="BH25" s="138"/>
      <c r="BI25" s="138"/>
      <c r="BJ25" s="138"/>
      <c r="BK25" s="138"/>
      <c r="BL25" s="138"/>
      <c r="BM25" s="138"/>
      <c r="BN25" s="138"/>
      <c r="BO25" s="138"/>
      <c r="BP25" s="138"/>
      <c r="BQ25" s="138"/>
      <c r="BR25" s="138"/>
      <c r="BS25" s="138"/>
      <c r="BT25" s="138"/>
      <c r="BU25" s="138"/>
      <c r="BV25" s="138"/>
      <c r="BW25" s="138"/>
      <c r="BX25" s="138"/>
      <c r="BY25" s="138"/>
      <c r="BZ25" s="138"/>
      <c r="CA25" s="138"/>
      <c r="CB25" s="138"/>
      <c r="CC25" s="138"/>
      <c r="CD25" s="138"/>
      <c r="CE25" s="138"/>
      <c r="CF25" s="138"/>
      <c r="CG25" s="138"/>
      <c r="CH25" s="138"/>
      <c r="CI25" s="138"/>
      <c r="CJ25" s="138"/>
    </row>
    <row r="26" spans="1:88" s="662" customFormat="1" ht="12.75" customHeight="1">
      <c r="A26" s="159" t="s">
        <v>976</v>
      </c>
      <c r="B26" s="161">
        <v>74060</v>
      </c>
      <c r="C26" s="161">
        <v>74060</v>
      </c>
      <c r="D26" s="161">
        <v>55783.06</v>
      </c>
      <c r="E26" s="148">
        <f>IF(ISERROR(D26/B26)," ",(D26/B26))*100</f>
        <v>75.32144207399406</v>
      </c>
      <c r="F26" s="148">
        <f>IF(ISERROR(D26/C26)," ",(D26/C26))*100</f>
        <v>75.32144207399406</v>
      </c>
      <c r="G26" s="161">
        <f>D26-'[5]Oktobris'!D26</f>
        <v>0</v>
      </c>
      <c r="H26" s="138"/>
      <c r="I26" s="159" t="s">
        <v>976</v>
      </c>
      <c r="J26" s="154">
        <f t="shared" si="5"/>
        <v>74</v>
      </c>
      <c r="K26" s="154">
        <f t="shared" si="5"/>
        <v>74</v>
      </c>
      <c r="L26" s="154">
        <f t="shared" si="5"/>
        <v>56</v>
      </c>
      <c r="M26" s="155">
        <f>L26/J26*100</f>
        <v>75.67567567567568</v>
      </c>
      <c r="N26" s="155">
        <f>L26/K26*100</f>
        <v>75.67567567567568</v>
      </c>
      <c r="O26" s="154"/>
      <c r="P26" s="138"/>
      <c r="Q26" s="154">
        <v>56</v>
      </c>
      <c r="R26" s="154">
        <v>56</v>
      </c>
      <c r="S26" s="138">
        <f t="shared" si="2"/>
        <v>0</v>
      </c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  <c r="BI26" s="138"/>
      <c r="BJ26" s="138"/>
      <c r="BK26" s="138"/>
      <c r="BL26" s="138"/>
      <c r="BM26" s="138"/>
      <c r="BN26" s="138"/>
      <c r="BO26" s="138"/>
      <c r="BP26" s="138"/>
      <c r="BQ26" s="138"/>
      <c r="BR26" s="138"/>
      <c r="BS26" s="138"/>
      <c r="BT26" s="138"/>
      <c r="BU26" s="138"/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8"/>
    </row>
    <row r="27" spans="1:88" s="662" customFormat="1" ht="12.75" customHeight="1">
      <c r="A27" s="157" t="s">
        <v>982</v>
      </c>
      <c r="B27" s="163"/>
      <c r="C27" s="163"/>
      <c r="D27" s="163"/>
      <c r="E27" s="163"/>
      <c r="F27" s="163"/>
      <c r="G27" s="161"/>
      <c r="H27" s="138"/>
      <c r="I27" s="157" t="s">
        <v>983</v>
      </c>
      <c r="J27" s="163"/>
      <c r="K27" s="163"/>
      <c r="L27" s="163"/>
      <c r="M27" s="155"/>
      <c r="N27" s="155"/>
      <c r="O27" s="163"/>
      <c r="P27" s="138"/>
      <c r="Q27" s="163"/>
      <c r="R27" s="163"/>
      <c r="S27" s="138">
        <f t="shared" si="2"/>
        <v>0</v>
      </c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138"/>
      <c r="BB27" s="138"/>
      <c r="BC27" s="138"/>
      <c r="BD27" s="138"/>
      <c r="BE27" s="138"/>
      <c r="BF27" s="138"/>
      <c r="BG27" s="138"/>
      <c r="BH27" s="138"/>
      <c r="BI27" s="138"/>
      <c r="BJ27" s="138"/>
      <c r="BK27" s="138"/>
      <c r="BL27" s="138"/>
      <c r="BM27" s="138"/>
      <c r="BN27" s="138"/>
      <c r="BO27" s="138"/>
      <c r="BP27" s="138"/>
      <c r="BQ27" s="138"/>
      <c r="BR27" s="138"/>
      <c r="BS27" s="138"/>
      <c r="BT27" s="138"/>
      <c r="BU27" s="138"/>
      <c r="BV27" s="138"/>
      <c r="BW27" s="138"/>
      <c r="BX27" s="138"/>
      <c r="BY27" s="138"/>
      <c r="BZ27" s="138"/>
      <c r="CA27" s="138"/>
      <c r="CB27" s="138"/>
      <c r="CC27" s="138"/>
      <c r="CD27" s="138"/>
      <c r="CE27" s="138"/>
      <c r="CF27" s="138"/>
      <c r="CG27" s="138"/>
      <c r="CH27" s="138"/>
      <c r="CI27" s="138"/>
      <c r="CJ27" s="138"/>
    </row>
    <row r="28" spans="1:88" s="662" customFormat="1" ht="12.75" customHeight="1">
      <c r="A28" s="151" t="s">
        <v>969</v>
      </c>
      <c r="B28" s="161">
        <f>SUM(B29:B30)</f>
        <v>7212591</v>
      </c>
      <c r="C28" s="163">
        <f>SUM(C29:C30)</f>
        <v>6610380</v>
      </c>
      <c r="D28" s="163">
        <f>SUM(D29:D30)</f>
        <v>6671838.58</v>
      </c>
      <c r="E28" s="147">
        <f aca="true" t="shared" si="6" ref="E28:E33">IF(ISERROR(D28/B28)," ",(D28/B28))*100</f>
        <v>92.502660694333</v>
      </c>
      <c r="F28" s="147">
        <f aca="true" t="shared" si="7" ref="F28:F33">IF(ISERROR(D28/C28)," ",(D28/C28))*100</f>
        <v>100.92972839685463</v>
      </c>
      <c r="G28" s="163">
        <f>SUM(G29:G30)</f>
        <v>632275.78</v>
      </c>
      <c r="H28" s="138"/>
      <c r="I28" s="151" t="s">
        <v>969</v>
      </c>
      <c r="J28" s="145">
        <f>J29+J30</f>
        <v>7213</v>
      </c>
      <c r="K28" s="145">
        <f>K29+K30</f>
        <v>6610</v>
      </c>
      <c r="L28" s="145">
        <f>L29+L30</f>
        <v>6672</v>
      </c>
      <c r="M28" s="153">
        <f aca="true" t="shared" si="8" ref="M28:M33">L28/J28*100</f>
        <v>92.49965340357687</v>
      </c>
      <c r="N28" s="153">
        <f aca="true" t="shared" si="9" ref="N28:N33">L28/K28*100</f>
        <v>100.93797276853253</v>
      </c>
      <c r="O28" s="145">
        <f>SUM(O29:O30)</f>
        <v>632</v>
      </c>
      <c r="P28" s="138"/>
      <c r="Q28" s="145">
        <v>6672</v>
      </c>
      <c r="R28" s="145">
        <v>6040</v>
      </c>
      <c r="S28" s="138">
        <f t="shared" si="2"/>
        <v>632</v>
      </c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8"/>
      <c r="AR28" s="138"/>
      <c r="AS28" s="138"/>
      <c r="AT28" s="138"/>
      <c r="AU28" s="138"/>
      <c r="AV28" s="138"/>
      <c r="AW28" s="138"/>
      <c r="AX28" s="138"/>
      <c r="AY28" s="138"/>
      <c r="AZ28" s="138"/>
      <c r="BA28" s="138"/>
      <c r="BB28" s="138"/>
      <c r="BC28" s="138"/>
      <c r="BD28" s="138"/>
      <c r="BE28" s="138"/>
      <c r="BF28" s="138"/>
      <c r="BG28" s="138"/>
      <c r="BH28" s="138"/>
      <c r="BI28" s="138"/>
      <c r="BJ28" s="138"/>
      <c r="BK28" s="138"/>
      <c r="BL28" s="138"/>
      <c r="BM28" s="138"/>
      <c r="BN28" s="138"/>
      <c r="BO28" s="138"/>
      <c r="BP28" s="138"/>
      <c r="BQ28" s="138"/>
      <c r="BR28" s="138"/>
      <c r="BS28" s="138"/>
      <c r="BT28" s="138"/>
      <c r="BU28" s="138"/>
      <c r="BV28" s="138"/>
      <c r="BW28" s="138"/>
      <c r="BX28" s="138"/>
      <c r="BY28" s="138"/>
      <c r="BZ28" s="138"/>
      <c r="CA28" s="138"/>
      <c r="CB28" s="138"/>
      <c r="CC28" s="138"/>
      <c r="CD28" s="138"/>
      <c r="CE28" s="138"/>
      <c r="CF28" s="138"/>
      <c r="CG28" s="138"/>
      <c r="CH28" s="138"/>
      <c r="CI28" s="138"/>
      <c r="CJ28" s="138"/>
    </row>
    <row r="29" spans="1:88" s="662" customFormat="1" ht="12.75" customHeight="1">
      <c r="A29" s="151" t="s">
        <v>970</v>
      </c>
      <c r="B29" s="161">
        <v>6972591</v>
      </c>
      <c r="C29" s="161">
        <v>6383717</v>
      </c>
      <c r="D29" s="161">
        <v>6383717</v>
      </c>
      <c r="E29" s="148">
        <f t="shared" si="6"/>
        <v>91.55444511229757</v>
      </c>
      <c r="F29" s="148">
        <f t="shared" si="7"/>
        <v>100</v>
      </c>
      <c r="G29" s="161">
        <f>D29-'[5]Oktobris'!D29</f>
        <v>619166</v>
      </c>
      <c r="H29" s="138"/>
      <c r="I29" s="151" t="s">
        <v>970</v>
      </c>
      <c r="J29" s="154">
        <f aca="true" t="shared" si="10" ref="J29:L30">ROUND(B29/1000,0)</f>
        <v>6973</v>
      </c>
      <c r="K29" s="154">
        <f t="shared" si="10"/>
        <v>6384</v>
      </c>
      <c r="L29" s="154">
        <f t="shared" si="10"/>
        <v>6384</v>
      </c>
      <c r="M29" s="155">
        <f t="shared" si="8"/>
        <v>91.55313351498637</v>
      </c>
      <c r="N29" s="155">
        <f t="shared" si="9"/>
        <v>100</v>
      </c>
      <c r="O29" s="154">
        <f>L29-'[5]Oktobris'!L29</f>
        <v>619</v>
      </c>
      <c r="P29" s="138"/>
      <c r="Q29" s="154">
        <v>6384</v>
      </c>
      <c r="R29" s="154">
        <v>5765</v>
      </c>
      <c r="S29" s="138">
        <f t="shared" si="2"/>
        <v>619</v>
      </c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  <c r="BK29" s="138"/>
      <c r="BL29" s="138"/>
      <c r="BM29" s="138"/>
      <c r="BN29" s="138"/>
      <c r="BO29" s="138"/>
      <c r="BP29" s="138"/>
      <c r="BQ29" s="138"/>
      <c r="BR29" s="138"/>
      <c r="BS29" s="138"/>
      <c r="BT29" s="138"/>
      <c r="BU29" s="138"/>
      <c r="BV29" s="138"/>
      <c r="BW29" s="138"/>
      <c r="BX29" s="138"/>
      <c r="BY29" s="138"/>
      <c r="BZ29" s="138"/>
      <c r="CA29" s="138"/>
      <c r="CB29" s="138"/>
      <c r="CC29" s="138"/>
      <c r="CD29" s="138"/>
      <c r="CE29" s="138"/>
      <c r="CF29" s="138"/>
      <c r="CG29" s="138"/>
      <c r="CH29" s="138"/>
      <c r="CI29" s="138"/>
      <c r="CJ29" s="138"/>
    </row>
    <row r="30" spans="1:88" s="662" customFormat="1" ht="12.75" customHeight="1">
      <c r="A30" s="151" t="s">
        <v>972</v>
      </c>
      <c r="B30" s="161">
        <v>240000</v>
      </c>
      <c r="C30" s="161">
        <v>226663</v>
      </c>
      <c r="D30" s="161">
        <v>288121.58</v>
      </c>
      <c r="E30" s="148">
        <f t="shared" si="6"/>
        <v>120.05065833333335</v>
      </c>
      <c r="F30" s="148">
        <f t="shared" si="7"/>
        <v>127.11451802896812</v>
      </c>
      <c r="G30" s="161">
        <f>D30-'[5]Oktobris'!D30</f>
        <v>13109.780000000028</v>
      </c>
      <c r="H30" s="138"/>
      <c r="I30" s="151" t="s">
        <v>972</v>
      </c>
      <c r="J30" s="154">
        <f t="shared" si="10"/>
        <v>240</v>
      </c>
      <c r="K30" s="154">
        <f>ROUND(C30/1000,0)-1</f>
        <v>226</v>
      </c>
      <c r="L30" s="154">
        <f t="shared" si="10"/>
        <v>288</v>
      </c>
      <c r="M30" s="155">
        <f t="shared" si="8"/>
        <v>120</v>
      </c>
      <c r="N30" s="155">
        <f t="shared" si="9"/>
        <v>127.43362831858407</v>
      </c>
      <c r="O30" s="154">
        <f>L30-'[5]Oktobris'!L30</f>
        <v>13</v>
      </c>
      <c r="P30" s="138"/>
      <c r="Q30" s="154">
        <v>288</v>
      </c>
      <c r="R30" s="154">
        <v>275</v>
      </c>
      <c r="S30" s="138">
        <f t="shared" si="2"/>
        <v>13</v>
      </c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  <c r="BK30" s="138"/>
      <c r="BL30" s="138"/>
      <c r="BM30" s="138"/>
      <c r="BN30" s="138"/>
      <c r="BO30" s="138"/>
      <c r="BP30" s="138"/>
      <c r="BQ30" s="138"/>
      <c r="BR30" s="138"/>
      <c r="BS30" s="138"/>
      <c r="BT30" s="138"/>
      <c r="BU30" s="138"/>
      <c r="BV30" s="138"/>
      <c r="BW30" s="138"/>
      <c r="BX30" s="138"/>
      <c r="BY30" s="138"/>
      <c r="BZ30" s="138"/>
      <c r="CA30" s="138"/>
      <c r="CB30" s="138"/>
      <c r="CC30" s="138"/>
      <c r="CD30" s="138"/>
      <c r="CE30" s="138"/>
      <c r="CF30" s="138"/>
      <c r="CG30" s="138"/>
      <c r="CH30" s="138"/>
      <c r="CI30" s="138"/>
      <c r="CJ30" s="138"/>
    </row>
    <row r="31" spans="1:88" s="662" customFormat="1" ht="12.75" customHeight="1">
      <c r="A31" s="157" t="s">
        <v>974</v>
      </c>
      <c r="B31" s="163">
        <f>SUM(B32:B33)</f>
        <v>7212591</v>
      </c>
      <c r="C31" s="163">
        <f>SUM(C32:C33)</f>
        <v>6610380</v>
      </c>
      <c r="D31" s="163">
        <f>SUM(D32:D33)</f>
        <v>6063825.99</v>
      </c>
      <c r="E31" s="147">
        <f t="shared" si="6"/>
        <v>84.07278313715557</v>
      </c>
      <c r="F31" s="147">
        <f t="shared" si="7"/>
        <v>91.73188213083061</v>
      </c>
      <c r="G31" s="163">
        <f>SUM(G32:G33)</f>
        <v>653490.1699999997</v>
      </c>
      <c r="H31" s="138"/>
      <c r="I31" s="157" t="s">
        <v>974</v>
      </c>
      <c r="J31" s="145">
        <f>J32+J33</f>
        <v>7213</v>
      </c>
      <c r="K31" s="145">
        <f>K32+K33</f>
        <v>6610</v>
      </c>
      <c r="L31" s="145">
        <f>L32+L33</f>
        <v>6064</v>
      </c>
      <c r="M31" s="153">
        <f t="shared" si="8"/>
        <v>84.07042839317899</v>
      </c>
      <c r="N31" s="153">
        <f t="shared" si="9"/>
        <v>91.73978819969743</v>
      </c>
      <c r="O31" s="145">
        <f>SUM(O32:O33)</f>
        <v>654</v>
      </c>
      <c r="P31" s="138"/>
      <c r="Q31" s="145">
        <v>6064</v>
      </c>
      <c r="R31" s="145">
        <v>5410</v>
      </c>
      <c r="S31" s="138">
        <f t="shared" si="2"/>
        <v>654</v>
      </c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138"/>
      <c r="BH31" s="138"/>
      <c r="BI31" s="138"/>
      <c r="BJ31" s="138"/>
      <c r="BK31" s="138"/>
      <c r="BL31" s="138"/>
      <c r="BM31" s="138"/>
      <c r="BN31" s="138"/>
      <c r="BO31" s="138"/>
      <c r="BP31" s="138"/>
      <c r="BQ31" s="138"/>
      <c r="BR31" s="138"/>
      <c r="BS31" s="138"/>
      <c r="BT31" s="138"/>
      <c r="BU31" s="138"/>
      <c r="BV31" s="138"/>
      <c r="BW31" s="138"/>
      <c r="BX31" s="138"/>
      <c r="BY31" s="138"/>
      <c r="BZ31" s="138"/>
      <c r="CA31" s="138"/>
      <c r="CB31" s="138"/>
      <c r="CC31" s="138"/>
      <c r="CD31" s="138"/>
      <c r="CE31" s="138"/>
      <c r="CF31" s="138"/>
      <c r="CG31" s="138"/>
      <c r="CH31" s="138"/>
      <c r="CI31" s="138"/>
      <c r="CJ31" s="138"/>
    </row>
    <row r="32" spans="1:88" s="662" customFormat="1" ht="12.75" customHeight="1">
      <c r="A32" s="159" t="s">
        <v>975</v>
      </c>
      <c r="B32" s="161">
        <v>5998635</v>
      </c>
      <c r="C32" s="161">
        <v>5442456</v>
      </c>
      <c r="D32" s="161">
        <v>5050954.91</v>
      </c>
      <c r="E32" s="148">
        <f t="shared" si="6"/>
        <v>84.2017377286666</v>
      </c>
      <c r="F32" s="148">
        <f t="shared" si="7"/>
        <v>92.80653642399682</v>
      </c>
      <c r="G32" s="161">
        <f>D32-'[5]Oktobris'!D32</f>
        <v>597172.5099999998</v>
      </c>
      <c r="H32" s="138"/>
      <c r="I32" s="159" t="s">
        <v>975</v>
      </c>
      <c r="J32" s="154">
        <f aca="true" t="shared" si="11" ref="J32:L33">ROUND(B32/1000,0)</f>
        <v>5999</v>
      </c>
      <c r="K32" s="154">
        <f>ROUND(C32/1000,0)</f>
        <v>5442</v>
      </c>
      <c r="L32" s="154">
        <f t="shared" si="11"/>
        <v>5051</v>
      </c>
      <c r="M32" s="155">
        <f t="shared" si="8"/>
        <v>84.19736622770462</v>
      </c>
      <c r="N32" s="155">
        <f t="shared" si="9"/>
        <v>92.81514149209849</v>
      </c>
      <c r="O32" s="154">
        <f>L32-'[5]Oktobris'!L32</f>
        <v>597</v>
      </c>
      <c r="P32" s="138"/>
      <c r="Q32" s="154">
        <v>5051</v>
      </c>
      <c r="R32" s="154">
        <v>4454</v>
      </c>
      <c r="S32" s="138">
        <f t="shared" si="2"/>
        <v>597</v>
      </c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8"/>
      <c r="BY32" s="138"/>
      <c r="BZ32" s="138"/>
      <c r="CA32" s="138"/>
      <c r="CB32" s="138"/>
      <c r="CC32" s="138"/>
      <c r="CD32" s="138"/>
      <c r="CE32" s="138"/>
      <c r="CF32" s="138"/>
      <c r="CG32" s="138"/>
      <c r="CH32" s="138"/>
      <c r="CI32" s="138"/>
      <c r="CJ32" s="138"/>
    </row>
    <row r="33" spans="1:88" s="662" customFormat="1" ht="12.75" customHeight="1">
      <c r="A33" s="159" t="s">
        <v>976</v>
      </c>
      <c r="B33" s="161">
        <v>1213956</v>
      </c>
      <c r="C33" s="161">
        <v>1167924</v>
      </c>
      <c r="D33" s="161">
        <v>1012871.08</v>
      </c>
      <c r="E33" s="148">
        <f t="shared" si="6"/>
        <v>83.43556768120096</v>
      </c>
      <c r="F33" s="148">
        <f t="shared" si="7"/>
        <v>86.72405738729574</v>
      </c>
      <c r="G33" s="161">
        <f>D33-'[5]Oktobris'!D33</f>
        <v>56317.659999999916</v>
      </c>
      <c r="H33" s="138"/>
      <c r="I33" s="159" t="s">
        <v>976</v>
      </c>
      <c r="J33" s="154">
        <f t="shared" si="11"/>
        <v>1214</v>
      </c>
      <c r="K33" s="154">
        <f t="shared" si="11"/>
        <v>1168</v>
      </c>
      <c r="L33" s="154">
        <f>ROUND(D33/1000,0)</f>
        <v>1013</v>
      </c>
      <c r="M33" s="155">
        <f t="shared" si="8"/>
        <v>83.44316309719935</v>
      </c>
      <c r="N33" s="155">
        <f t="shared" si="9"/>
        <v>86.72945205479452</v>
      </c>
      <c r="O33" s="154">
        <f>L33-'[5]Oktobris'!L33</f>
        <v>57</v>
      </c>
      <c r="P33" s="138"/>
      <c r="Q33" s="154">
        <v>1013</v>
      </c>
      <c r="R33" s="154">
        <v>956</v>
      </c>
      <c r="S33" s="138">
        <f t="shared" si="2"/>
        <v>57</v>
      </c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  <c r="BD33" s="138"/>
      <c r="BE33" s="138"/>
      <c r="BF33" s="138"/>
      <c r="BG33" s="138"/>
      <c r="BH33" s="138"/>
      <c r="BI33" s="138"/>
      <c r="BJ33" s="138"/>
      <c r="BK33" s="138"/>
      <c r="BL33" s="138"/>
      <c r="BM33" s="138"/>
      <c r="BN33" s="138"/>
      <c r="BO33" s="138"/>
      <c r="BP33" s="138"/>
      <c r="BQ33" s="138"/>
      <c r="BR33" s="138"/>
      <c r="BS33" s="138"/>
      <c r="BT33" s="138"/>
      <c r="BU33" s="138"/>
      <c r="BV33" s="138"/>
      <c r="BW33" s="138"/>
      <c r="BX33" s="138"/>
      <c r="BY33" s="138"/>
      <c r="BZ33" s="138"/>
      <c r="CA33" s="138"/>
      <c r="CB33" s="138"/>
      <c r="CC33" s="138"/>
      <c r="CD33" s="138"/>
      <c r="CE33" s="138"/>
      <c r="CF33" s="138"/>
      <c r="CG33" s="138"/>
      <c r="CH33" s="138"/>
      <c r="CI33" s="138"/>
      <c r="CJ33" s="138"/>
    </row>
    <row r="34" spans="1:88" s="662" customFormat="1" ht="12.75" customHeight="1">
      <c r="A34" s="157" t="s">
        <v>984</v>
      </c>
      <c r="B34" s="161"/>
      <c r="C34" s="161"/>
      <c r="D34" s="161"/>
      <c r="E34" s="161"/>
      <c r="F34" s="161"/>
      <c r="G34" s="161"/>
      <c r="H34" s="138"/>
      <c r="I34" s="157" t="s">
        <v>985</v>
      </c>
      <c r="J34" s="161"/>
      <c r="K34" s="161"/>
      <c r="L34" s="161"/>
      <c r="M34" s="155"/>
      <c r="N34" s="155"/>
      <c r="O34" s="161"/>
      <c r="P34" s="138"/>
      <c r="Q34" s="161"/>
      <c r="R34" s="161"/>
      <c r="S34" s="138">
        <f t="shared" si="2"/>
        <v>0</v>
      </c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8"/>
      <c r="AW34" s="138"/>
      <c r="AX34" s="138"/>
      <c r="AY34" s="138"/>
      <c r="AZ34" s="138"/>
      <c r="BA34" s="138"/>
      <c r="BB34" s="138"/>
      <c r="BC34" s="138"/>
      <c r="BD34" s="138"/>
      <c r="BE34" s="138"/>
      <c r="BF34" s="138"/>
      <c r="BG34" s="138"/>
      <c r="BH34" s="138"/>
      <c r="BI34" s="138"/>
      <c r="BJ34" s="138"/>
      <c r="BK34" s="138"/>
      <c r="BL34" s="138"/>
      <c r="BM34" s="138"/>
      <c r="BN34" s="138"/>
      <c r="BO34" s="138"/>
      <c r="BP34" s="138"/>
      <c r="BQ34" s="138"/>
      <c r="BR34" s="138"/>
      <c r="BS34" s="138"/>
      <c r="BT34" s="138"/>
      <c r="BU34" s="138"/>
      <c r="BV34" s="138"/>
      <c r="BW34" s="138"/>
      <c r="BX34" s="138"/>
      <c r="BY34" s="138"/>
      <c r="BZ34" s="138"/>
      <c r="CA34" s="138"/>
      <c r="CB34" s="138"/>
      <c r="CC34" s="138"/>
      <c r="CD34" s="138"/>
      <c r="CE34" s="138"/>
      <c r="CF34" s="138"/>
      <c r="CG34" s="138"/>
      <c r="CH34" s="138"/>
      <c r="CI34" s="138"/>
      <c r="CJ34" s="138"/>
    </row>
    <row r="35" spans="1:88" s="662" customFormat="1" ht="12.75" customHeight="1">
      <c r="A35" s="151" t="s">
        <v>969</v>
      </c>
      <c r="B35" s="161">
        <f>SUM(B36:B38)</f>
        <v>3656122</v>
      </c>
      <c r="C35" s="163">
        <f>SUM(C36:C38)</f>
        <v>3319723</v>
      </c>
      <c r="D35" s="163">
        <f>SUM(D36:D38)</f>
        <v>3142080.2800000003</v>
      </c>
      <c r="E35" s="147">
        <f aca="true" t="shared" si="12" ref="E35:E41">IF(ISERROR(D35/B35)," ",(D35/B35))*100</f>
        <v>85.94024707052994</v>
      </c>
      <c r="F35" s="147">
        <f aca="true" t="shared" si="13" ref="F35:F41">IF(ISERROR(D35/C35)," ",(D35/C35))*100</f>
        <v>94.64886919782163</v>
      </c>
      <c r="G35" s="163">
        <f>SUM(G36:G38)</f>
        <v>324922.92</v>
      </c>
      <c r="H35" s="138"/>
      <c r="I35" s="151" t="s">
        <v>969</v>
      </c>
      <c r="J35" s="145">
        <f>J36+J37+J38</f>
        <v>3656</v>
      </c>
      <c r="K35" s="145">
        <f>K36+K37+K38</f>
        <v>3320</v>
      </c>
      <c r="L35" s="145">
        <f>L36+L37+L38</f>
        <v>3143</v>
      </c>
      <c r="M35" s="153">
        <f aca="true" t="shared" si="14" ref="M35:M41">L35/J35*100</f>
        <v>85.96827133479212</v>
      </c>
      <c r="N35" s="153">
        <f aca="true" t="shared" si="15" ref="N35:N41">L35/K35*100</f>
        <v>94.66867469879519</v>
      </c>
      <c r="O35" s="145">
        <f>SUM(O36:O38)</f>
        <v>326</v>
      </c>
      <c r="P35" s="138"/>
      <c r="Q35" s="145">
        <v>3143</v>
      </c>
      <c r="R35" s="145">
        <v>2817</v>
      </c>
      <c r="S35" s="138">
        <f t="shared" si="2"/>
        <v>326</v>
      </c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  <c r="AQ35" s="138"/>
      <c r="AR35" s="138"/>
      <c r="AS35" s="138"/>
      <c r="AT35" s="138"/>
      <c r="AU35" s="138"/>
      <c r="AV35" s="138"/>
      <c r="AW35" s="138"/>
      <c r="AX35" s="138"/>
      <c r="AY35" s="138"/>
      <c r="AZ35" s="138"/>
      <c r="BA35" s="138"/>
      <c r="BB35" s="138"/>
      <c r="BC35" s="138"/>
      <c r="BD35" s="138"/>
      <c r="BE35" s="138"/>
      <c r="BF35" s="138"/>
      <c r="BG35" s="138"/>
      <c r="BH35" s="138"/>
      <c r="BI35" s="138"/>
      <c r="BJ35" s="138"/>
      <c r="BK35" s="138"/>
      <c r="BL35" s="138"/>
      <c r="BM35" s="138"/>
      <c r="BN35" s="138"/>
      <c r="BO35" s="138"/>
      <c r="BP35" s="138"/>
      <c r="BQ35" s="138"/>
      <c r="BR35" s="138"/>
      <c r="BS35" s="138"/>
      <c r="BT35" s="138"/>
      <c r="BU35" s="138"/>
      <c r="BV35" s="138"/>
      <c r="BW35" s="138"/>
      <c r="BX35" s="138"/>
      <c r="BY35" s="138"/>
      <c r="BZ35" s="138"/>
      <c r="CA35" s="138"/>
      <c r="CB35" s="138"/>
      <c r="CC35" s="138"/>
      <c r="CD35" s="138"/>
      <c r="CE35" s="138"/>
      <c r="CF35" s="138"/>
      <c r="CG35" s="138"/>
      <c r="CH35" s="138"/>
      <c r="CI35" s="138"/>
      <c r="CJ35" s="138"/>
    </row>
    <row r="36" spans="1:88" s="662" customFormat="1" ht="12.75" customHeight="1">
      <c r="A36" s="151" t="s">
        <v>970</v>
      </c>
      <c r="B36" s="161">
        <v>3048776</v>
      </c>
      <c r="C36" s="161">
        <v>2734447</v>
      </c>
      <c r="D36" s="161">
        <v>2734447</v>
      </c>
      <c r="E36" s="148">
        <f t="shared" si="12"/>
        <v>89.68999362367062</v>
      </c>
      <c r="F36" s="148">
        <f t="shared" si="13"/>
        <v>100</v>
      </c>
      <c r="G36" s="161">
        <f>D36-'[5]Oktobris'!D36</f>
        <v>270731</v>
      </c>
      <c r="H36" s="138"/>
      <c r="I36" s="151" t="s">
        <v>970</v>
      </c>
      <c r="J36" s="154">
        <f>ROUND(B36/1000,0)</f>
        <v>3049</v>
      </c>
      <c r="K36" s="154">
        <f>ROUND(C36/1000,0)+1</f>
        <v>2735</v>
      </c>
      <c r="L36" s="154">
        <f>ROUND(D36/1000,0)+1</f>
        <v>2735</v>
      </c>
      <c r="M36" s="155">
        <f t="shared" si="14"/>
        <v>89.7015414890128</v>
      </c>
      <c r="N36" s="155">
        <f t="shared" si="15"/>
        <v>100</v>
      </c>
      <c r="O36" s="154">
        <f>L36-'[5]Oktobris'!L36</f>
        <v>271</v>
      </c>
      <c r="P36" s="138"/>
      <c r="Q36" s="154">
        <v>2735</v>
      </c>
      <c r="R36" s="154">
        <v>2464</v>
      </c>
      <c r="S36" s="138">
        <f t="shared" si="2"/>
        <v>271</v>
      </c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8"/>
      <c r="AS36" s="138"/>
      <c r="AT36" s="138"/>
      <c r="AU36" s="138"/>
      <c r="AV36" s="138"/>
      <c r="AW36" s="138"/>
      <c r="AX36" s="138"/>
      <c r="AY36" s="138"/>
      <c r="AZ36" s="138"/>
      <c r="BA36" s="138"/>
      <c r="BB36" s="138"/>
      <c r="BC36" s="138"/>
      <c r="BD36" s="138"/>
      <c r="BE36" s="138"/>
      <c r="BF36" s="138"/>
      <c r="BG36" s="138"/>
      <c r="BH36" s="138"/>
      <c r="BI36" s="138"/>
      <c r="BJ36" s="138"/>
      <c r="BK36" s="138"/>
      <c r="BL36" s="138"/>
      <c r="BM36" s="138"/>
      <c r="BN36" s="138"/>
      <c r="BO36" s="138"/>
      <c r="BP36" s="138"/>
      <c r="BQ36" s="138"/>
      <c r="BR36" s="138"/>
      <c r="BS36" s="138"/>
      <c r="BT36" s="138"/>
      <c r="BU36" s="138"/>
      <c r="BV36" s="138"/>
      <c r="BW36" s="138"/>
      <c r="BX36" s="138"/>
      <c r="BY36" s="138"/>
      <c r="BZ36" s="138"/>
      <c r="CA36" s="138"/>
      <c r="CB36" s="138"/>
      <c r="CC36" s="138"/>
      <c r="CD36" s="138"/>
      <c r="CE36" s="138"/>
      <c r="CF36" s="138"/>
      <c r="CG36" s="138"/>
      <c r="CH36" s="138"/>
      <c r="CI36" s="138"/>
      <c r="CJ36" s="138"/>
    </row>
    <row r="37" spans="1:88" s="662" customFormat="1" ht="12.75" customHeight="1">
      <c r="A37" s="151" t="s">
        <v>972</v>
      </c>
      <c r="B37" s="161">
        <v>323000</v>
      </c>
      <c r="C37" s="161">
        <v>300930</v>
      </c>
      <c r="D37" s="161">
        <v>256653.37</v>
      </c>
      <c r="E37" s="148">
        <f t="shared" si="12"/>
        <v>79.45924767801857</v>
      </c>
      <c r="F37" s="148">
        <f t="shared" si="13"/>
        <v>85.28673445651812</v>
      </c>
      <c r="G37" s="161">
        <f>D37-'[5]Oktobris'!D37</f>
        <v>24310.619999999995</v>
      </c>
      <c r="H37" s="138"/>
      <c r="I37" s="151" t="s">
        <v>972</v>
      </c>
      <c r="J37" s="154">
        <f>ROUND(B37/1000,0)</f>
        <v>323</v>
      </c>
      <c r="K37" s="154">
        <f>ROUND(C37/1000,0)</f>
        <v>301</v>
      </c>
      <c r="L37" s="154">
        <f>ROUND(D37/1000,0)</f>
        <v>257</v>
      </c>
      <c r="M37" s="155">
        <f t="shared" si="14"/>
        <v>79.56656346749226</v>
      </c>
      <c r="N37" s="155">
        <f t="shared" si="15"/>
        <v>85.38205980066445</v>
      </c>
      <c r="O37" s="154">
        <f>L37-'[5]Oktobris'!L37</f>
        <v>25</v>
      </c>
      <c r="P37" s="138"/>
      <c r="Q37" s="154">
        <v>257</v>
      </c>
      <c r="R37" s="154">
        <v>232</v>
      </c>
      <c r="S37" s="138">
        <f t="shared" si="2"/>
        <v>25</v>
      </c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138"/>
      <c r="AR37" s="138"/>
      <c r="AS37" s="138"/>
      <c r="AT37" s="138"/>
      <c r="AU37" s="138"/>
      <c r="AV37" s="138"/>
      <c r="AW37" s="138"/>
      <c r="AX37" s="138"/>
      <c r="AY37" s="138"/>
      <c r="AZ37" s="138"/>
      <c r="BA37" s="138"/>
      <c r="BB37" s="138"/>
      <c r="BC37" s="138"/>
      <c r="BD37" s="138"/>
      <c r="BE37" s="138"/>
      <c r="BF37" s="138"/>
      <c r="BG37" s="138"/>
      <c r="BH37" s="138"/>
      <c r="BI37" s="138"/>
      <c r="BJ37" s="138"/>
      <c r="BK37" s="138"/>
      <c r="BL37" s="138"/>
      <c r="BM37" s="138"/>
      <c r="BN37" s="138"/>
      <c r="BO37" s="138"/>
      <c r="BP37" s="138"/>
      <c r="BQ37" s="138"/>
      <c r="BR37" s="138"/>
      <c r="BS37" s="138"/>
      <c r="BT37" s="138"/>
      <c r="BU37" s="138"/>
      <c r="BV37" s="138"/>
      <c r="BW37" s="138"/>
      <c r="BX37" s="138"/>
      <c r="BY37" s="138"/>
      <c r="BZ37" s="138"/>
      <c r="CA37" s="138"/>
      <c r="CB37" s="138"/>
      <c r="CC37" s="138"/>
      <c r="CD37" s="138"/>
      <c r="CE37" s="138"/>
      <c r="CF37" s="138"/>
      <c r="CG37" s="138"/>
      <c r="CH37" s="138"/>
      <c r="CI37" s="138"/>
      <c r="CJ37" s="138"/>
    </row>
    <row r="38" spans="1:88" s="662" customFormat="1" ht="12.75" customHeight="1">
      <c r="A38" s="151" t="s">
        <v>973</v>
      </c>
      <c r="B38" s="161">
        <v>284346</v>
      </c>
      <c r="C38" s="161">
        <v>284346</v>
      </c>
      <c r="D38" s="161">
        <v>150979.91</v>
      </c>
      <c r="E38" s="148">
        <f t="shared" si="12"/>
        <v>53.09725123617002</v>
      </c>
      <c r="F38" s="148">
        <f t="shared" si="13"/>
        <v>53.09725123617002</v>
      </c>
      <c r="G38" s="161">
        <f>D38-'[5]Oktobris'!D38</f>
        <v>29881.300000000003</v>
      </c>
      <c r="H38" s="138"/>
      <c r="I38" s="151" t="s">
        <v>973</v>
      </c>
      <c r="J38" s="154">
        <f>ROUND(B38/1000,0)</f>
        <v>284</v>
      </c>
      <c r="K38" s="154">
        <f>ROUND(C38/1000,0)</f>
        <v>284</v>
      </c>
      <c r="L38" s="154">
        <f>ROUND(D38/1000,0)</f>
        <v>151</v>
      </c>
      <c r="M38" s="155">
        <f t="shared" si="14"/>
        <v>53.16901408450704</v>
      </c>
      <c r="N38" s="155">
        <f t="shared" si="15"/>
        <v>53.16901408450704</v>
      </c>
      <c r="O38" s="154">
        <f>L38-'[5]Oktobris'!L38</f>
        <v>30</v>
      </c>
      <c r="P38" s="138"/>
      <c r="Q38" s="154">
        <v>151</v>
      </c>
      <c r="R38" s="154">
        <v>121</v>
      </c>
      <c r="S38" s="138">
        <f t="shared" si="2"/>
        <v>30</v>
      </c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  <c r="AV38" s="138"/>
      <c r="AW38" s="138"/>
      <c r="AX38" s="138"/>
      <c r="AY38" s="138"/>
      <c r="AZ38" s="138"/>
      <c r="BA38" s="138"/>
      <c r="BB38" s="138"/>
      <c r="BC38" s="138"/>
      <c r="BD38" s="138"/>
      <c r="BE38" s="138"/>
      <c r="BF38" s="138"/>
      <c r="BG38" s="138"/>
      <c r="BH38" s="138"/>
      <c r="BI38" s="138"/>
      <c r="BJ38" s="138"/>
      <c r="BK38" s="138"/>
      <c r="BL38" s="138"/>
      <c r="BM38" s="138"/>
      <c r="BN38" s="138"/>
      <c r="BO38" s="138"/>
      <c r="BP38" s="138"/>
      <c r="BQ38" s="138"/>
      <c r="BR38" s="138"/>
      <c r="BS38" s="138"/>
      <c r="BT38" s="138"/>
      <c r="BU38" s="138"/>
      <c r="BV38" s="138"/>
      <c r="BW38" s="138"/>
      <c r="BX38" s="138"/>
      <c r="BY38" s="138"/>
      <c r="BZ38" s="138"/>
      <c r="CA38" s="138"/>
      <c r="CB38" s="138"/>
      <c r="CC38" s="138"/>
      <c r="CD38" s="138"/>
      <c r="CE38" s="138"/>
      <c r="CF38" s="138"/>
      <c r="CG38" s="138"/>
      <c r="CH38" s="138"/>
      <c r="CI38" s="138"/>
      <c r="CJ38" s="138"/>
    </row>
    <row r="39" spans="1:88" s="662" customFormat="1" ht="12.75" customHeight="1">
      <c r="A39" s="157" t="s">
        <v>974</v>
      </c>
      <c r="B39" s="163">
        <f>SUM(B40:B41)</f>
        <v>3656122</v>
      </c>
      <c r="C39" s="163">
        <f>SUM(C40:C41)</f>
        <v>3319723</v>
      </c>
      <c r="D39" s="163">
        <f>SUM(D40:D41)</f>
        <v>3096940.3699999996</v>
      </c>
      <c r="E39" s="148">
        <f t="shared" si="12"/>
        <v>84.70560801855079</v>
      </c>
      <c r="F39" s="148">
        <f t="shared" si="13"/>
        <v>93.28911990548609</v>
      </c>
      <c r="G39" s="163">
        <f>SUM(G40:G41)</f>
        <v>357765.4299999997</v>
      </c>
      <c r="H39" s="138"/>
      <c r="I39" s="157" t="s">
        <v>974</v>
      </c>
      <c r="J39" s="145">
        <f>J40+J41</f>
        <v>3656</v>
      </c>
      <c r="K39" s="145">
        <f>K40+K41</f>
        <v>3320</v>
      </c>
      <c r="L39" s="145">
        <f>L40+L41</f>
        <v>3097</v>
      </c>
      <c r="M39" s="153">
        <f t="shared" si="14"/>
        <v>84.71006564551422</v>
      </c>
      <c r="N39" s="153">
        <f t="shared" si="15"/>
        <v>93.28313253012048</v>
      </c>
      <c r="O39" s="145">
        <f>SUM(O40:O41)</f>
        <v>358</v>
      </c>
      <c r="P39" s="138"/>
      <c r="Q39" s="145">
        <v>3097</v>
      </c>
      <c r="R39" s="145">
        <v>2739</v>
      </c>
      <c r="S39" s="138">
        <f t="shared" si="2"/>
        <v>358</v>
      </c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  <c r="AN39" s="138"/>
      <c r="AO39" s="138"/>
      <c r="AP39" s="138"/>
      <c r="AQ39" s="138"/>
      <c r="AR39" s="138"/>
      <c r="AS39" s="138"/>
      <c r="AT39" s="138"/>
      <c r="AU39" s="138"/>
      <c r="AV39" s="138"/>
      <c r="AW39" s="138"/>
      <c r="AX39" s="138"/>
      <c r="AY39" s="138"/>
      <c r="AZ39" s="138"/>
      <c r="BA39" s="138"/>
      <c r="BB39" s="138"/>
      <c r="BC39" s="138"/>
      <c r="BD39" s="138"/>
      <c r="BE39" s="138"/>
      <c r="BF39" s="138"/>
      <c r="BG39" s="138"/>
      <c r="BH39" s="138"/>
      <c r="BI39" s="138"/>
      <c r="BJ39" s="138"/>
      <c r="BK39" s="138"/>
      <c r="BL39" s="138"/>
      <c r="BM39" s="138"/>
      <c r="BN39" s="138"/>
      <c r="BO39" s="138"/>
      <c r="BP39" s="138"/>
      <c r="BQ39" s="138"/>
      <c r="BR39" s="138"/>
      <c r="BS39" s="138"/>
      <c r="BT39" s="138"/>
      <c r="BU39" s="138"/>
      <c r="BV39" s="138"/>
      <c r="BW39" s="138"/>
      <c r="BX39" s="138"/>
      <c r="BY39" s="138"/>
      <c r="BZ39" s="138"/>
      <c r="CA39" s="138"/>
      <c r="CB39" s="138"/>
      <c r="CC39" s="138"/>
      <c r="CD39" s="138"/>
      <c r="CE39" s="138"/>
      <c r="CF39" s="138"/>
      <c r="CG39" s="138"/>
      <c r="CH39" s="138"/>
      <c r="CI39" s="138"/>
      <c r="CJ39" s="138"/>
    </row>
    <row r="40" spans="1:88" s="662" customFormat="1" ht="12.75" customHeight="1">
      <c r="A40" s="159" t="s">
        <v>975</v>
      </c>
      <c r="B40" s="161">
        <v>3505402</v>
      </c>
      <c r="C40" s="161">
        <v>3182063</v>
      </c>
      <c r="D40" s="161">
        <v>2961361.53</v>
      </c>
      <c r="E40" s="148">
        <f t="shared" si="12"/>
        <v>84.47994067442193</v>
      </c>
      <c r="F40" s="148">
        <f t="shared" si="13"/>
        <v>93.06420174584852</v>
      </c>
      <c r="G40" s="161">
        <f>D40-'[5]Oktobris'!D40</f>
        <v>315282.71999999974</v>
      </c>
      <c r="H40" s="138"/>
      <c r="I40" s="159" t="s">
        <v>975</v>
      </c>
      <c r="J40" s="154">
        <f>ROUND(B40/1000,0)</f>
        <v>3505</v>
      </c>
      <c r="K40" s="154">
        <f>ROUND(C40/1000,0)</f>
        <v>3182</v>
      </c>
      <c r="L40" s="154">
        <f aca="true" t="shared" si="16" ref="J40:L41">ROUND(D40/1000,0)</f>
        <v>2961</v>
      </c>
      <c r="M40" s="155">
        <f t="shared" si="14"/>
        <v>84.4793152639087</v>
      </c>
      <c r="N40" s="155">
        <f t="shared" si="15"/>
        <v>93.05468258956631</v>
      </c>
      <c r="O40" s="154">
        <f>L40-'[5]Oktobris'!L40</f>
        <v>315</v>
      </c>
      <c r="P40" s="138"/>
      <c r="Q40" s="154">
        <v>2961</v>
      </c>
      <c r="R40" s="154">
        <v>2646</v>
      </c>
      <c r="S40" s="138">
        <f t="shared" si="2"/>
        <v>315</v>
      </c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8"/>
      <c r="AM40" s="138"/>
      <c r="AN40" s="138"/>
      <c r="AO40" s="138"/>
      <c r="AP40" s="138"/>
      <c r="AQ40" s="138"/>
      <c r="AR40" s="138"/>
      <c r="AS40" s="138"/>
      <c r="AT40" s="138"/>
      <c r="AU40" s="138"/>
      <c r="AV40" s="138"/>
      <c r="AW40" s="138"/>
      <c r="AX40" s="138"/>
      <c r="AY40" s="138"/>
      <c r="AZ40" s="138"/>
      <c r="BA40" s="138"/>
      <c r="BB40" s="138"/>
      <c r="BC40" s="138"/>
      <c r="BD40" s="138"/>
      <c r="BE40" s="138"/>
      <c r="BF40" s="138"/>
      <c r="BG40" s="138"/>
      <c r="BH40" s="138"/>
      <c r="BI40" s="138"/>
      <c r="BJ40" s="138"/>
      <c r="BK40" s="138"/>
      <c r="BL40" s="138"/>
      <c r="BM40" s="138"/>
      <c r="BN40" s="138"/>
      <c r="BO40" s="138"/>
      <c r="BP40" s="138"/>
      <c r="BQ40" s="138"/>
      <c r="BR40" s="138"/>
      <c r="BS40" s="138"/>
      <c r="BT40" s="138"/>
      <c r="BU40" s="138"/>
      <c r="BV40" s="138"/>
      <c r="BW40" s="138"/>
      <c r="BX40" s="138"/>
      <c r="BY40" s="138"/>
      <c r="BZ40" s="138"/>
      <c r="CA40" s="138"/>
      <c r="CB40" s="138"/>
      <c r="CC40" s="138"/>
      <c r="CD40" s="138"/>
      <c r="CE40" s="138"/>
      <c r="CF40" s="138"/>
      <c r="CG40" s="138"/>
      <c r="CH40" s="138"/>
      <c r="CI40" s="138"/>
      <c r="CJ40" s="138"/>
    </row>
    <row r="41" spans="1:88" s="662" customFormat="1" ht="12.75" customHeight="1">
      <c r="A41" s="159" t="s">
        <v>976</v>
      </c>
      <c r="B41" s="161">
        <v>150720</v>
      </c>
      <c r="C41" s="161">
        <v>137660</v>
      </c>
      <c r="D41" s="161">
        <v>135578.84</v>
      </c>
      <c r="E41" s="148">
        <f t="shared" si="12"/>
        <v>89.9541135881104</v>
      </c>
      <c r="F41" s="148">
        <f t="shared" si="13"/>
        <v>98.48818828998984</v>
      </c>
      <c r="G41" s="161">
        <f>D41-'[5]Oktobris'!D41</f>
        <v>42482.70999999999</v>
      </c>
      <c r="H41" s="138"/>
      <c r="I41" s="159" t="s">
        <v>976</v>
      </c>
      <c r="J41" s="154">
        <f t="shared" si="16"/>
        <v>151</v>
      </c>
      <c r="K41" s="154">
        <f t="shared" si="16"/>
        <v>138</v>
      </c>
      <c r="L41" s="154">
        <f t="shared" si="16"/>
        <v>136</v>
      </c>
      <c r="M41" s="155">
        <f t="shared" si="14"/>
        <v>90.06622516556291</v>
      </c>
      <c r="N41" s="155">
        <f t="shared" si="15"/>
        <v>98.55072463768117</v>
      </c>
      <c r="O41" s="154">
        <f>L41-'[5]Oktobris'!L41</f>
        <v>43</v>
      </c>
      <c r="P41" s="138"/>
      <c r="Q41" s="154">
        <v>136</v>
      </c>
      <c r="R41" s="154">
        <v>93</v>
      </c>
      <c r="S41" s="138">
        <f t="shared" si="2"/>
        <v>43</v>
      </c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8"/>
      <c r="AU41" s="138"/>
      <c r="AV41" s="138"/>
      <c r="AW41" s="138"/>
      <c r="AX41" s="138"/>
      <c r="AY41" s="138"/>
      <c r="AZ41" s="138"/>
      <c r="BA41" s="138"/>
      <c r="BB41" s="138"/>
      <c r="BC41" s="138"/>
      <c r="BD41" s="138"/>
      <c r="BE41" s="138"/>
      <c r="BF41" s="138"/>
      <c r="BG41" s="138"/>
      <c r="BH41" s="138"/>
      <c r="BI41" s="138"/>
      <c r="BJ41" s="138"/>
      <c r="BK41" s="138"/>
      <c r="BL41" s="138"/>
      <c r="BM41" s="138"/>
      <c r="BN41" s="138"/>
      <c r="BO41" s="138"/>
      <c r="BP41" s="138"/>
      <c r="BQ41" s="138"/>
      <c r="BR41" s="138"/>
      <c r="BS41" s="138"/>
      <c r="BT41" s="138"/>
      <c r="BU41" s="138"/>
      <c r="BV41" s="138"/>
      <c r="BW41" s="138"/>
      <c r="BX41" s="138"/>
      <c r="BY41" s="138"/>
      <c r="BZ41" s="138"/>
      <c r="CA41" s="138"/>
      <c r="CB41" s="138"/>
      <c r="CC41" s="138"/>
      <c r="CD41" s="138"/>
      <c r="CE41" s="138"/>
      <c r="CF41" s="138"/>
      <c r="CG41" s="138"/>
      <c r="CH41" s="138"/>
      <c r="CI41" s="138"/>
      <c r="CJ41" s="138"/>
    </row>
    <row r="42" spans="1:88" s="662" customFormat="1" ht="12.75" customHeight="1">
      <c r="A42" s="157" t="s">
        <v>986</v>
      </c>
      <c r="B42" s="161"/>
      <c r="C42" s="161"/>
      <c r="D42" s="161"/>
      <c r="E42" s="161"/>
      <c r="F42" s="161"/>
      <c r="G42" s="161"/>
      <c r="H42" s="138"/>
      <c r="I42" s="157" t="s">
        <v>987</v>
      </c>
      <c r="J42" s="161"/>
      <c r="K42" s="161"/>
      <c r="L42" s="161"/>
      <c r="M42" s="155"/>
      <c r="N42" s="155"/>
      <c r="O42" s="161"/>
      <c r="P42" s="138"/>
      <c r="Q42" s="161"/>
      <c r="R42" s="161"/>
      <c r="S42" s="138">
        <f t="shared" si="2"/>
        <v>0</v>
      </c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138"/>
      <c r="AN42" s="138"/>
      <c r="AO42" s="138"/>
      <c r="AP42" s="138"/>
      <c r="AQ42" s="138"/>
      <c r="AR42" s="138"/>
      <c r="AS42" s="138"/>
      <c r="AT42" s="138"/>
      <c r="AU42" s="138"/>
      <c r="AV42" s="138"/>
      <c r="AW42" s="138"/>
      <c r="AX42" s="138"/>
      <c r="AY42" s="138"/>
      <c r="AZ42" s="138"/>
      <c r="BA42" s="138"/>
      <c r="BB42" s="138"/>
      <c r="BC42" s="138"/>
      <c r="BD42" s="138"/>
      <c r="BE42" s="138"/>
      <c r="BF42" s="138"/>
      <c r="BG42" s="138"/>
      <c r="BH42" s="138"/>
      <c r="BI42" s="138"/>
      <c r="BJ42" s="138"/>
      <c r="BK42" s="138"/>
      <c r="BL42" s="138"/>
      <c r="BM42" s="138"/>
      <c r="BN42" s="138"/>
      <c r="BO42" s="138"/>
      <c r="BP42" s="138"/>
      <c r="BQ42" s="138"/>
      <c r="BR42" s="138"/>
      <c r="BS42" s="138"/>
      <c r="BT42" s="138"/>
      <c r="BU42" s="138"/>
      <c r="BV42" s="138"/>
      <c r="BW42" s="138"/>
      <c r="BX42" s="138"/>
      <c r="BY42" s="138"/>
      <c r="BZ42" s="138"/>
      <c r="CA42" s="138"/>
      <c r="CB42" s="138"/>
      <c r="CC42" s="138"/>
      <c r="CD42" s="138"/>
      <c r="CE42" s="138"/>
      <c r="CF42" s="138"/>
      <c r="CG42" s="138"/>
      <c r="CH42" s="138"/>
      <c r="CI42" s="138"/>
      <c r="CJ42" s="138"/>
    </row>
    <row r="43" spans="1:88" s="662" customFormat="1" ht="12.75" customHeight="1">
      <c r="A43" s="151" t="s">
        <v>969</v>
      </c>
      <c r="B43" s="161">
        <f>SUM(B44:B45)</f>
        <v>48087428</v>
      </c>
      <c r="C43" s="163">
        <f>SUM(C44:C45)</f>
        <v>44460619</v>
      </c>
      <c r="D43" s="163">
        <f>SUM(D44:D45)</f>
        <v>44296055.53</v>
      </c>
      <c r="E43" s="147">
        <f aca="true" t="shared" si="17" ref="E43:E48">IF(ISERROR(D43/B43)," ",(D43/B43))*100</f>
        <v>92.11566800786268</v>
      </c>
      <c r="F43" s="147">
        <f aca="true" t="shared" si="18" ref="F43:F48">IF(ISERROR(D43/C43)," ",(D43/C43))*100</f>
        <v>99.62986689411589</v>
      </c>
      <c r="G43" s="163">
        <f>SUM(G44:G45)</f>
        <v>4114387.38</v>
      </c>
      <c r="H43" s="138"/>
      <c r="I43" s="151" t="s">
        <v>969</v>
      </c>
      <c r="J43" s="145">
        <f>J44+J45</f>
        <v>48087</v>
      </c>
      <c r="K43" s="145">
        <f>K44+K45</f>
        <v>44460</v>
      </c>
      <c r="L43" s="145">
        <f>L44+L45</f>
        <v>44296</v>
      </c>
      <c r="M43" s="153">
        <f aca="true" t="shared" si="19" ref="M43:M48">L43/J43*100</f>
        <v>92.11637240834321</v>
      </c>
      <c r="N43" s="153">
        <f aca="true" t="shared" si="20" ref="N43:N48">L43/K43*100</f>
        <v>99.63112910481333</v>
      </c>
      <c r="O43" s="145">
        <f>SUM(O44:O45)</f>
        <v>4114</v>
      </c>
      <c r="P43" s="138"/>
      <c r="Q43" s="145">
        <v>44296</v>
      </c>
      <c r="R43" s="145">
        <v>40182</v>
      </c>
      <c r="S43" s="138">
        <f t="shared" si="2"/>
        <v>4114</v>
      </c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  <c r="AM43" s="138"/>
      <c r="AN43" s="138"/>
      <c r="AO43" s="138"/>
      <c r="AP43" s="138"/>
      <c r="AQ43" s="138"/>
      <c r="AR43" s="138"/>
      <c r="AS43" s="138"/>
      <c r="AT43" s="138"/>
      <c r="AU43" s="138"/>
      <c r="AV43" s="138"/>
      <c r="AW43" s="138"/>
      <c r="AX43" s="138"/>
      <c r="AY43" s="138"/>
      <c r="AZ43" s="138"/>
      <c r="BA43" s="138"/>
      <c r="BB43" s="138"/>
      <c r="BC43" s="138"/>
      <c r="BD43" s="138"/>
      <c r="BE43" s="138"/>
      <c r="BF43" s="138"/>
      <c r="BG43" s="138"/>
      <c r="BH43" s="138"/>
      <c r="BI43" s="138"/>
      <c r="BJ43" s="138"/>
      <c r="BK43" s="138"/>
      <c r="BL43" s="138"/>
      <c r="BM43" s="138"/>
      <c r="BN43" s="138"/>
      <c r="BO43" s="138"/>
      <c r="BP43" s="138"/>
      <c r="BQ43" s="138"/>
      <c r="BR43" s="138"/>
      <c r="BS43" s="138"/>
      <c r="BT43" s="138"/>
      <c r="BU43" s="138"/>
      <c r="BV43" s="138"/>
      <c r="BW43" s="138"/>
      <c r="BX43" s="138"/>
      <c r="BY43" s="138"/>
      <c r="BZ43" s="138"/>
      <c r="CA43" s="138"/>
      <c r="CB43" s="138"/>
      <c r="CC43" s="138"/>
      <c r="CD43" s="138"/>
      <c r="CE43" s="138"/>
      <c r="CF43" s="138"/>
      <c r="CG43" s="138"/>
      <c r="CH43" s="138"/>
      <c r="CI43" s="138"/>
      <c r="CJ43" s="138"/>
    </row>
    <row r="44" spans="1:88" s="662" customFormat="1" ht="12.75" customHeight="1">
      <c r="A44" s="151" t="s">
        <v>970</v>
      </c>
      <c r="B44" s="161">
        <v>46214691</v>
      </c>
      <c r="C44" s="161">
        <v>42769514</v>
      </c>
      <c r="D44" s="161">
        <v>42769514</v>
      </c>
      <c r="E44" s="148">
        <f t="shared" si="17"/>
        <v>92.54527743136917</v>
      </c>
      <c r="F44" s="148">
        <f t="shared" si="18"/>
        <v>100</v>
      </c>
      <c r="G44" s="161">
        <f>D44-'[5]Oktobris'!D44</f>
        <v>3978632</v>
      </c>
      <c r="H44" s="138"/>
      <c r="I44" s="151" t="s">
        <v>970</v>
      </c>
      <c r="J44" s="154">
        <f>ROUND(B44/1000,0)</f>
        <v>46215</v>
      </c>
      <c r="K44" s="154">
        <f>ROUND(C44/1000,0)-1</f>
        <v>42769</v>
      </c>
      <c r="L44" s="154">
        <f>ROUND(D44/1000,0)-1</f>
        <v>42769</v>
      </c>
      <c r="M44" s="155">
        <f t="shared" si="19"/>
        <v>92.54354646759711</v>
      </c>
      <c r="N44" s="155">
        <f t="shared" si="20"/>
        <v>100</v>
      </c>
      <c r="O44" s="154">
        <f>L44-'[5]Oktobris'!L44</f>
        <v>3978</v>
      </c>
      <c r="P44" s="138"/>
      <c r="Q44" s="154">
        <v>42769</v>
      </c>
      <c r="R44" s="154">
        <v>38791</v>
      </c>
      <c r="S44" s="138">
        <f t="shared" si="2"/>
        <v>3978</v>
      </c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138"/>
      <c r="AK44" s="138"/>
      <c r="AL44" s="138"/>
      <c r="AM44" s="138"/>
      <c r="AN44" s="138"/>
      <c r="AO44" s="138"/>
      <c r="AP44" s="138"/>
      <c r="AQ44" s="138"/>
      <c r="AR44" s="138"/>
      <c r="AS44" s="138"/>
      <c r="AT44" s="138"/>
      <c r="AU44" s="138"/>
      <c r="AV44" s="138"/>
      <c r="AW44" s="138"/>
      <c r="AX44" s="138"/>
      <c r="AY44" s="138"/>
      <c r="AZ44" s="138"/>
      <c r="BA44" s="138"/>
      <c r="BB44" s="138"/>
      <c r="BC44" s="138"/>
      <c r="BD44" s="138"/>
      <c r="BE44" s="138"/>
      <c r="BF44" s="138"/>
      <c r="BG44" s="138"/>
      <c r="BH44" s="138"/>
      <c r="BI44" s="138"/>
      <c r="BJ44" s="138"/>
      <c r="BK44" s="138"/>
      <c r="BL44" s="138"/>
      <c r="BM44" s="138"/>
      <c r="BN44" s="138"/>
      <c r="BO44" s="138"/>
      <c r="BP44" s="138"/>
      <c r="BQ44" s="138"/>
      <c r="BR44" s="138"/>
      <c r="BS44" s="138"/>
      <c r="BT44" s="138"/>
      <c r="BU44" s="138"/>
      <c r="BV44" s="138"/>
      <c r="BW44" s="138"/>
      <c r="BX44" s="138"/>
      <c r="BY44" s="138"/>
      <c r="BZ44" s="138"/>
      <c r="CA44" s="138"/>
      <c r="CB44" s="138"/>
      <c r="CC44" s="138"/>
      <c r="CD44" s="138"/>
      <c r="CE44" s="138"/>
      <c r="CF44" s="138"/>
      <c r="CG44" s="138"/>
      <c r="CH44" s="138"/>
      <c r="CI44" s="138"/>
      <c r="CJ44" s="138"/>
    </row>
    <row r="45" spans="1:88" s="662" customFormat="1" ht="12.75" customHeight="1">
      <c r="A45" s="151" t="s">
        <v>972</v>
      </c>
      <c r="B45" s="161">
        <v>1872737</v>
      </c>
      <c r="C45" s="161">
        <v>1691105</v>
      </c>
      <c r="D45" s="161">
        <v>1526541.53</v>
      </c>
      <c r="E45" s="148">
        <f t="shared" si="17"/>
        <v>81.51393014609098</v>
      </c>
      <c r="F45" s="148">
        <f t="shared" si="18"/>
        <v>90.26887922393938</v>
      </c>
      <c r="G45" s="161">
        <f>D45-'[5]Oktobris'!D45</f>
        <v>135755.38000000012</v>
      </c>
      <c r="H45" s="138"/>
      <c r="I45" s="151" t="s">
        <v>972</v>
      </c>
      <c r="J45" s="154">
        <f>ROUND(B45/1000,0)-1</f>
        <v>1872</v>
      </c>
      <c r="K45" s="154">
        <f>ROUND(C45/1000,0)</f>
        <v>1691</v>
      </c>
      <c r="L45" s="154">
        <f>ROUND(D45/1000,0)</f>
        <v>1527</v>
      </c>
      <c r="M45" s="155">
        <f t="shared" si="19"/>
        <v>81.57051282051282</v>
      </c>
      <c r="N45" s="155">
        <f t="shared" si="20"/>
        <v>90.30159668835009</v>
      </c>
      <c r="O45" s="154">
        <f>L45-'[5]Oktobris'!L45</f>
        <v>136</v>
      </c>
      <c r="P45" s="138"/>
      <c r="Q45" s="154">
        <v>1527</v>
      </c>
      <c r="R45" s="154">
        <v>1391</v>
      </c>
      <c r="S45" s="138">
        <f t="shared" si="2"/>
        <v>136</v>
      </c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  <c r="AR45" s="138"/>
      <c r="AS45" s="138"/>
      <c r="AT45" s="138"/>
      <c r="AU45" s="138"/>
      <c r="AV45" s="138"/>
      <c r="AW45" s="138"/>
      <c r="AX45" s="138"/>
      <c r="AY45" s="138"/>
      <c r="AZ45" s="138"/>
      <c r="BA45" s="138"/>
      <c r="BB45" s="138"/>
      <c r="BC45" s="138"/>
      <c r="BD45" s="138"/>
      <c r="BE45" s="138"/>
      <c r="BF45" s="138"/>
      <c r="BG45" s="138"/>
      <c r="BH45" s="138"/>
      <c r="BI45" s="138"/>
      <c r="BJ45" s="138"/>
      <c r="BK45" s="138"/>
      <c r="BL45" s="138"/>
      <c r="BM45" s="138"/>
      <c r="BN45" s="138"/>
      <c r="BO45" s="138"/>
      <c r="BP45" s="138"/>
      <c r="BQ45" s="138"/>
      <c r="BR45" s="138"/>
      <c r="BS45" s="138"/>
      <c r="BT45" s="138"/>
      <c r="BU45" s="138"/>
      <c r="BV45" s="138"/>
      <c r="BW45" s="138"/>
      <c r="BX45" s="138"/>
      <c r="BY45" s="138"/>
      <c r="BZ45" s="138"/>
      <c r="CA45" s="138"/>
      <c r="CB45" s="138"/>
      <c r="CC45" s="138"/>
      <c r="CD45" s="138"/>
      <c r="CE45" s="138"/>
      <c r="CF45" s="138"/>
      <c r="CG45" s="138"/>
      <c r="CH45" s="138"/>
      <c r="CI45" s="138"/>
      <c r="CJ45" s="138"/>
    </row>
    <row r="46" spans="1:88" s="662" customFormat="1" ht="12.75" customHeight="1">
      <c r="A46" s="157" t="s">
        <v>974</v>
      </c>
      <c r="B46" s="163">
        <f>SUM(B47:B48)</f>
        <v>48087428</v>
      </c>
      <c r="C46" s="163">
        <f>SUM(C47:C48)</f>
        <v>44460619</v>
      </c>
      <c r="D46" s="163">
        <f>SUM(D47:D48)</f>
        <v>42792779.559999995</v>
      </c>
      <c r="E46" s="148">
        <f t="shared" si="17"/>
        <v>88.98953705737807</v>
      </c>
      <c r="F46" s="148">
        <f t="shared" si="18"/>
        <v>96.24872645160427</v>
      </c>
      <c r="G46" s="163">
        <f>SUM(G47:G48)</f>
        <v>4458616.719999999</v>
      </c>
      <c r="H46" s="138"/>
      <c r="I46" s="157" t="s">
        <v>974</v>
      </c>
      <c r="J46" s="145">
        <f>J47+J48</f>
        <v>48088</v>
      </c>
      <c r="K46" s="145">
        <f>K47+K48</f>
        <v>44460</v>
      </c>
      <c r="L46" s="145">
        <f>L47+L48</f>
        <v>42793</v>
      </c>
      <c r="M46" s="153">
        <f t="shared" si="19"/>
        <v>88.98893694892696</v>
      </c>
      <c r="N46" s="153">
        <f t="shared" si="20"/>
        <v>96.25056230319389</v>
      </c>
      <c r="O46" s="145">
        <f>SUM(O47:O48)</f>
        <v>4458</v>
      </c>
      <c r="P46" s="138"/>
      <c r="Q46" s="145">
        <v>42793</v>
      </c>
      <c r="R46" s="145">
        <v>38335</v>
      </c>
      <c r="S46" s="138">
        <f t="shared" si="2"/>
        <v>4458</v>
      </c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  <c r="AR46" s="138"/>
      <c r="AS46" s="138"/>
      <c r="AT46" s="138"/>
      <c r="AU46" s="138"/>
      <c r="AV46" s="138"/>
      <c r="AW46" s="138"/>
      <c r="AX46" s="138"/>
      <c r="AY46" s="138"/>
      <c r="AZ46" s="138"/>
      <c r="BA46" s="138"/>
      <c r="BB46" s="138"/>
      <c r="BC46" s="138"/>
      <c r="BD46" s="138"/>
      <c r="BE46" s="138"/>
      <c r="BF46" s="138"/>
      <c r="BG46" s="138"/>
      <c r="BH46" s="138"/>
      <c r="BI46" s="138"/>
      <c r="BJ46" s="138"/>
      <c r="BK46" s="138"/>
      <c r="BL46" s="138"/>
      <c r="BM46" s="138"/>
      <c r="BN46" s="138"/>
      <c r="BO46" s="138"/>
      <c r="BP46" s="138"/>
      <c r="BQ46" s="138"/>
      <c r="BR46" s="138"/>
      <c r="BS46" s="138"/>
      <c r="BT46" s="138"/>
      <c r="BU46" s="138"/>
      <c r="BV46" s="138"/>
      <c r="BW46" s="138"/>
      <c r="BX46" s="138"/>
      <c r="BY46" s="138"/>
      <c r="BZ46" s="138"/>
      <c r="CA46" s="138"/>
      <c r="CB46" s="138"/>
      <c r="CC46" s="138"/>
      <c r="CD46" s="138"/>
      <c r="CE46" s="138"/>
      <c r="CF46" s="138"/>
      <c r="CG46" s="138"/>
      <c r="CH46" s="138"/>
      <c r="CI46" s="138"/>
      <c r="CJ46" s="138"/>
    </row>
    <row r="47" spans="1:88" s="662" customFormat="1" ht="12.75" customHeight="1">
      <c r="A47" s="124" t="s">
        <v>975</v>
      </c>
      <c r="B47" s="161">
        <v>43342782</v>
      </c>
      <c r="C47" s="161">
        <v>39907963</v>
      </c>
      <c r="D47" s="161">
        <v>38891514.16</v>
      </c>
      <c r="E47" s="148">
        <f t="shared" si="17"/>
        <v>89.73008276210788</v>
      </c>
      <c r="F47" s="148">
        <f t="shared" si="18"/>
        <v>97.45301748425496</v>
      </c>
      <c r="G47" s="161">
        <f>D47-'[5]Oktobris'!D47</f>
        <v>3981945.039999999</v>
      </c>
      <c r="H47" s="138"/>
      <c r="I47" s="124" t="s">
        <v>975</v>
      </c>
      <c r="J47" s="154">
        <f aca="true" t="shared" si="21" ref="J47:L48">ROUND(B47/1000,0)</f>
        <v>43343</v>
      </c>
      <c r="K47" s="154">
        <f>ROUND(C47/1000,0)</f>
        <v>39908</v>
      </c>
      <c r="L47" s="154">
        <f>ROUND(D47/1000,0)</f>
        <v>38892</v>
      </c>
      <c r="M47" s="155">
        <f t="shared" si="19"/>
        <v>89.73075237062501</v>
      </c>
      <c r="N47" s="155">
        <f t="shared" si="20"/>
        <v>97.45414453242458</v>
      </c>
      <c r="O47" s="154">
        <f>L47-'[5]Oktobris'!L47</f>
        <v>3982</v>
      </c>
      <c r="P47" s="138"/>
      <c r="Q47" s="154">
        <v>38892</v>
      </c>
      <c r="R47" s="154">
        <v>34910</v>
      </c>
      <c r="S47" s="138">
        <f t="shared" si="2"/>
        <v>3982</v>
      </c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138"/>
      <c r="AO47" s="138"/>
      <c r="AP47" s="138"/>
      <c r="AQ47" s="138"/>
      <c r="AR47" s="138"/>
      <c r="AS47" s="138"/>
      <c r="AT47" s="138"/>
      <c r="AU47" s="138"/>
      <c r="AV47" s="138"/>
      <c r="AW47" s="138"/>
      <c r="AX47" s="138"/>
      <c r="AY47" s="138"/>
      <c r="AZ47" s="138"/>
      <c r="BA47" s="138"/>
      <c r="BB47" s="138"/>
      <c r="BC47" s="138"/>
      <c r="BD47" s="138"/>
      <c r="BE47" s="138"/>
      <c r="BF47" s="138"/>
      <c r="BG47" s="138"/>
      <c r="BH47" s="138"/>
      <c r="BI47" s="138"/>
      <c r="BJ47" s="138"/>
      <c r="BK47" s="138"/>
      <c r="BL47" s="138"/>
      <c r="BM47" s="138"/>
      <c r="BN47" s="138"/>
      <c r="BO47" s="138"/>
      <c r="BP47" s="138"/>
      <c r="BQ47" s="138"/>
      <c r="BR47" s="138"/>
      <c r="BS47" s="138"/>
      <c r="BT47" s="138"/>
      <c r="BU47" s="138"/>
      <c r="BV47" s="138"/>
      <c r="BW47" s="138"/>
      <c r="BX47" s="138"/>
      <c r="BY47" s="138"/>
      <c r="BZ47" s="138"/>
      <c r="CA47" s="138"/>
      <c r="CB47" s="138"/>
      <c r="CC47" s="138"/>
      <c r="CD47" s="138"/>
      <c r="CE47" s="138"/>
      <c r="CF47" s="138"/>
      <c r="CG47" s="138"/>
      <c r="CH47" s="138"/>
      <c r="CI47" s="138"/>
      <c r="CJ47" s="138"/>
    </row>
    <row r="48" spans="1:88" s="662" customFormat="1" ht="12.75" customHeight="1">
      <c r="A48" s="124" t="s">
        <v>976</v>
      </c>
      <c r="B48" s="161">
        <v>4744646</v>
      </c>
      <c r="C48" s="161">
        <v>4552656</v>
      </c>
      <c r="D48" s="161">
        <v>3901265.4</v>
      </c>
      <c r="E48" s="148">
        <f t="shared" si="17"/>
        <v>82.22458324604196</v>
      </c>
      <c r="F48" s="148">
        <f t="shared" si="18"/>
        <v>85.69207513152762</v>
      </c>
      <c r="G48" s="161">
        <f>D48-'[5]Oktobris'!D48</f>
        <v>476671.6799999997</v>
      </c>
      <c r="H48" s="138"/>
      <c r="I48" s="124" t="s">
        <v>976</v>
      </c>
      <c r="J48" s="154">
        <f t="shared" si="21"/>
        <v>4745</v>
      </c>
      <c r="K48" s="154">
        <f>ROUND(C48/1000,0)-1</f>
        <v>4552</v>
      </c>
      <c r="L48" s="154">
        <f t="shared" si="21"/>
        <v>3901</v>
      </c>
      <c r="M48" s="155">
        <f t="shared" si="19"/>
        <v>82.21285563751317</v>
      </c>
      <c r="N48" s="155">
        <f t="shared" si="20"/>
        <v>85.69859402460457</v>
      </c>
      <c r="O48" s="154">
        <f>L48-'[5]Oktobris'!L48</f>
        <v>476</v>
      </c>
      <c r="P48" s="138"/>
      <c r="Q48" s="154">
        <v>3901</v>
      </c>
      <c r="R48" s="154">
        <v>3425</v>
      </c>
      <c r="S48" s="138">
        <f t="shared" si="2"/>
        <v>476</v>
      </c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O48" s="138"/>
      <c r="AP48" s="138"/>
      <c r="AQ48" s="138"/>
      <c r="AR48" s="138"/>
      <c r="AS48" s="138"/>
      <c r="AT48" s="138"/>
      <c r="AU48" s="138"/>
      <c r="AV48" s="138"/>
      <c r="AW48" s="138"/>
      <c r="AX48" s="138"/>
      <c r="AY48" s="138"/>
      <c r="AZ48" s="138"/>
      <c r="BA48" s="138"/>
      <c r="BB48" s="138"/>
      <c r="BC48" s="138"/>
      <c r="BD48" s="138"/>
      <c r="BE48" s="138"/>
      <c r="BF48" s="138"/>
      <c r="BG48" s="138"/>
      <c r="BH48" s="138"/>
      <c r="BI48" s="138"/>
      <c r="BJ48" s="138"/>
      <c r="BK48" s="138"/>
      <c r="BL48" s="138"/>
      <c r="BM48" s="138"/>
      <c r="BN48" s="138"/>
      <c r="BO48" s="138"/>
      <c r="BP48" s="138"/>
      <c r="BQ48" s="138"/>
      <c r="BR48" s="138"/>
      <c r="BS48" s="138"/>
      <c r="BT48" s="138"/>
      <c r="BU48" s="138"/>
      <c r="BV48" s="138"/>
      <c r="BW48" s="138"/>
      <c r="BX48" s="138"/>
      <c r="BY48" s="138"/>
      <c r="BZ48" s="138"/>
      <c r="CA48" s="138"/>
      <c r="CB48" s="138"/>
      <c r="CC48" s="138"/>
      <c r="CD48" s="138"/>
      <c r="CE48" s="138"/>
      <c r="CF48" s="138"/>
      <c r="CG48" s="138"/>
      <c r="CH48" s="138"/>
      <c r="CI48" s="138"/>
      <c r="CJ48" s="138"/>
    </row>
    <row r="49" spans="1:88" s="662" customFormat="1" ht="12.75" customHeight="1">
      <c r="A49" s="157" t="s">
        <v>988</v>
      </c>
      <c r="B49" s="161"/>
      <c r="C49" s="161"/>
      <c r="D49" s="161"/>
      <c r="E49" s="148"/>
      <c r="F49" s="161"/>
      <c r="G49" s="161"/>
      <c r="H49" s="138"/>
      <c r="I49" s="157" t="s">
        <v>989</v>
      </c>
      <c r="J49" s="161"/>
      <c r="K49" s="161"/>
      <c r="L49" s="161"/>
      <c r="M49" s="155"/>
      <c r="N49" s="155"/>
      <c r="O49" s="161"/>
      <c r="P49" s="138"/>
      <c r="Q49" s="161"/>
      <c r="R49" s="161"/>
      <c r="S49" s="138">
        <f t="shared" si="2"/>
        <v>0</v>
      </c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  <c r="AR49" s="138"/>
      <c r="AS49" s="138"/>
      <c r="AT49" s="138"/>
      <c r="AU49" s="138"/>
      <c r="AV49" s="138"/>
      <c r="AW49" s="138"/>
      <c r="AX49" s="138"/>
      <c r="AY49" s="138"/>
      <c r="AZ49" s="138"/>
      <c r="BA49" s="138"/>
      <c r="BB49" s="138"/>
      <c r="BC49" s="138"/>
      <c r="BD49" s="138"/>
      <c r="BE49" s="138"/>
      <c r="BF49" s="138"/>
      <c r="BG49" s="138"/>
      <c r="BH49" s="138"/>
      <c r="BI49" s="138"/>
      <c r="BJ49" s="138"/>
      <c r="BK49" s="138"/>
      <c r="BL49" s="138"/>
      <c r="BM49" s="138"/>
      <c r="BN49" s="138"/>
      <c r="BO49" s="138"/>
      <c r="BP49" s="138"/>
      <c r="BQ49" s="138"/>
      <c r="BR49" s="138"/>
      <c r="BS49" s="138"/>
      <c r="BT49" s="138"/>
      <c r="BU49" s="138"/>
      <c r="BV49" s="138"/>
      <c r="BW49" s="138"/>
      <c r="BX49" s="138"/>
      <c r="BY49" s="138"/>
      <c r="BZ49" s="138"/>
      <c r="CA49" s="138"/>
      <c r="CB49" s="138"/>
      <c r="CC49" s="138"/>
      <c r="CD49" s="138"/>
      <c r="CE49" s="138"/>
      <c r="CF49" s="138"/>
      <c r="CG49" s="138"/>
      <c r="CH49" s="138"/>
      <c r="CI49" s="138"/>
      <c r="CJ49" s="138"/>
    </row>
    <row r="50" spans="1:88" s="662" customFormat="1" ht="12.75" customHeight="1">
      <c r="A50" s="151" t="s">
        <v>969</v>
      </c>
      <c r="B50" s="161">
        <f>SUM(B51:B52)</f>
        <v>11218968</v>
      </c>
      <c r="C50" s="163">
        <f>SUM(C51:C52)</f>
        <v>10187225</v>
      </c>
      <c r="D50" s="163">
        <f>SUM(D51:D52)</f>
        <v>9987994.71</v>
      </c>
      <c r="E50" s="147">
        <f aca="true" t="shared" si="22" ref="E50:E55">IF(ISERROR(D50/B50)," ",(D50/B50))*100</f>
        <v>89.02774934378992</v>
      </c>
      <c r="F50" s="147">
        <f aca="true" t="shared" si="23" ref="F50:F55">IF(ISERROR(D50/C50)," ",(D50/C50))*100</f>
        <v>98.04431245996825</v>
      </c>
      <c r="G50" s="163">
        <f>SUM(G51:G52)</f>
        <v>845773.34</v>
      </c>
      <c r="H50" s="138"/>
      <c r="I50" s="151" t="s">
        <v>969</v>
      </c>
      <c r="J50" s="145">
        <f>J51+J52</f>
        <v>11219</v>
      </c>
      <c r="K50" s="145">
        <f>K51+K52</f>
        <v>10187</v>
      </c>
      <c r="L50" s="145">
        <f>L51+L52</f>
        <v>9988</v>
      </c>
      <c r="M50" s="153">
        <f aca="true" t="shared" si="24" ref="M50:M55">L50/J50*100</f>
        <v>89.02754256172565</v>
      </c>
      <c r="N50" s="153">
        <f aca="true" t="shared" si="25" ref="N50:N55">L50/K50*100</f>
        <v>98.0465298910376</v>
      </c>
      <c r="O50" s="145">
        <f>SUM(O51:O52)</f>
        <v>845</v>
      </c>
      <c r="P50" s="138"/>
      <c r="Q50" s="145">
        <v>9988</v>
      </c>
      <c r="R50" s="145">
        <v>9143</v>
      </c>
      <c r="S50" s="138">
        <f t="shared" si="2"/>
        <v>845</v>
      </c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  <c r="AR50" s="138"/>
      <c r="AS50" s="138"/>
      <c r="AT50" s="138"/>
      <c r="AU50" s="138"/>
      <c r="AV50" s="138"/>
      <c r="AW50" s="138"/>
      <c r="AX50" s="138"/>
      <c r="AY50" s="138"/>
      <c r="AZ50" s="138"/>
      <c r="BA50" s="138"/>
      <c r="BB50" s="138"/>
      <c r="BC50" s="138"/>
      <c r="BD50" s="138"/>
      <c r="BE50" s="138"/>
      <c r="BF50" s="138"/>
      <c r="BG50" s="138"/>
      <c r="BH50" s="138"/>
      <c r="BI50" s="138"/>
      <c r="BJ50" s="138"/>
      <c r="BK50" s="138"/>
      <c r="BL50" s="138"/>
      <c r="BM50" s="138"/>
      <c r="BN50" s="138"/>
      <c r="BO50" s="138"/>
      <c r="BP50" s="138"/>
      <c r="BQ50" s="138"/>
      <c r="BR50" s="138"/>
      <c r="BS50" s="138"/>
      <c r="BT50" s="138"/>
      <c r="BU50" s="138"/>
      <c r="BV50" s="138"/>
      <c r="BW50" s="138"/>
      <c r="BX50" s="138"/>
      <c r="BY50" s="138"/>
      <c r="BZ50" s="138"/>
      <c r="CA50" s="138"/>
      <c r="CB50" s="138"/>
      <c r="CC50" s="138"/>
      <c r="CD50" s="138"/>
      <c r="CE50" s="138"/>
      <c r="CF50" s="138"/>
      <c r="CG50" s="138"/>
      <c r="CH50" s="138"/>
      <c r="CI50" s="138"/>
      <c r="CJ50" s="138"/>
    </row>
    <row r="51" spans="1:88" s="662" customFormat="1" ht="12.75" customHeight="1">
      <c r="A51" s="151" t="s">
        <v>970</v>
      </c>
      <c r="B51" s="161">
        <v>10847968</v>
      </c>
      <c r="C51" s="161">
        <v>9866225</v>
      </c>
      <c r="D51" s="161">
        <v>9866225</v>
      </c>
      <c r="E51" s="148">
        <f t="shared" si="22"/>
        <v>90.94998252207233</v>
      </c>
      <c r="F51" s="148">
        <f t="shared" si="23"/>
        <v>100</v>
      </c>
      <c r="G51" s="161">
        <f>D51-'[5]Oktobris'!D51</f>
        <v>845574</v>
      </c>
      <c r="H51" s="138"/>
      <c r="I51" s="151" t="s">
        <v>970</v>
      </c>
      <c r="J51" s="154">
        <f aca="true" t="shared" si="26" ref="J51:L52">ROUND(B51/1000,0)</f>
        <v>10848</v>
      </c>
      <c r="K51" s="154">
        <f t="shared" si="26"/>
        <v>9866</v>
      </c>
      <c r="L51" s="154">
        <f t="shared" si="26"/>
        <v>9866</v>
      </c>
      <c r="M51" s="155">
        <f t="shared" si="24"/>
        <v>90.9476401179941</v>
      </c>
      <c r="N51" s="155">
        <f t="shared" si="25"/>
        <v>100</v>
      </c>
      <c r="O51" s="154">
        <f>L51-'[5]Oktobris'!L51</f>
        <v>845</v>
      </c>
      <c r="P51" s="138"/>
      <c r="Q51" s="154">
        <v>9866</v>
      </c>
      <c r="R51" s="154">
        <v>9021</v>
      </c>
      <c r="S51" s="138">
        <f t="shared" si="2"/>
        <v>845</v>
      </c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  <c r="AO51" s="138"/>
      <c r="AP51" s="138"/>
      <c r="AQ51" s="138"/>
      <c r="AR51" s="138"/>
      <c r="AS51" s="138"/>
      <c r="AT51" s="138"/>
      <c r="AU51" s="138"/>
      <c r="AV51" s="138"/>
      <c r="AW51" s="138"/>
      <c r="AX51" s="138"/>
      <c r="AY51" s="138"/>
      <c r="AZ51" s="138"/>
      <c r="BA51" s="138"/>
      <c r="BB51" s="138"/>
      <c r="BC51" s="138"/>
      <c r="BD51" s="138"/>
      <c r="BE51" s="138"/>
      <c r="BF51" s="138"/>
      <c r="BG51" s="138"/>
      <c r="BH51" s="138"/>
      <c r="BI51" s="138"/>
      <c r="BJ51" s="138"/>
      <c r="BK51" s="138"/>
      <c r="BL51" s="138"/>
      <c r="BM51" s="138"/>
      <c r="BN51" s="138"/>
      <c r="BO51" s="138"/>
      <c r="BP51" s="138"/>
      <c r="BQ51" s="138"/>
      <c r="BR51" s="138"/>
      <c r="BS51" s="138"/>
      <c r="BT51" s="138"/>
      <c r="BU51" s="138"/>
      <c r="BV51" s="138"/>
      <c r="BW51" s="138"/>
      <c r="BX51" s="138"/>
      <c r="BY51" s="138"/>
      <c r="BZ51" s="138"/>
      <c r="CA51" s="138"/>
      <c r="CB51" s="138"/>
      <c r="CC51" s="138"/>
      <c r="CD51" s="138"/>
      <c r="CE51" s="138"/>
      <c r="CF51" s="138"/>
      <c r="CG51" s="138"/>
      <c r="CH51" s="138"/>
      <c r="CI51" s="138"/>
      <c r="CJ51" s="138"/>
    </row>
    <row r="52" spans="1:19" ht="12.75" customHeight="1">
      <c r="A52" s="151" t="s">
        <v>972</v>
      </c>
      <c r="B52" s="161">
        <v>371000</v>
      </c>
      <c r="C52" s="161">
        <v>321000</v>
      </c>
      <c r="D52" s="161">
        <v>121769.71</v>
      </c>
      <c r="E52" s="148">
        <f t="shared" si="22"/>
        <v>32.82202425876011</v>
      </c>
      <c r="F52" s="148">
        <f t="shared" si="23"/>
        <v>37.93448909657321</v>
      </c>
      <c r="G52" s="161">
        <f>D52-'[5]Oktobris'!D52</f>
        <v>199.34000000001106</v>
      </c>
      <c r="I52" s="151" t="s">
        <v>972</v>
      </c>
      <c r="J52" s="154">
        <f t="shared" si="26"/>
        <v>371</v>
      </c>
      <c r="K52" s="154">
        <f t="shared" si="26"/>
        <v>321</v>
      </c>
      <c r="L52" s="154">
        <f>ROUND(D52/1000,0)</f>
        <v>122</v>
      </c>
      <c r="M52" s="155">
        <f t="shared" si="24"/>
        <v>32.88409703504043</v>
      </c>
      <c r="N52" s="155">
        <f t="shared" si="25"/>
        <v>38.006230529595015</v>
      </c>
      <c r="O52" s="154"/>
      <c r="Q52" s="154">
        <v>122</v>
      </c>
      <c r="R52" s="154">
        <v>122</v>
      </c>
      <c r="S52" s="138">
        <f t="shared" si="2"/>
        <v>0</v>
      </c>
    </row>
    <row r="53" spans="1:88" s="662" customFormat="1" ht="12.75" customHeight="1">
      <c r="A53" s="157" t="s">
        <v>974</v>
      </c>
      <c r="B53" s="163">
        <f>SUM(B54:B55)</f>
        <v>11218968</v>
      </c>
      <c r="C53" s="163">
        <f>SUM(C54:C55)</f>
        <v>10187225</v>
      </c>
      <c r="D53" s="163">
        <f>SUM(D54:D55)</f>
        <v>9847087.9</v>
      </c>
      <c r="E53" s="148">
        <f t="shared" si="22"/>
        <v>87.7717798998981</v>
      </c>
      <c r="F53" s="148">
        <f t="shared" si="23"/>
        <v>96.66114079153057</v>
      </c>
      <c r="G53" s="163">
        <f>SUM(G54:G55)</f>
        <v>945477.4100000006</v>
      </c>
      <c r="H53" s="138"/>
      <c r="I53" s="157" t="s">
        <v>974</v>
      </c>
      <c r="J53" s="145">
        <f>J54+J55</f>
        <v>11219</v>
      </c>
      <c r="K53" s="145">
        <f>K54+K55</f>
        <v>10187</v>
      </c>
      <c r="L53" s="145">
        <f>L54+L55</f>
        <v>9847</v>
      </c>
      <c r="M53" s="153">
        <f t="shared" si="24"/>
        <v>87.7707460557982</v>
      </c>
      <c r="N53" s="153">
        <f t="shared" si="25"/>
        <v>96.6624128791597</v>
      </c>
      <c r="O53" s="145">
        <f>SUM(O54:O55)</f>
        <v>946</v>
      </c>
      <c r="P53" s="138"/>
      <c r="Q53" s="145">
        <v>9847</v>
      </c>
      <c r="R53" s="145">
        <v>8901</v>
      </c>
      <c r="S53" s="138">
        <f t="shared" si="2"/>
        <v>946</v>
      </c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8"/>
      <c r="AK53" s="138"/>
      <c r="AL53" s="138"/>
      <c r="AM53" s="138"/>
      <c r="AN53" s="138"/>
      <c r="AO53" s="138"/>
      <c r="AP53" s="138"/>
      <c r="AQ53" s="138"/>
      <c r="AR53" s="138"/>
      <c r="AS53" s="138"/>
      <c r="AT53" s="138"/>
      <c r="AU53" s="138"/>
      <c r="AV53" s="138"/>
      <c r="AW53" s="138"/>
      <c r="AX53" s="138"/>
      <c r="AY53" s="138"/>
      <c r="AZ53" s="138"/>
      <c r="BA53" s="138"/>
      <c r="BB53" s="138"/>
      <c r="BC53" s="138"/>
      <c r="BD53" s="138"/>
      <c r="BE53" s="138"/>
      <c r="BF53" s="138"/>
      <c r="BG53" s="138"/>
      <c r="BH53" s="138"/>
      <c r="BI53" s="138"/>
      <c r="BJ53" s="138"/>
      <c r="BK53" s="138"/>
      <c r="BL53" s="138"/>
      <c r="BM53" s="138"/>
      <c r="BN53" s="138"/>
      <c r="BO53" s="138"/>
      <c r="BP53" s="138"/>
      <c r="BQ53" s="138"/>
      <c r="BR53" s="138"/>
      <c r="BS53" s="138"/>
      <c r="BT53" s="138"/>
      <c r="BU53" s="138"/>
      <c r="BV53" s="138"/>
      <c r="BW53" s="138"/>
      <c r="BX53" s="138"/>
      <c r="BY53" s="138"/>
      <c r="BZ53" s="138"/>
      <c r="CA53" s="138"/>
      <c r="CB53" s="138"/>
      <c r="CC53" s="138"/>
      <c r="CD53" s="138"/>
      <c r="CE53" s="138"/>
      <c r="CF53" s="138"/>
      <c r="CG53" s="138"/>
      <c r="CH53" s="138"/>
      <c r="CI53" s="138"/>
      <c r="CJ53" s="138"/>
    </row>
    <row r="54" spans="1:88" s="662" customFormat="1" ht="12.75" customHeight="1">
      <c r="A54" s="124" t="s">
        <v>975</v>
      </c>
      <c r="B54" s="161">
        <v>10631758</v>
      </c>
      <c r="C54" s="161">
        <v>9620315</v>
      </c>
      <c r="D54" s="161">
        <v>9418636.38</v>
      </c>
      <c r="E54" s="148">
        <f t="shared" si="22"/>
        <v>88.58964227741076</v>
      </c>
      <c r="F54" s="148">
        <f t="shared" si="23"/>
        <v>97.90361729319676</v>
      </c>
      <c r="G54" s="161">
        <f>D54-'[5]Oktobris'!D54</f>
        <v>823443.3900000006</v>
      </c>
      <c r="H54" s="138"/>
      <c r="I54" s="124" t="s">
        <v>975</v>
      </c>
      <c r="J54" s="154">
        <f aca="true" t="shared" si="27" ref="J54:L55">ROUND(B54/1000,0)</f>
        <v>10632</v>
      </c>
      <c r="K54" s="154">
        <f t="shared" si="27"/>
        <v>9620</v>
      </c>
      <c r="L54" s="154">
        <f t="shared" si="27"/>
        <v>9419</v>
      </c>
      <c r="M54" s="155">
        <f t="shared" si="24"/>
        <v>88.5910458991723</v>
      </c>
      <c r="N54" s="155">
        <f t="shared" si="25"/>
        <v>97.9106029106029</v>
      </c>
      <c r="O54" s="154">
        <f>L54-'[5]Oktobris'!L54</f>
        <v>824</v>
      </c>
      <c r="P54" s="138"/>
      <c r="Q54" s="154">
        <v>9419</v>
      </c>
      <c r="R54" s="154">
        <v>8595</v>
      </c>
      <c r="S54" s="138">
        <f t="shared" si="2"/>
        <v>824</v>
      </c>
      <c r="T54" s="138"/>
      <c r="U54" s="138"/>
      <c r="V54" s="138"/>
      <c r="W54" s="138"/>
      <c r="X54" s="138"/>
      <c r="Y54" s="138"/>
      <c r="Z54" s="138"/>
      <c r="AA54" s="138"/>
      <c r="AB54" s="138"/>
      <c r="AC54" s="138"/>
      <c r="AD54" s="138"/>
      <c r="AE54" s="138"/>
      <c r="AF54" s="138"/>
      <c r="AG54" s="138"/>
      <c r="AH54" s="138"/>
      <c r="AI54" s="138"/>
      <c r="AJ54" s="138"/>
      <c r="AK54" s="138"/>
      <c r="AL54" s="138"/>
      <c r="AM54" s="138"/>
      <c r="AN54" s="138"/>
      <c r="AO54" s="138"/>
      <c r="AP54" s="138"/>
      <c r="AQ54" s="138"/>
      <c r="AR54" s="138"/>
      <c r="AS54" s="138"/>
      <c r="AT54" s="138"/>
      <c r="AU54" s="138"/>
      <c r="AV54" s="138"/>
      <c r="AW54" s="138"/>
      <c r="AX54" s="138"/>
      <c r="AY54" s="138"/>
      <c r="AZ54" s="138"/>
      <c r="BA54" s="138"/>
      <c r="BB54" s="138"/>
      <c r="BC54" s="138"/>
      <c r="BD54" s="138"/>
      <c r="BE54" s="138"/>
      <c r="BF54" s="138"/>
      <c r="BG54" s="138"/>
      <c r="BH54" s="138"/>
      <c r="BI54" s="138"/>
      <c r="BJ54" s="138"/>
      <c r="BK54" s="138"/>
      <c r="BL54" s="138"/>
      <c r="BM54" s="138"/>
      <c r="BN54" s="138"/>
      <c r="BO54" s="138"/>
      <c r="BP54" s="138"/>
      <c r="BQ54" s="138"/>
      <c r="BR54" s="138"/>
      <c r="BS54" s="138"/>
      <c r="BT54" s="138"/>
      <c r="BU54" s="138"/>
      <c r="BV54" s="138"/>
      <c r="BW54" s="138"/>
      <c r="BX54" s="138"/>
      <c r="BY54" s="138"/>
      <c r="BZ54" s="138"/>
      <c r="CA54" s="138"/>
      <c r="CB54" s="138"/>
      <c r="CC54" s="138"/>
      <c r="CD54" s="138"/>
      <c r="CE54" s="138"/>
      <c r="CF54" s="138"/>
      <c r="CG54" s="138"/>
      <c r="CH54" s="138"/>
      <c r="CI54" s="138"/>
      <c r="CJ54" s="138"/>
    </row>
    <row r="55" spans="1:88" s="662" customFormat="1" ht="12.75" customHeight="1">
      <c r="A55" s="124" t="s">
        <v>976</v>
      </c>
      <c r="B55" s="161">
        <v>587210</v>
      </c>
      <c r="C55" s="161">
        <v>566910</v>
      </c>
      <c r="D55" s="161">
        <v>428451.52</v>
      </c>
      <c r="E55" s="148">
        <f t="shared" si="22"/>
        <v>72.96393453789956</v>
      </c>
      <c r="F55" s="148">
        <f t="shared" si="23"/>
        <v>75.57663826709707</v>
      </c>
      <c r="G55" s="161">
        <f>D55-'[5]Oktobris'!D55</f>
        <v>122034.02000000002</v>
      </c>
      <c r="H55" s="138"/>
      <c r="I55" s="124" t="s">
        <v>976</v>
      </c>
      <c r="J55" s="154">
        <f t="shared" si="27"/>
        <v>587</v>
      </c>
      <c r="K55" s="154">
        <f t="shared" si="27"/>
        <v>567</v>
      </c>
      <c r="L55" s="154">
        <f>ROUND(D55/1000,0)</f>
        <v>428</v>
      </c>
      <c r="M55" s="155">
        <f t="shared" si="24"/>
        <v>72.91311754684838</v>
      </c>
      <c r="N55" s="155">
        <f t="shared" si="25"/>
        <v>75.48500881834215</v>
      </c>
      <c r="O55" s="154">
        <f>L55-'[5]Oktobris'!L55</f>
        <v>122</v>
      </c>
      <c r="P55" s="138"/>
      <c r="Q55" s="154">
        <v>428</v>
      </c>
      <c r="R55" s="154">
        <v>306</v>
      </c>
      <c r="S55" s="138">
        <f t="shared" si="2"/>
        <v>122</v>
      </c>
      <c r="T55" s="138"/>
      <c r="U55" s="138"/>
      <c r="V55" s="138"/>
      <c r="W55" s="138"/>
      <c r="X55" s="138"/>
      <c r="Y55" s="138"/>
      <c r="Z55" s="138"/>
      <c r="AA55" s="138"/>
      <c r="AB55" s="138"/>
      <c r="AC55" s="138"/>
      <c r="AD55" s="138"/>
      <c r="AE55" s="138"/>
      <c r="AF55" s="138"/>
      <c r="AG55" s="138"/>
      <c r="AH55" s="138"/>
      <c r="AI55" s="138"/>
      <c r="AJ55" s="138"/>
      <c r="AK55" s="138"/>
      <c r="AL55" s="138"/>
      <c r="AM55" s="138"/>
      <c r="AN55" s="138"/>
      <c r="AO55" s="138"/>
      <c r="AP55" s="138"/>
      <c r="AQ55" s="138"/>
      <c r="AR55" s="138"/>
      <c r="AS55" s="138"/>
      <c r="AT55" s="138"/>
      <c r="AU55" s="138"/>
      <c r="AV55" s="138"/>
      <c r="AW55" s="138"/>
      <c r="AX55" s="138"/>
      <c r="AY55" s="138"/>
      <c r="AZ55" s="138"/>
      <c r="BA55" s="138"/>
      <c r="BB55" s="138"/>
      <c r="BC55" s="138"/>
      <c r="BD55" s="138"/>
      <c r="BE55" s="138"/>
      <c r="BF55" s="138"/>
      <c r="BG55" s="138"/>
      <c r="BH55" s="138"/>
      <c r="BI55" s="138"/>
      <c r="BJ55" s="138"/>
      <c r="BK55" s="138"/>
      <c r="BL55" s="138"/>
      <c r="BM55" s="138"/>
      <c r="BN55" s="138"/>
      <c r="BO55" s="138"/>
      <c r="BP55" s="138"/>
      <c r="BQ55" s="138"/>
      <c r="BR55" s="138"/>
      <c r="BS55" s="138"/>
      <c r="BT55" s="138"/>
      <c r="BU55" s="138"/>
      <c r="BV55" s="138"/>
      <c r="BW55" s="138"/>
      <c r="BX55" s="138"/>
      <c r="BY55" s="138"/>
      <c r="BZ55" s="138"/>
      <c r="CA55" s="138"/>
      <c r="CB55" s="138"/>
      <c r="CC55" s="138"/>
      <c r="CD55" s="138"/>
      <c r="CE55" s="138"/>
      <c r="CF55" s="138"/>
      <c r="CG55" s="138"/>
      <c r="CH55" s="138"/>
      <c r="CI55" s="138"/>
      <c r="CJ55" s="138"/>
    </row>
    <row r="56" spans="1:88" s="662" customFormat="1" ht="12.75" customHeight="1">
      <c r="A56" s="157" t="s">
        <v>990</v>
      </c>
      <c r="B56" s="161"/>
      <c r="C56" s="161"/>
      <c r="D56" s="161"/>
      <c r="E56" s="161"/>
      <c r="F56" s="161"/>
      <c r="G56" s="161"/>
      <c r="H56" s="138"/>
      <c r="I56" s="157" t="s">
        <v>991</v>
      </c>
      <c r="J56" s="161"/>
      <c r="K56" s="161"/>
      <c r="L56" s="161"/>
      <c r="M56" s="155"/>
      <c r="N56" s="155"/>
      <c r="O56" s="161"/>
      <c r="P56" s="138"/>
      <c r="Q56" s="161"/>
      <c r="R56" s="161"/>
      <c r="S56" s="138">
        <f t="shared" si="2"/>
        <v>0</v>
      </c>
      <c r="T56" s="138"/>
      <c r="U56" s="138"/>
      <c r="V56" s="138"/>
      <c r="W56" s="138"/>
      <c r="X56" s="138"/>
      <c r="Y56" s="138"/>
      <c r="Z56" s="138"/>
      <c r="AA56" s="138"/>
      <c r="AB56" s="138"/>
      <c r="AC56" s="138"/>
      <c r="AD56" s="138"/>
      <c r="AE56" s="138"/>
      <c r="AF56" s="138"/>
      <c r="AG56" s="138"/>
      <c r="AH56" s="138"/>
      <c r="AI56" s="138"/>
      <c r="AJ56" s="138"/>
      <c r="AK56" s="138"/>
      <c r="AL56" s="138"/>
      <c r="AM56" s="138"/>
      <c r="AN56" s="138"/>
      <c r="AO56" s="138"/>
      <c r="AP56" s="138"/>
      <c r="AQ56" s="138"/>
      <c r="AR56" s="138"/>
      <c r="AS56" s="138"/>
      <c r="AT56" s="138"/>
      <c r="AU56" s="138"/>
      <c r="AV56" s="138"/>
      <c r="AW56" s="138"/>
      <c r="AX56" s="138"/>
      <c r="AY56" s="138"/>
      <c r="AZ56" s="138"/>
      <c r="BA56" s="138"/>
      <c r="BB56" s="138"/>
      <c r="BC56" s="138"/>
      <c r="BD56" s="138"/>
      <c r="BE56" s="138"/>
      <c r="BF56" s="138"/>
      <c r="BG56" s="138"/>
      <c r="BH56" s="138"/>
      <c r="BI56" s="138"/>
      <c r="BJ56" s="138"/>
      <c r="BK56" s="138"/>
      <c r="BL56" s="138"/>
      <c r="BM56" s="138"/>
      <c r="BN56" s="138"/>
      <c r="BO56" s="138"/>
      <c r="BP56" s="138"/>
      <c r="BQ56" s="138"/>
      <c r="BR56" s="138"/>
      <c r="BS56" s="138"/>
      <c r="BT56" s="138"/>
      <c r="BU56" s="138"/>
      <c r="BV56" s="138"/>
      <c r="BW56" s="138"/>
      <c r="BX56" s="138"/>
      <c r="BY56" s="138"/>
      <c r="BZ56" s="138"/>
      <c r="CA56" s="138"/>
      <c r="CB56" s="138"/>
      <c r="CC56" s="138"/>
      <c r="CD56" s="138"/>
      <c r="CE56" s="138"/>
      <c r="CF56" s="138"/>
      <c r="CG56" s="138"/>
      <c r="CH56" s="138"/>
      <c r="CI56" s="138"/>
      <c r="CJ56" s="138"/>
    </row>
    <row r="57" spans="1:88" s="662" customFormat="1" ht="12.75" customHeight="1">
      <c r="A57" s="151" t="s">
        <v>969</v>
      </c>
      <c r="B57" s="161">
        <f>SUM(B58:B61)</f>
        <v>11020501</v>
      </c>
      <c r="C57" s="163">
        <f>SUM(C58:C61)</f>
        <v>10014597</v>
      </c>
      <c r="D57" s="163">
        <f>SUM(D58:D61)</f>
        <v>8366183.38</v>
      </c>
      <c r="E57" s="147">
        <f aca="true" t="shared" si="28" ref="E57:E64">IF(ISERROR(D57/B57)," ",(D57/B57))*100</f>
        <v>75.91472819611377</v>
      </c>
      <c r="F57" s="147">
        <f aca="true" t="shared" si="29" ref="F57:F63">IF(ISERROR(D57/C57)," ",(D57/C57))*100</f>
        <v>83.53989062165957</v>
      </c>
      <c r="G57" s="163">
        <f>SUM(G58:G61)</f>
        <v>863201.4200000002</v>
      </c>
      <c r="H57" s="138"/>
      <c r="I57" s="151" t="s">
        <v>969</v>
      </c>
      <c r="J57" s="145">
        <f>J58+J59+J60+J61</f>
        <v>11020</v>
      </c>
      <c r="K57" s="145">
        <f>K58+K59+K60+K61</f>
        <v>10015</v>
      </c>
      <c r="L57" s="145">
        <f>L58+L59+L60+L61</f>
        <v>8367</v>
      </c>
      <c r="M57" s="153">
        <f aca="true" t="shared" si="30" ref="M57:M64">L57/J57*100</f>
        <v>75.9255898366606</v>
      </c>
      <c r="N57" s="153">
        <f aca="true" t="shared" si="31" ref="N57:N64">L57/K57*100</f>
        <v>83.5446829755367</v>
      </c>
      <c r="O57" s="145">
        <f>SUM(O58:O61)</f>
        <v>864</v>
      </c>
      <c r="P57" s="138"/>
      <c r="Q57" s="145">
        <v>8367</v>
      </c>
      <c r="R57" s="145">
        <v>7503</v>
      </c>
      <c r="S57" s="138">
        <f t="shared" si="2"/>
        <v>864</v>
      </c>
      <c r="T57" s="138"/>
      <c r="U57" s="138"/>
      <c r="V57" s="138"/>
      <c r="W57" s="138"/>
      <c r="X57" s="138"/>
      <c r="Y57" s="138"/>
      <c r="Z57" s="138"/>
      <c r="AA57" s="138"/>
      <c r="AB57" s="138"/>
      <c r="AC57" s="138"/>
      <c r="AD57" s="138"/>
      <c r="AE57" s="138"/>
      <c r="AF57" s="138"/>
      <c r="AG57" s="138"/>
      <c r="AH57" s="138"/>
      <c r="AI57" s="138"/>
      <c r="AJ57" s="138"/>
      <c r="AK57" s="138"/>
      <c r="AL57" s="138"/>
      <c r="AM57" s="138"/>
      <c r="AN57" s="138"/>
      <c r="AO57" s="138"/>
      <c r="AP57" s="138"/>
      <c r="AQ57" s="138"/>
      <c r="AR57" s="138"/>
      <c r="AS57" s="138"/>
      <c r="AT57" s="138"/>
      <c r="AU57" s="138"/>
      <c r="AV57" s="138"/>
      <c r="AW57" s="138"/>
      <c r="AX57" s="138"/>
      <c r="AY57" s="138"/>
      <c r="AZ57" s="138"/>
      <c r="BA57" s="138"/>
      <c r="BB57" s="138"/>
      <c r="BC57" s="138"/>
      <c r="BD57" s="138"/>
      <c r="BE57" s="138"/>
      <c r="BF57" s="138"/>
      <c r="BG57" s="138"/>
      <c r="BH57" s="138"/>
      <c r="BI57" s="138"/>
      <c r="BJ57" s="138"/>
      <c r="BK57" s="138"/>
      <c r="BL57" s="138"/>
      <c r="BM57" s="138"/>
      <c r="BN57" s="138"/>
      <c r="BO57" s="138"/>
      <c r="BP57" s="138"/>
      <c r="BQ57" s="138"/>
      <c r="BR57" s="138"/>
      <c r="BS57" s="138"/>
      <c r="BT57" s="138"/>
      <c r="BU57" s="138"/>
      <c r="BV57" s="138"/>
      <c r="BW57" s="138"/>
      <c r="BX57" s="138"/>
      <c r="BY57" s="138"/>
      <c r="BZ57" s="138"/>
      <c r="CA57" s="138"/>
      <c r="CB57" s="138"/>
      <c r="CC57" s="138"/>
      <c r="CD57" s="138"/>
      <c r="CE57" s="138"/>
      <c r="CF57" s="138"/>
      <c r="CG57" s="138"/>
      <c r="CH57" s="138"/>
      <c r="CI57" s="138"/>
      <c r="CJ57" s="138"/>
    </row>
    <row r="58" spans="1:88" s="662" customFormat="1" ht="12.75" customHeight="1">
      <c r="A58" s="151" t="s">
        <v>970</v>
      </c>
      <c r="B58" s="161">
        <v>6323187</v>
      </c>
      <c r="C58" s="161">
        <v>5877736</v>
      </c>
      <c r="D58" s="161">
        <v>5877736</v>
      </c>
      <c r="E58" s="148">
        <f t="shared" si="28"/>
        <v>92.95527714109988</v>
      </c>
      <c r="F58" s="148">
        <f t="shared" si="29"/>
        <v>100</v>
      </c>
      <c r="G58" s="161">
        <f>D58-'[5]Oktobris'!D58</f>
        <v>682679</v>
      </c>
      <c r="H58" s="138"/>
      <c r="I58" s="151" t="s">
        <v>970</v>
      </c>
      <c r="J58" s="154">
        <f>ROUND(B58/1000,0)</f>
        <v>6323</v>
      </c>
      <c r="K58" s="154">
        <f aca="true" t="shared" si="32" ref="K58:L61">ROUND(C58/1000,0)</f>
        <v>5878</v>
      </c>
      <c r="L58" s="154">
        <f t="shared" si="32"/>
        <v>5878</v>
      </c>
      <c r="M58" s="155">
        <f t="shared" si="30"/>
        <v>92.96220148663609</v>
      </c>
      <c r="N58" s="155">
        <f t="shared" si="31"/>
        <v>100</v>
      </c>
      <c r="O58" s="154">
        <f>L58-'[5]Oktobris'!L58</f>
        <v>683</v>
      </c>
      <c r="P58" s="138"/>
      <c r="Q58" s="154">
        <v>5878</v>
      </c>
      <c r="R58" s="154">
        <v>5195</v>
      </c>
      <c r="S58" s="138">
        <f t="shared" si="2"/>
        <v>683</v>
      </c>
      <c r="T58" s="138"/>
      <c r="U58" s="138"/>
      <c r="V58" s="138"/>
      <c r="W58" s="138"/>
      <c r="X58" s="138"/>
      <c r="Y58" s="138"/>
      <c r="Z58" s="138"/>
      <c r="AA58" s="138"/>
      <c r="AB58" s="138"/>
      <c r="AC58" s="138"/>
      <c r="AD58" s="138"/>
      <c r="AE58" s="138"/>
      <c r="AF58" s="138"/>
      <c r="AG58" s="138"/>
      <c r="AH58" s="138"/>
      <c r="AI58" s="138"/>
      <c r="AJ58" s="138"/>
      <c r="AK58" s="138"/>
      <c r="AL58" s="138"/>
      <c r="AM58" s="138"/>
      <c r="AN58" s="138"/>
      <c r="AO58" s="138"/>
      <c r="AP58" s="138"/>
      <c r="AQ58" s="138"/>
      <c r="AR58" s="138"/>
      <c r="AS58" s="138"/>
      <c r="AT58" s="138"/>
      <c r="AU58" s="138"/>
      <c r="AV58" s="138"/>
      <c r="AW58" s="138"/>
      <c r="AX58" s="138"/>
      <c r="AY58" s="138"/>
      <c r="AZ58" s="138"/>
      <c r="BA58" s="138"/>
      <c r="BB58" s="138"/>
      <c r="BC58" s="138"/>
      <c r="BD58" s="138"/>
      <c r="BE58" s="138"/>
      <c r="BF58" s="138"/>
      <c r="BG58" s="138"/>
      <c r="BH58" s="138"/>
      <c r="BI58" s="138"/>
      <c r="BJ58" s="138"/>
      <c r="BK58" s="138"/>
      <c r="BL58" s="138"/>
      <c r="BM58" s="138"/>
      <c r="BN58" s="138"/>
      <c r="BO58" s="138"/>
      <c r="BP58" s="138"/>
      <c r="BQ58" s="138"/>
      <c r="BR58" s="138"/>
      <c r="BS58" s="138"/>
      <c r="BT58" s="138"/>
      <c r="BU58" s="138"/>
      <c r="BV58" s="138"/>
      <c r="BW58" s="138"/>
      <c r="BX58" s="138"/>
      <c r="BY58" s="138"/>
      <c r="BZ58" s="138"/>
      <c r="CA58" s="138"/>
      <c r="CB58" s="138"/>
      <c r="CC58" s="138"/>
      <c r="CD58" s="138"/>
      <c r="CE58" s="138"/>
      <c r="CF58" s="138"/>
      <c r="CG58" s="138"/>
      <c r="CH58" s="138"/>
      <c r="CI58" s="138"/>
      <c r="CJ58" s="138"/>
    </row>
    <row r="59" spans="1:88" s="662" customFormat="1" ht="12.75" customHeight="1">
      <c r="A59" s="151" t="s">
        <v>971</v>
      </c>
      <c r="B59" s="161">
        <v>12122</v>
      </c>
      <c r="C59" s="161">
        <v>12122</v>
      </c>
      <c r="D59" s="161">
        <v>11722.22</v>
      </c>
      <c r="E59" s="148">
        <f t="shared" si="28"/>
        <v>96.70202936809108</v>
      </c>
      <c r="F59" s="148">
        <f t="shared" si="29"/>
        <v>96.70202936809108</v>
      </c>
      <c r="G59" s="161">
        <f>D59-'[5]Oktobris'!D59</f>
        <v>0</v>
      </c>
      <c r="H59" s="138"/>
      <c r="I59" s="151" t="s">
        <v>971</v>
      </c>
      <c r="J59" s="154">
        <f>ROUND(B59/1000,0)</f>
        <v>12</v>
      </c>
      <c r="K59" s="154">
        <f t="shared" si="32"/>
        <v>12</v>
      </c>
      <c r="L59" s="154">
        <f>ROUND(D59/1000,0)</f>
        <v>12</v>
      </c>
      <c r="M59" s="155">
        <f t="shared" si="30"/>
        <v>100</v>
      </c>
      <c r="N59" s="155">
        <f t="shared" si="31"/>
        <v>100</v>
      </c>
      <c r="O59" s="154"/>
      <c r="P59" s="138"/>
      <c r="Q59" s="154">
        <v>12</v>
      </c>
      <c r="R59" s="154">
        <v>12</v>
      </c>
      <c r="S59" s="138">
        <f t="shared" si="2"/>
        <v>0</v>
      </c>
      <c r="T59" s="138"/>
      <c r="U59" s="138"/>
      <c r="V59" s="138"/>
      <c r="W59" s="138"/>
      <c r="X59" s="138"/>
      <c r="Y59" s="138"/>
      <c r="Z59" s="138"/>
      <c r="AA59" s="138"/>
      <c r="AB59" s="138"/>
      <c r="AC59" s="138"/>
      <c r="AD59" s="138"/>
      <c r="AE59" s="138"/>
      <c r="AF59" s="138"/>
      <c r="AG59" s="138"/>
      <c r="AH59" s="138"/>
      <c r="AI59" s="138"/>
      <c r="AJ59" s="138"/>
      <c r="AK59" s="138"/>
      <c r="AL59" s="138"/>
      <c r="AM59" s="138"/>
      <c r="AN59" s="138"/>
      <c r="AO59" s="138"/>
      <c r="AP59" s="138"/>
      <c r="AQ59" s="138"/>
      <c r="AR59" s="138"/>
      <c r="AS59" s="138"/>
      <c r="AT59" s="138"/>
      <c r="AU59" s="138"/>
      <c r="AV59" s="138"/>
      <c r="AW59" s="138"/>
      <c r="AX59" s="138"/>
      <c r="AY59" s="138"/>
      <c r="AZ59" s="138"/>
      <c r="BA59" s="138"/>
      <c r="BB59" s="138"/>
      <c r="BC59" s="138"/>
      <c r="BD59" s="138"/>
      <c r="BE59" s="138"/>
      <c r="BF59" s="138"/>
      <c r="BG59" s="138"/>
      <c r="BH59" s="138"/>
      <c r="BI59" s="138"/>
      <c r="BJ59" s="138"/>
      <c r="BK59" s="138"/>
      <c r="BL59" s="138"/>
      <c r="BM59" s="138"/>
      <c r="BN59" s="138"/>
      <c r="BO59" s="138"/>
      <c r="BP59" s="138"/>
      <c r="BQ59" s="138"/>
      <c r="BR59" s="138"/>
      <c r="BS59" s="138"/>
      <c r="BT59" s="138"/>
      <c r="BU59" s="138"/>
      <c r="BV59" s="138"/>
      <c r="BW59" s="138"/>
      <c r="BX59" s="138"/>
      <c r="BY59" s="138"/>
      <c r="BZ59" s="138"/>
      <c r="CA59" s="138"/>
      <c r="CB59" s="138"/>
      <c r="CC59" s="138"/>
      <c r="CD59" s="138"/>
      <c r="CE59" s="138"/>
      <c r="CF59" s="138"/>
      <c r="CG59" s="138"/>
      <c r="CH59" s="138"/>
      <c r="CI59" s="138"/>
      <c r="CJ59" s="138"/>
    </row>
    <row r="60" spans="1:88" s="662" customFormat="1" ht="12.75" customHeight="1">
      <c r="A60" s="151" t="s">
        <v>972</v>
      </c>
      <c r="B60" s="161">
        <v>1444942</v>
      </c>
      <c r="C60" s="161">
        <v>1167089</v>
      </c>
      <c r="D60" s="161">
        <v>964522.08</v>
      </c>
      <c r="E60" s="148">
        <f t="shared" si="28"/>
        <v>66.75161217543679</v>
      </c>
      <c r="F60" s="148">
        <f t="shared" si="29"/>
        <v>82.64340423052569</v>
      </c>
      <c r="G60" s="161">
        <f>D60-'[5]Oktobris'!D60</f>
        <v>46718.76000000001</v>
      </c>
      <c r="H60" s="138"/>
      <c r="I60" s="151" t="s">
        <v>972</v>
      </c>
      <c r="J60" s="154">
        <f>ROUND(B60/1000,0)</f>
        <v>1445</v>
      </c>
      <c r="K60" s="154">
        <f>ROUND(C60/1000,0)</f>
        <v>1167</v>
      </c>
      <c r="L60" s="154">
        <f t="shared" si="32"/>
        <v>965</v>
      </c>
      <c r="M60" s="155">
        <f t="shared" si="30"/>
        <v>66.78200692041523</v>
      </c>
      <c r="N60" s="155">
        <f t="shared" si="31"/>
        <v>82.69065981148243</v>
      </c>
      <c r="O60" s="154">
        <f>L60-'[5]Oktobris'!L60</f>
        <v>47</v>
      </c>
      <c r="P60" s="138"/>
      <c r="Q60" s="154">
        <v>965</v>
      </c>
      <c r="R60" s="154">
        <v>918</v>
      </c>
      <c r="S60" s="138">
        <f t="shared" si="2"/>
        <v>47</v>
      </c>
      <c r="T60" s="138"/>
      <c r="U60" s="138"/>
      <c r="V60" s="138"/>
      <c r="W60" s="138"/>
      <c r="X60" s="138"/>
      <c r="Y60" s="138"/>
      <c r="Z60" s="138"/>
      <c r="AA60" s="138"/>
      <c r="AB60" s="138"/>
      <c r="AC60" s="138"/>
      <c r="AD60" s="138"/>
      <c r="AE60" s="138"/>
      <c r="AF60" s="138"/>
      <c r="AG60" s="138"/>
      <c r="AH60" s="138"/>
      <c r="AI60" s="138"/>
      <c r="AJ60" s="138"/>
      <c r="AK60" s="138"/>
      <c r="AL60" s="138"/>
      <c r="AM60" s="138"/>
      <c r="AN60" s="138"/>
      <c r="AO60" s="138"/>
      <c r="AP60" s="138"/>
      <c r="AQ60" s="138"/>
      <c r="AR60" s="138"/>
      <c r="AS60" s="138"/>
      <c r="AT60" s="138"/>
      <c r="AU60" s="138"/>
      <c r="AV60" s="138"/>
      <c r="AW60" s="138"/>
      <c r="AX60" s="138"/>
      <c r="AY60" s="138"/>
      <c r="AZ60" s="138"/>
      <c r="BA60" s="138"/>
      <c r="BB60" s="138"/>
      <c r="BC60" s="138"/>
      <c r="BD60" s="138"/>
      <c r="BE60" s="138"/>
      <c r="BF60" s="138"/>
      <c r="BG60" s="138"/>
      <c r="BH60" s="138"/>
      <c r="BI60" s="138"/>
      <c r="BJ60" s="138"/>
      <c r="BK60" s="138"/>
      <c r="BL60" s="138"/>
      <c r="BM60" s="138"/>
      <c r="BN60" s="138"/>
      <c r="BO60" s="138"/>
      <c r="BP60" s="138"/>
      <c r="BQ60" s="138"/>
      <c r="BR60" s="138"/>
      <c r="BS60" s="138"/>
      <c r="BT60" s="138"/>
      <c r="BU60" s="138"/>
      <c r="BV60" s="138"/>
      <c r="BW60" s="138"/>
      <c r="BX60" s="138"/>
      <c r="BY60" s="138"/>
      <c r="BZ60" s="138"/>
      <c r="CA60" s="138"/>
      <c r="CB60" s="138"/>
      <c r="CC60" s="138"/>
      <c r="CD60" s="138"/>
      <c r="CE60" s="138"/>
      <c r="CF60" s="138"/>
      <c r="CG60" s="138"/>
      <c r="CH60" s="138"/>
      <c r="CI60" s="138"/>
      <c r="CJ60" s="138"/>
    </row>
    <row r="61" spans="1:88" s="662" customFormat="1" ht="12.75" customHeight="1">
      <c r="A61" s="151" t="s">
        <v>973</v>
      </c>
      <c r="B61" s="161">
        <v>3240250</v>
      </c>
      <c r="C61" s="161">
        <v>2957650</v>
      </c>
      <c r="D61" s="161">
        <v>1512203.08</v>
      </c>
      <c r="E61" s="148">
        <f t="shared" si="28"/>
        <v>46.66933353907878</v>
      </c>
      <c r="F61" s="148">
        <f t="shared" si="29"/>
        <v>51.128533802174026</v>
      </c>
      <c r="G61" s="161">
        <f>D61-'[5]Oktobris'!D61</f>
        <v>133803.66000000015</v>
      </c>
      <c r="H61" s="138"/>
      <c r="I61" s="151" t="s">
        <v>973</v>
      </c>
      <c r="J61" s="154">
        <f>ROUND(B61/1000,0)</f>
        <v>3240</v>
      </c>
      <c r="K61" s="154">
        <f t="shared" si="32"/>
        <v>2958</v>
      </c>
      <c r="L61" s="154">
        <f>ROUND(D61/1000,0)</f>
        <v>1512</v>
      </c>
      <c r="M61" s="155">
        <f t="shared" si="30"/>
        <v>46.666666666666664</v>
      </c>
      <c r="N61" s="155">
        <f t="shared" si="31"/>
        <v>51.115618661257614</v>
      </c>
      <c r="O61" s="154">
        <f>L61-'[5]Oktobris'!L61</f>
        <v>134</v>
      </c>
      <c r="P61" s="138"/>
      <c r="Q61" s="154">
        <v>1512</v>
      </c>
      <c r="R61" s="154">
        <v>1378</v>
      </c>
      <c r="S61" s="138">
        <f t="shared" si="2"/>
        <v>134</v>
      </c>
      <c r="T61" s="138"/>
      <c r="U61" s="138"/>
      <c r="V61" s="138"/>
      <c r="W61" s="138"/>
      <c r="X61" s="138"/>
      <c r="Y61" s="138"/>
      <c r="Z61" s="138"/>
      <c r="AA61" s="138"/>
      <c r="AB61" s="138"/>
      <c r="AC61" s="138"/>
      <c r="AD61" s="138"/>
      <c r="AE61" s="138"/>
      <c r="AF61" s="138"/>
      <c r="AG61" s="138"/>
      <c r="AH61" s="138"/>
      <c r="AI61" s="138"/>
      <c r="AJ61" s="138"/>
      <c r="AK61" s="138"/>
      <c r="AL61" s="138"/>
      <c r="AM61" s="138"/>
      <c r="AN61" s="138"/>
      <c r="AO61" s="138"/>
      <c r="AP61" s="138"/>
      <c r="AQ61" s="138"/>
      <c r="AR61" s="138"/>
      <c r="AS61" s="138"/>
      <c r="AT61" s="138"/>
      <c r="AU61" s="138"/>
      <c r="AV61" s="138"/>
      <c r="AW61" s="138"/>
      <c r="AX61" s="138"/>
      <c r="AY61" s="138"/>
      <c r="AZ61" s="138"/>
      <c r="BA61" s="138"/>
      <c r="BB61" s="138"/>
      <c r="BC61" s="138"/>
      <c r="BD61" s="138"/>
      <c r="BE61" s="138"/>
      <c r="BF61" s="138"/>
      <c r="BG61" s="138"/>
      <c r="BH61" s="138"/>
      <c r="BI61" s="138"/>
      <c r="BJ61" s="138"/>
      <c r="BK61" s="138"/>
      <c r="BL61" s="138"/>
      <c r="BM61" s="138"/>
      <c r="BN61" s="138"/>
      <c r="BO61" s="138"/>
      <c r="BP61" s="138"/>
      <c r="BQ61" s="138"/>
      <c r="BR61" s="138"/>
      <c r="BS61" s="138"/>
      <c r="BT61" s="138"/>
      <c r="BU61" s="138"/>
      <c r="BV61" s="138"/>
      <c r="BW61" s="138"/>
      <c r="BX61" s="138"/>
      <c r="BY61" s="138"/>
      <c r="BZ61" s="138"/>
      <c r="CA61" s="138"/>
      <c r="CB61" s="138"/>
      <c r="CC61" s="138"/>
      <c r="CD61" s="138"/>
      <c r="CE61" s="138"/>
      <c r="CF61" s="138"/>
      <c r="CG61" s="138"/>
      <c r="CH61" s="138"/>
      <c r="CI61" s="138"/>
      <c r="CJ61" s="138"/>
    </row>
    <row r="62" spans="1:88" s="662" customFormat="1" ht="12.75" customHeight="1">
      <c r="A62" s="157" t="s">
        <v>974</v>
      </c>
      <c r="B62" s="163">
        <f>SUM(B63:B64)</f>
        <v>11104867</v>
      </c>
      <c r="C62" s="163">
        <f>SUM(C63:C64)</f>
        <v>10098485</v>
      </c>
      <c r="D62" s="163">
        <f>SUM(D63:D64)</f>
        <v>7632087.66</v>
      </c>
      <c r="E62" s="148">
        <f t="shared" si="28"/>
        <v>68.7274116835438</v>
      </c>
      <c r="F62" s="148">
        <f t="shared" si="29"/>
        <v>75.57656084056173</v>
      </c>
      <c r="G62" s="163">
        <f>SUM(G63:G64)</f>
        <v>699478.1100000002</v>
      </c>
      <c r="H62" s="138"/>
      <c r="I62" s="157" t="s">
        <v>974</v>
      </c>
      <c r="J62" s="145">
        <f>J63+J64</f>
        <v>11105</v>
      </c>
      <c r="K62" s="145">
        <f>K63+K64</f>
        <v>10098</v>
      </c>
      <c r="L62" s="145">
        <f>L63+L64</f>
        <v>7632</v>
      </c>
      <c r="M62" s="153">
        <f t="shared" si="30"/>
        <v>68.72579918955427</v>
      </c>
      <c r="N62" s="153">
        <f t="shared" si="31"/>
        <v>75.57932263814617</v>
      </c>
      <c r="O62" s="145">
        <f>SUM(O63:O64)</f>
        <v>700</v>
      </c>
      <c r="P62" s="138"/>
      <c r="Q62" s="145">
        <v>7632</v>
      </c>
      <c r="R62" s="145">
        <v>6932</v>
      </c>
      <c r="S62" s="138">
        <f t="shared" si="2"/>
        <v>700</v>
      </c>
      <c r="T62" s="138"/>
      <c r="U62" s="138"/>
      <c r="V62" s="138"/>
      <c r="W62" s="138"/>
      <c r="X62" s="138"/>
      <c r="Y62" s="138"/>
      <c r="Z62" s="138"/>
      <c r="AA62" s="138"/>
      <c r="AB62" s="138"/>
      <c r="AC62" s="138"/>
      <c r="AD62" s="138"/>
      <c r="AE62" s="138"/>
      <c r="AF62" s="138"/>
      <c r="AG62" s="138"/>
      <c r="AH62" s="138"/>
      <c r="AI62" s="138"/>
      <c r="AJ62" s="138"/>
      <c r="AK62" s="138"/>
      <c r="AL62" s="138"/>
      <c r="AM62" s="138"/>
      <c r="AN62" s="138"/>
      <c r="AO62" s="138"/>
      <c r="AP62" s="138"/>
      <c r="AQ62" s="138"/>
      <c r="AR62" s="138"/>
      <c r="AS62" s="138"/>
      <c r="AT62" s="138"/>
      <c r="AU62" s="138"/>
      <c r="AV62" s="138"/>
      <c r="AW62" s="138"/>
      <c r="AX62" s="138"/>
      <c r="AY62" s="138"/>
      <c r="AZ62" s="138"/>
      <c r="BA62" s="138"/>
      <c r="BB62" s="138"/>
      <c r="BC62" s="138"/>
      <c r="BD62" s="138"/>
      <c r="BE62" s="138"/>
      <c r="BF62" s="138"/>
      <c r="BG62" s="138"/>
      <c r="BH62" s="138"/>
      <c r="BI62" s="138"/>
      <c r="BJ62" s="138"/>
      <c r="BK62" s="138"/>
      <c r="BL62" s="138"/>
      <c r="BM62" s="138"/>
      <c r="BN62" s="138"/>
      <c r="BO62" s="138"/>
      <c r="BP62" s="138"/>
      <c r="BQ62" s="138"/>
      <c r="BR62" s="138"/>
      <c r="BS62" s="138"/>
      <c r="BT62" s="138"/>
      <c r="BU62" s="138"/>
      <c r="BV62" s="138"/>
      <c r="BW62" s="138"/>
      <c r="BX62" s="138"/>
      <c r="BY62" s="138"/>
      <c r="BZ62" s="138"/>
      <c r="CA62" s="138"/>
      <c r="CB62" s="138"/>
      <c r="CC62" s="138"/>
      <c r="CD62" s="138"/>
      <c r="CE62" s="138"/>
      <c r="CF62" s="138"/>
      <c r="CG62" s="138"/>
      <c r="CH62" s="138"/>
      <c r="CI62" s="138"/>
      <c r="CJ62" s="138"/>
    </row>
    <row r="63" spans="1:88" s="662" customFormat="1" ht="12.75" customHeight="1">
      <c r="A63" s="159" t="s">
        <v>975</v>
      </c>
      <c r="B63" s="161">
        <v>10518961</v>
      </c>
      <c r="C63" s="161">
        <v>9545329</v>
      </c>
      <c r="D63" s="161">
        <v>7289879.45</v>
      </c>
      <c r="E63" s="148">
        <f t="shared" si="28"/>
        <v>69.3022766221873</v>
      </c>
      <c r="F63" s="148">
        <f t="shared" si="29"/>
        <v>76.37117012938998</v>
      </c>
      <c r="G63" s="161">
        <f>D63-'[5]Oktobris'!D63</f>
        <v>652331.9500000002</v>
      </c>
      <c r="H63" s="138"/>
      <c r="I63" s="159" t="s">
        <v>975</v>
      </c>
      <c r="J63" s="154">
        <f aca="true" t="shared" si="33" ref="J63:L64">ROUND(B63/1000,0)</f>
        <v>10519</v>
      </c>
      <c r="K63" s="154">
        <f>ROUND(C63/1000,0)</f>
        <v>9545</v>
      </c>
      <c r="L63" s="154">
        <f>ROUND(D63/1000,0)</f>
        <v>7290</v>
      </c>
      <c r="M63" s="155">
        <f t="shared" si="30"/>
        <v>69.30316570016161</v>
      </c>
      <c r="N63" s="155">
        <f t="shared" si="31"/>
        <v>76.37506547930853</v>
      </c>
      <c r="O63" s="154">
        <f>L63-'[5]Oktobris'!L63</f>
        <v>653</v>
      </c>
      <c r="P63" s="138"/>
      <c r="Q63" s="154">
        <v>7290</v>
      </c>
      <c r="R63" s="154">
        <v>6637</v>
      </c>
      <c r="S63" s="138">
        <f t="shared" si="2"/>
        <v>653</v>
      </c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8"/>
      <c r="AE63" s="138"/>
      <c r="AF63" s="138"/>
      <c r="AG63" s="138"/>
      <c r="AH63" s="138"/>
      <c r="AI63" s="138"/>
      <c r="AJ63" s="138"/>
      <c r="AK63" s="138"/>
      <c r="AL63" s="138"/>
      <c r="AM63" s="138"/>
      <c r="AN63" s="138"/>
      <c r="AO63" s="138"/>
      <c r="AP63" s="138"/>
      <c r="AQ63" s="138"/>
      <c r="AR63" s="138"/>
      <c r="AS63" s="138"/>
      <c r="AT63" s="138"/>
      <c r="AU63" s="138"/>
      <c r="AV63" s="138"/>
      <c r="AW63" s="138"/>
      <c r="AX63" s="138"/>
      <c r="AY63" s="138"/>
      <c r="AZ63" s="138"/>
      <c r="BA63" s="138"/>
      <c r="BB63" s="138"/>
      <c r="BC63" s="138"/>
      <c r="BD63" s="138"/>
      <c r="BE63" s="138"/>
      <c r="BF63" s="138"/>
      <c r="BG63" s="138"/>
      <c r="BH63" s="138"/>
      <c r="BI63" s="138"/>
      <c r="BJ63" s="138"/>
      <c r="BK63" s="138"/>
      <c r="BL63" s="138"/>
      <c r="BM63" s="138"/>
      <c r="BN63" s="138"/>
      <c r="BO63" s="138"/>
      <c r="BP63" s="138"/>
      <c r="BQ63" s="138"/>
      <c r="BR63" s="138"/>
      <c r="BS63" s="138"/>
      <c r="BT63" s="138"/>
      <c r="BU63" s="138"/>
      <c r="BV63" s="138"/>
      <c r="BW63" s="138"/>
      <c r="BX63" s="138"/>
      <c r="BY63" s="138"/>
      <c r="BZ63" s="138"/>
      <c r="CA63" s="138"/>
      <c r="CB63" s="138"/>
      <c r="CC63" s="138"/>
      <c r="CD63" s="138"/>
      <c r="CE63" s="138"/>
      <c r="CF63" s="138"/>
      <c r="CG63" s="138"/>
      <c r="CH63" s="138"/>
      <c r="CI63" s="138"/>
      <c r="CJ63" s="138"/>
    </row>
    <row r="64" spans="1:88" s="662" customFormat="1" ht="12.75" customHeight="1">
      <c r="A64" s="159" t="s">
        <v>976</v>
      </c>
      <c r="B64" s="161">
        <v>585906</v>
      </c>
      <c r="C64" s="161">
        <v>553156</v>
      </c>
      <c r="D64" s="161">
        <v>342208.21</v>
      </c>
      <c r="E64" s="148">
        <f t="shared" si="28"/>
        <v>58.406674449485074</v>
      </c>
      <c r="F64" s="148"/>
      <c r="G64" s="161">
        <f>D64-'[5]Oktobris'!D64</f>
        <v>47146.16000000003</v>
      </c>
      <c r="H64" s="138"/>
      <c r="I64" s="159" t="s">
        <v>976</v>
      </c>
      <c r="J64" s="154">
        <f t="shared" si="33"/>
        <v>586</v>
      </c>
      <c r="K64" s="154">
        <f>ROUND(C64/1000,0)</f>
        <v>553</v>
      </c>
      <c r="L64" s="154">
        <f t="shared" si="33"/>
        <v>342</v>
      </c>
      <c r="M64" s="155">
        <f t="shared" si="30"/>
        <v>58.36177474402731</v>
      </c>
      <c r="N64" s="155">
        <f t="shared" si="31"/>
        <v>61.84448462929476</v>
      </c>
      <c r="O64" s="154">
        <f>L64-'[5]Oktobris'!L64</f>
        <v>47</v>
      </c>
      <c r="P64" s="138"/>
      <c r="Q64" s="154">
        <v>342</v>
      </c>
      <c r="R64" s="154">
        <v>295</v>
      </c>
      <c r="S64" s="138">
        <f t="shared" si="2"/>
        <v>47</v>
      </c>
      <c r="T64" s="138"/>
      <c r="U64" s="138"/>
      <c r="V64" s="138"/>
      <c r="W64" s="138"/>
      <c r="X64" s="138"/>
      <c r="Y64" s="138"/>
      <c r="Z64" s="138"/>
      <c r="AA64" s="138"/>
      <c r="AB64" s="138"/>
      <c r="AC64" s="138"/>
      <c r="AD64" s="138"/>
      <c r="AE64" s="138"/>
      <c r="AF64" s="138"/>
      <c r="AG64" s="138"/>
      <c r="AH64" s="138"/>
      <c r="AI64" s="138"/>
      <c r="AJ64" s="138"/>
      <c r="AK64" s="138"/>
      <c r="AL64" s="138"/>
      <c r="AM64" s="138"/>
      <c r="AN64" s="138"/>
      <c r="AO64" s="138"/>
      <c r="AP64" s="138"/>
      <c r="AQ64" s="138"/>
      <c r="AR64" s="138"/>
      <c r="AS64" s="138"/>
      <c r="AT64" s="138"/>
      <c r="AU64" s="138"/>
      <c r="AV64" s="138"/>
      <c r="AW64" s="138"/>
      <c r="AX64" s="138"/>
      <c r="AY64" s="138"/>
      <c r="AZ64" s="138"/>
      <c r="BA64" s="138"/>
      <c r="BB64" s="138"/>
      <c r="BC64" s="138"/>
      <c r="BD64" s="138"/>
      <c r="BE64" s="138"/>
      <c r="BF64" s="138"/>
      <c r="BG64" s="138"/>
      <c r="BH64" s="138"/>
      <c r="BI64" s="138"/>
      <c r="BJ64" s="138"/>
      <c r="BK64" s="138"/>
      <c r="BL64" s="138"/>
      <c r="BM64" s="138"/>
      <c r="BN64" s="138"/>
      <c r="BO64" s="138"/>
      <c r="BP64" s="138"/>
      <c r="BQ64" s="138"/>
      <c r="BR64" s="138"/>
      <c r="BS64" s="138"/>
      <c r="BT64" s="138"/>
      <c r="BU64" s="138"/>
      <c r="BV64" s="138"/>
      <c r="BW64" s="138"/>
      <c r="BX64" s="138"/>
      <c r="BY64" s="138"/>
      <c r="BZ64" s="138"/>
      <c r="CA64" s="138"/>
      <c r="CB64" s="138"/>
      <c r="CC64" s="138"/>
      <c r="CD64" s="138"/>
      <c r="CE64" s="138"/>
      <c r="CF64" s="138"/>
      <c r="CG64" s="138"/>
      <c r="CH64" s="138"/>
      <c r="CI64" s="138"/>
      <c r="CJ64" s="138"/>
    </row>
    <row r="65" spans="1:88" s="662" customFormat="1" ht="12.75" customHeight="1">
      <c r="A65" s="157" t="s">
        <v>992</v>
      </c>
      <c r="B65" s="161"/>
      <c r="C65" s="161"/>
      <c r="D65" s="161"/>
      <c r="E65" s="161"/>
      <c r="F65" s="161"/>
      <c r="G65" s="161"/>
      <c r="H65" s="138"/>
      <c r="I65" s="157" t="s">
        <v>993</v>
      </c>
      <c r="J65" s="161"/>
      <c r="K65" s="161"/>
      <c r="L65" s="161"/>
      <c r="M65" s="155"/>
      <c r="N65" s="155"/>
      <c r="O65" s="161"/>
      <c r="P65" s="138"/>
      <c r="Q65" s="161"/>
      <c r="R65" s="161"/>
      <c r="S65" s="138">
        <f t="shared" si="2"/>
        <v>0</v>
      </c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38"/>
      <c r="AL65" s="138"/>
      <c r="AM65" s="138"/>
      <c r="AN65" s="138"/>
      <c r="AO65" s="138"/>
      <c r="AP65" s="138"/>
      <c r="AQ65" s="138"/>
      <c r="AR65" s="138"/>
      <c r="AS65" s="138"/>
      <c r="AT65" s="138"/>
      <c r="AU65" s="138"/>
      <c r="AV65" s="138"/>
      <c r="AW65" s="138"/>
      <c r="AX65" s="138"/>
      <c r="AY65" s="138"/>
      <c r="AZ65" s="138"/>
      <c r="BA65" s="138"/>
      <c r="BB65" s="138"/>
      <c r="BC65" s="138"/>
      <c r="BD65" s="138"/>
      <c r="BE65" s="138"/>
      <c r="BF65" s="138"/>
      <c r="BG65" s="138"/>
      <c r="BH65" s="138"/>
      <c r="BI65" s="138"/>
      <c r="BJ65" s="138"/>
      <c r="BK65" s="138"/>
      <c r="BL65" s="138"/>
      <c r="BM65" s="138"/>
      <c r="BN65" s="138"/>
      <c r="BO65" s="138"/>
      <c r="BP65" s="138"/>
      <c r="BQ65" s="138"/>
      <c r="BR65" s="138"/>
      <c r="BS65" s="138"/>
      <c r="BT65" s="138"/>
      <c r="BU65" s="138"/>
      <c r="BV65" s="138"/>
      <c r="BW65" s="138"/>
      <c r="BX65" s="138"/>
      <c r="BY65" s="138"/>
      <c r="BZ65" s="138"/>
      <c r="CA65" s="138"/>
      <c r="CB65" s="138"/>
      <c r="CC65" s="138"/>
      <c r="CD65" s="138"/>
      <c r="CE65" s="138"/>
      <c r="CF65" s="138"/>
      <c r="CG65" s="138"/>
      <c r="CH65" s="138"/>
      <c r="CI65" s="138"/>
      <c r="CJ65" s="138"/>
    </row>
    <row r="66" spans="1:88" s="662" customFormat="1" ht="12.75" customHeight="1">
      <c r="A66" s="151" t="s">
        <v>969</v>
      </c>
      <c r="B66" s="161">
        <f>SUM(B67:B70)</f>
        <v>97249095</v>
      </c>
      <c r="C66" s="163">
        <f>SUM(C67:C70)</f>
        <v>88200167</v>
      </c>
      <c r="D66" s="163">
        <f>SUM(D67:D70)</f>
        <v>85996611.95</v>
      </c>
      <c r="E66" s="147">
        <f aca="true" t="shared" si="34" ref="E66:E73">IF(ISERROR(D66/B66)," ",(D66/B66))*100</f>
        <v>88.42921566519463</v>
      </c>
      <c r="F66" s="147">
        <f aca="true" t="shared" si="35" ref="F66:F73">IF(ISERROR(D66/C66)," ",(D66/C66))*100</f>
        <v>97.50164299575533</v>
      </c>
      <c r="G66" s="163">
        <f>SUM(G67:G70)</f>
        <v>8524207.97</v>
      </c>
      <c r="H66" s="138"/>
      <c r="I66" s="151" t="s">
        <v>969</v>
      </c>
      <c r="J66" s="145">
        <f>J67+J68+J69+J70</f>
        <v>97249</v>
      </c>
      <c r="K66" s="145">
        <f>K67+K68+K69+K70</f>
        <v>88200</v>
      </c>
      <c r="L66" s="145">
        <f>L67+L68+L69+L70</f>
        <v>85997</v>
      </c>
      <c r="M66" s="153">
        <f aca="true" t="shared" si="36" ref="M66:M75">L66/J66*100</f>
        <v>88.42970107661775</v>
      </c>
      <c r="N66" s="153">
        <f aca="true" t="shared" si="37" ref="N66:N73">L66/K66*100</f>
        <v>97.50226757369614</v>
      </c>
      <c r="O66" s="145">
        <f>SUM(O67:O70)</f>
        <v>8525</v>
      </c>
      <c r="P66" s="138"/>
      <c r="Q66" s="145">
        <v>85997</v>
      </c>
      <c r="R66" s="145">
        <v>77472</v>
      </c>
      <c r="S66" s="138">
        <f t="shared" si="2"/>
        <v>8525</v>
      </c>
      <c r="T66" s="138"/>
      <c r="U66" s="138"/>
      <c r="V66" s="138"/>
      <c r="W66" s="138"/>
      <c r="X66" s="138"/>
      <c r="Y66" s="138"/>
      <c r="Z66" s="138"/>
      <c r="AA66" s="138"/>
      <c r="AB66" s="138"/>
      <c r="AC66" s="138"/>
      <c r="AD66" s="138"/>
      <c r="AE66" s="138"/>
      <c r="AF66" s="138"/>
      <c r="AG66" s="138"/>
      <c r="AH66" s="138"/>
      <c r="AI66" s="138"/>
      <c r="AJ66" s="138"/>
      <c r="AK66" s="138"/>
      <c r="AL66" s="138"/>
      <c r="AM66" s="138"/>
      <c r="AN66" s="138"/>
      <c r="AO66" s="138"/>
      <c r="AP66" s="138"/>
      <c r="AQ66" s="138"/>
      <c r="AR66" s="138"/>
      <c r="AS66" s="138"/>
      <c r="AT66" s="138"/>
      <c r="AU66" s="138"/>
      <c r="AV66" s="138"/>
      <c r="AW66" s="138"/>
      <c r="AX66" s="138"/>
      <c r="AY66" s="138"/>
      <c r="AZ66" s="138"/>
      <c r="BA66" s="138"/>
      <c r="BB66" s="138"/>
      <c r="BC66" s="138"/>
      <c r="BD66" s="138"/>
      <c r="BE66" s="138"/>
      <c r="BF66" s="138"/>
      <c r="BG66" s="138"/>
      <c r="BH66" s="138"/>
      <c r="BI66" s="138"/>
      <c r="BJ66" s="138"/>
      <c r="BK66" s="138"/>
      <c r="BL66" s="138"/>
      <c r="BM66" s="138"/>
      <c r="BN66" s="138"/>
      <c r="BO66" s="138"/>
      <c r="BP66" s="138"/>
      <c r="BQ66" s="138"/>
      <c r="BR66" s="138"/>
      <c r="BS66" s="138"/>
      <c r="BT66" s="138"/>
      <c r="BU66" s="138"/>
      <c r="BV66" s="138"/>
      <c r="BW66" s="138"/>
      <c r="BX66" s="138"/>
      <c r="BY66" s="138"/>
      <c r="BZ66" s="138"/>
      <c r="CA66" s="138"/>
      <c r="CB66" s="138"/>
      <c r="CC66" s="138"/>
      <c r="CD66" s="138"/>
      <c r="CE66" s="138"/>
      <c r="CF66" s="138"/>
      <c r="CG66" s="138"/>
      <c r="CH66" s="138"/>
      <c r="CI66" s="138"/>
      <c r="CJ66" s="138"/>
    </row>
    <row r="67" spans="1:88" s="662" customFormat="1" ht="12.75" customHeight="1">
      <c r="A67" s="151" t="s">
        <v>970</v>
      </c>
      <c r="B67" s="161">
        <v>88620314</v>
      </c>
      <c r="C67" s="161">
        <v>80501999</v>
      </c>
      <c r="D67" s="161">
        <v>80501999</v>
      </c>
      <c r="E67" s="148">
        <f>IF(ISERROR(D67/B67)," ",(D67/B67))*100</f>
        <v>90.8392166157299</v>
      </c>
      <c r="F67" s="148">
        <f>IF(ISERROR(D67/C67)," ",(D67/C67))*100</f>
        <v>100</v>
      </c>
      <c r="G67" s="161">
        <f>D67-'[5]Oktobris'!D67</f>
        <v>8074439</v>
      </c>
      <c r="H67" s="138"/>
      <c r="I67" s="151" t="s">
        <v>970</v>
      </c>
      <c r="J67" s="154">
        <f aca="true" t="shared" si="38" ref="J67:L69">ROUND(B67/1000,0)</f>
        <v>88620</v>
      </c>
      <c r="K67" s="154">
        <f>ROUND(C67/1000,0)</f>
        <v>80502</v>
      </c>
      <c r="L67" s="154">
        <f>ROUND(D67/1000,0)</f>
        <v>80502</v>
      </c>
      <c r="M67" s="155">
        <f t="shared" si="36"/>
        <v>90.83953960731212</v>
      </c>
      <c r="N67" s="155">
        <f t="shared" si="37"/>
        <v>100</v>
      </c>
      <c r="O67" s="154">
        <f>L67-'[5]Oktobris'!L67</f>
        <v>8075</v>
      </c>
      <c r="P67" s="138"/>
      <c r="Q67" s="154">
        <v>80502</v>
      </c>
      <c r="R67" s="154">
        <v>72427</v>
      </c>
      <c r="S67" s="138">
        <f t="shared" si="2"/>
        <v>8075</v>
      </c>
      <c r="T67" s="138"/>
      <c r="U67" s="138"/>
      <c r="V67" s="138"/>
      <c r="W67" s="138"/>
      <c r="X67" s="138"/>
      <c r="Y67" s="138"/>
      <c r="Z67" s="138"/>
      <c r="AA67" s="138"/>
      <c r="AB67" s="138"/>
      <c r="AC67" s="138"/>
      <c r="AD67" s="138"/>
      <c r="AE67" s="138"/>
      <c r="AF67" s="138"/>
      <c r="AG67" s="138"/>
      <c r="AH67" s="138"/>
      <c r="AI67" s="138"/>
      <c r="AJ67" s="138"/>
      <c r="AK67" s="138"/>
      <c r="AL67" s="138"/>
      <c r="AM67" s="138"/>
      <c r="AN67" s="138"/>
      <c r="AO67" s="138"/>
      <c r="AP67" s="138"/>
      <c r="AQ67" s="138"/>
      <c r="AR67" s="138"/>
      <c r="AS67" s="138"/>
      <c r="AT67" s="138"/>
      <c r="AU67" s="138"/>
      <c r="AV67" s="138"/>
      <c r="AW67" s="138"/>
      <c r="AX67" s="138"/>
      <c r="AY67" s="138"/>
      <c r="AZ67" s="138"/>
      <c r="BA67" s="138"/>
      <c r="BB67" s="138"/>
      <c r="BC67" s="138"/>
      <c r="BD67" s="138"/>
      <c r="BE67" s="138"/>
      <c r="BF67" s="138"/>
      <c r="BG67" s="138"/>
      <c r="BH67" s="138"/>
      <c r="BI67" s="138"/>
      <c r="BJ67" s="138"/>
      <c r="BK67" s="138"/>
      <c r="BL67" s="138"/>
      <c r="BM67" s="138"/>
      <c r="BN67" s="138"/>
      <c r="BO67" s="138"/>
      <c r="BP67" s="138"/>
      <c r="BQ67" s="138"/>
      <c r="BR67" s="138"/>
      <c r="BS67" s="138"/>
      <c r="BT67" s="138"/>
      <c r="BU67" s="138"/>
      <c r="BV67" s="138"/>
      <c r="BW67" s="138"/>
      <c r="BX67" s="138"/>
      <c r="BY67" s="138"/>
      <c r="BZ67" s="138"/>
      <c r="CA67" s="138"/>
      <c r="CB67" s="138"/>
      <c r="CC67" s="138"/>
      <c r="CD67" s="138"/>
      <c r="CE67" s="138"/>
      <c r="CF67" s="138"/>
      <c r="CG67" s="138"/>
      <c r="CH67" s="138"/>
      <c r="CI67" s="138"/>
      <c r="CJ67" s="138"/>
    </row>
    <row r="68" spans="1:88" s="662" customFormat="1" ht="12.75" customHeight="1">
      <c r="A68" s="151" t="s">
        <v>971</v>
      </c>
      <c r="B68" s="161">
        <v>1033000</v>
      </c>
      <c r="C68" s="161">
        <v>795078</v>
      </c>
      <c r="D68" s="161">
        <v>486027.41</v>
      </c>
      <c r="E68" s="148">
        <f t="shared" si="34"/>
        <v>47.0500880929332</v>
      </c>
      <c r="F68" s="148">
        <f t="shared" si="35"/>
        <v>61.12952565660225</v>
      </c>
      <c r="G68" s="161">
        <f>D68-'[5]Oktobris'!D68</f>
        <v>12705.419999999984</v>
      </c>
      <c r="H68" s="138"/>
      <c r="I68" s="151" t="s">
        <v>971</v>
      </c>
      <c r="J68" s="154">
        <f t="shared" si="38"/>
        <v>1033</v>
      </c>
      <c r="K68" s="154">
        <f t="shared" si="38"/>
        <v>795</v>
      </c>
      <c r="L68" s="154">
        <f t="shared" si="38"/>
        <v>486</v>
      </c>
      <c r="M68" s="155">
        <f t="shared" si="36"/>
        <v>47.047434656340755</v>
      </c>
      <c r="N68" s="155">
        <f t="shared" si="37"/>
        <v>61.13207547169811</v>
      </c>
      <c r="O68" s="154">
        <f>L68-'[5]Oktobris'!L68</f>
        <v>13</v>
      </c>
      <c r="P68" s="138"/>
      <c r="Q68" s="154">
        <v>486</v>
      </c>
      <c r="R68" s="154">
        <v>473</v>
      </c>
      <c r="S68" s="138">
        <f t="shared" si="2"/>
        <v>13</v>
      </c>
      <c r="T68" s="138"/>
      <c r="U68" s="138"/>
      <c r="V68" s="138"/>
      <c r="W68" s="138"/>
      <c r="X68" s="138"/>
      <c r="Y68" s="138"/>
      <c r="Z68" s="138"/>
      <c r="AA68" s="138"/>
      <c r="AB68" s="138"/>
      <c r="AC68" s="138"/>
      <c r="AD68" s="138"/>
      <c r="AE68" s="138"/>
      <c r="AF68" s="138"/>
      <c r="AG68" s="138"/>
      <c r="AH68" s="138"/>
      <c r="AI68" s="138"/>
      <c r="AJ68" s="138"/>
      <c r="AK68" s="138"/>
      <c r="AL68" s="138"/>
      <c r="AM68" s="138"/>
      <c r="AN68" s="138"/>
      <c r="AO68" s="138"/>
      <c r="AP68" s="138"/>
      <c r="AQ68" s="138"/>
      <c r="AR68" s="138"/>
      <c r="AS68" s="138"/>
      <c r="AT68" s="138"/>
      <c r="AU68" s="138"/>
      <c r="AV68" s="138"/>
      <c r="AW68" s="138"/>
      <c r="AX68" s="138"/>
      <c r="AY68" s="138"/>
      <c r="AZ68" s="138"/>
      <c r="BA68" s="138"/>
      <c r="BB68" s="138"/>
      <c r="BC68" s="138"/>
      <c r="BD68" s="138"/>
      <c r="BE68" s="138"/>
      <c r="BF68" s="138"/>
      <c r="BG68" s="138"/>
      <c r="BH68" s="138"/>
      <c r="BI68" s="138"/>
      <c r="BJ68" s="138"/>
      <c r="BK68" s="138"/>
      <c r="BL68" s="138"/>
      <c r="BM68" s="138"/>
      <c r="BN68" s="138"/>
      <c r="BO68" s="138"/>
      <c r="BP68" s="138"/>
      <c r="BQ68" s="138"/>
      <c r="BR68" s="138"/>
      <c r="BS68" s="138"/>
      <c r="BT68" s="138"/>
      <c r="BU68" s="138"/>
      <c r="BV68" s="138"/>
      <c r="BW68" s="138"/>
      <c r="BX68" s="138"/>
      <c r="BY68" s="138"/>
      <c r="BZ68" s="138"/>
      <c r="CA68" s="138"/>
      <c r="CB68" s="138"/>
      <c r="CC68" s="138"/>
      <c r="CD68" s="138"/>
      <c r="CE68" s="138"/>
      <c r="CF68" s="138"/>
      <c r="CG68" s="138"/>
      <c r="CH68" s="138"/>
      <c r="CI68" s="138"/>
      <c r="CJ68" s="138"/>
    </row>
    <row r="69" spans="1:88" s="662" customFormat="1" ht="12.75" customHeight="1">
      <c r="A69" s="151" t="s">
        <v>972</v>
      </c>
      <c r="B69" s="161">
        <v>4507801</v>
      </c>
      <c r="C69" s="161">
        <v>4060560</v>
      </c>
      <c r="D69" s="161">
        <v>3632198.39</v>
      </c>
      <c r="E69" s="148">
        <f t="shared" si="34"/>
        <v>80.57583708775077</v>
      </c>
      <c r="F69" s="148">
        <f t="shared" si="35"/>
        <v>89.45067650767382</v>
      </c>
      <c r="G69" s="161">
        <f>D69-'[5]Oktobris'!D69</f>
        <v>281251.38000000035</v>
      </c>
      <c r="H69" s="138"/>
      <c r="I69" s="151" t="s">
        <v>972</v>
      </c>
      <c r="J69" s="154">
        <f t="shared" si="38"/>
        <v>4508</v>
      </c>
      <c r="K69" s="154">
        <f>ROUND(C69/1000,0)</f>
        <v>4061</v>
      </c>
      <c r="L69" s="154">
        <f>ROUND(D69/1000,0)</f>
        <v>3632</v>
      </c>
      <c r="M69" s="155">
        <f t="shared" si="36"/>
        <v>80.5678793256433</v>
      </c>
      <c r="N69" s="155">
        <f t="shared" si="37"/>
        <v>89.436099482886</v>
      </c>
      <c r="O69" s="154">
        <f>L69-'[5]Oktobris'!L69</f>
        <v>281</v>
      </c>
      <c r="P69" s="138"/>
      <c r="Q69" s="154">
        <v>3632</v>
      </c>
      <c r="R69" s="154">
        <v>3351</v>
      </c>
      <c r="S69" s="138">
        <f t="shared" si="2"/>
        <v>281</v>
      </c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38"/>
      <c r="AE69" s="138"/>
      <c r="AF69" s="138"/>
      <c r="AG69" s="138"/>
      <c r="AH69" s="138"/>
      <c r="AI69" s="138"/>
      <c r="AJ69" s="138"/>
      <c r="AK69" s="138"/>
      <c r="AL69" s="138"/>
      <c r="AM69" s="138"/>
      <c r="AN69" s="138"/>
      <c r="AO69" s="138"/>
      <c r="AP69" s="138"/>
      <c r="AQ69" s="138"/>
      <c r="AR69" s="138"/>
      <c r="AS69" s="138"/>
      <c r="AT69" s="138"/>
      <c r="AU69" s="138"/>
      <c r="AV69" s="138"/>
      <c r="AW69" s="138"/>
      <c r="AX69" s="138"/>
      <c r="AY69" s="138"/>
      <c r="AZ69" s="138"/>
      <c r="BA69" s="138"/>
      <c r="BB69" s="138"/>
      <c r="BC69" s="138"/>
      <c r="BD69" s="138"/>
      <c r="BE69" s="138"/>
      <c r="BF69" s="138"/>
      <c r="BG69" s="138"/>
      <c r="BH69" s="138"/>
      <c r="BI69" s="138"/>
      <c r="BJ69" s="138"/>
      <c r="BK69" s="138"/>
      <c r="BL69" s="138"/>
      <c r="BM69" s="138"/>
      <c r="BN69" s="138"/>
      <c r="BO69" s="138"/>
      <c r="BP69" s="138"/>
      <c r="BQ69" s="138"/>
      <c r="BR69" s="138"/>
      <c r="BS69" s="138"/>
      <c r="BT69" s="138"/>
      <c r="BU69" s="138"/>
      <c r="BV69" s="138"/>
      <c r="BW69" s="138"/>
      <c r="BX69" s="138"/>
      <c r="BY69" s="138"/>
      <c r="BZ69" s="138"/>
      <c r="CA69" s="138"/>
      <c r="CB69" s="138"/>
      <c r="CC69" s="138"/>
      <c r="CD69" s="138"/>
      <c r="CE69" s="138"/>
      <c r="CF69" s="138"/>
      <c r="CG69" s="138"/>
      <c r="CH69" s="138"/>
      <c r="CI69" s="138"/>
      <c r="CJ69" s="138"/>
    </row>
    <row r="70" spans="1:88" s="662" customFormat="1" ht="12.75" customHeight="1">
      <c r="A70" s="151" t="s">
        <v>973</v>
      </c>
      <c r="B70" s="161">
        <v>3087980</v>
      </c>
      <c r="C70" s="161">
        <v>2842530</v>
      </c>
      <c r="D70" s="161">
        <v>1376387.15</v>
      </c>
      <c r="E70" s="148">
        <f t="shared" si="34"/>
        <v>44.572411414581694</v>
      </c>
      <c r="F70" s="148">
        <f t="shared" si="35"/>
        <v>48.42120047985421</v>
      </c>
      <c r="G70" s="161">
        <f>D70-'[5]Oktobris'!D70</f>
        <v>155812.16999999993</v>
      </c>
      <c r="H70" s="138"/>
      <c r="I70" s="151" t="s">
        <v>973</v>
      </c>
      <c r="J70" s="154">
        <f>ROUND(B70/1000,0)</f>
        <v>3088</v>
      </c>
      <c r="K70" s="154">
        <f>ROUND(C70/1000,0)-1</f>
        <v>2842</v>
      </c>
      <c r="L70" s="154">
        <f>ROUND(D70/1000,0)+1</f>
        <v>1377</v>
      </c>
      <c r="M70" s="155">
        <f t="shared" si="36"/>
        <v>44.59196891191709</v>
      </c>
      <c r="N70" s="155">
        <f t="shared" si="37"/>
        <v>48.45179451090782</v>
      </c>
      <c r="O70" s="154">
        <f>L70-'[5]Oktobris'!L70</f>
        <v>156</v>
      </c>
      <c r="P70" s="138"/>
      <c r="Q70" s="154">
        <v>1377</v>
      </c>
      <c r="R70" s="154">
        <v>1221</v>
      </c>
      <c r="S70" s="138">
        <f t="shared" si="2"/>
        <v>156</v>
      </c>
      <c r="T70" s="138"/>
      <c r="U70" s="138"/>
      <c r="V70" s="138"/>
      <c r="W70" s="138"/>
      <c r="X70" s="138"/>
      <c r="Y70" s="138"/>
      <c r="Z70" s="138"/>
      <c r="AA70" s="138"/>
      <c r="AB70" s="138"/>
      <c r="AC70" s="138"/>
      <c r="AD70" s="138"/>
      <c r="AE70" s="138"/>
      <c r="AF70" s="138"/>
      <c r="AG70" s="138"/>
      <c r="AH70" s="138"/>
      <c r="AI70" s="138"/>
      <c r="AJ70" s="138"/>
      <c r="AK70" s="138"/>
      <c r="AL70" s="138"/>
      <c r="AM70" s="138"/>
      <c r="AN70" s="138"/>
      <c r="AO70" s="138"/>
      <c r="AP70" s="138"/>
      <c r="AQ70" s="138"/>
      <c r="AR70" s="138"/>
      <c r="AS70" s="138"/>
      <c r="AT70" s="138"/>
      <c r="AU70" s="138"/>
      <c r="AV70" s="138"/>
      <c r="AW70" s="138"/>
      <c r="AX70" s="138"/>
      <c r="AY70" s="138"/>
      <c r="AZ70" s="138"/>
      <c r="BA70" s="138"/>
      <c r="BB70" s="138"/>
      <c r="BC70" s="138"/>
      <c r="BD70" s="138"/>
      <c r="BE70" s="138"/>
      <c r="BF70" s="138"/>
      <c r="BG70" s="138"/>
      <c r="BH70" s="138"/>
      <c r="BI70" s="138"/>
      <c r="BJ70" s="138"/>
      <c r="BK70" s="138"/>
      <c r="BL70" s="138"/>
      <c r="BM70" s="138"/>
      <c r="BN70" s="138"/>
      <c r="BO70" s="138"/>
      <c r="BP70" s="138"/>
      <c r="BQ70" s="138"/>
      <c r="BR70" s="138"/>
      <c r="BS70" s="138"/>
      <c r="BT70" s="138"/>
      <c r="BU70" s="138"/>
      <c r="BV70" s="138"/>
      <c r="BW70" s="138"/>
      <c r="BX70" s="138"/>
      <c r="BY70" s="138"/>
      <c r="BZ70" s="138"/>
      <c r="CA70" s="138"/>
      <c r="CB70" s="138"/>
      <c r="CC70" s="138"/>
      <c r="CD70" s="138"/>
      <c r="CE70" s="138"/>
      <c r="CF70" s="138"/>
      <c r="CG70" s="138"/>
      <c r="CH70" s="138"/>
      <c r="CI70" s="138"/>
      <c r="CJ70" s="138"/>
    </row>
    <row r="71" spans="1:88" s="662" customFormat="1" ht="12.75" customHeight="1">
      <c r="A71" s="157" t="s">
        <v>974</v>
      </c>
      <c r="B71" s="163">
        <f>SUM(B72:B73)</f>
        <v>97346095</v>
      </c>
      <c r="C71" s="163">
        <f>SUM(C72:C73)</f>
        <v>88294857</v>
      </c>
      <c r="D71" s="163">
        <f>SUM(D72:D73)</f>
        <v>81453170.55</v>
      </c>
      <c r="E71" s="148">
        <f t="shared" si="34"/>
        <v>83.67379354045994</v>
      </c>
      <c r="F71" s="148">
        <f t="shared" si="35"/>
        <v>92.25131940584036</v>
      </c>
      <c r="G71" s="163">
        <f>SUM(G72:G73)</f>
        <v>7054546.750000004</v>
      </c>
      <c r="H71" s="138"/>
      <c r="I71" s="157" t="s">
        <v>974</v>
      </c>
      <c r="J71" s="145">
        <f>J72+J73</f>
        <v>97346</v>
      </c>
      <c r="K71" s="145">
        <f>K72+K73</f>
        <v>88296</v>
      </c>
      <c r="L71" s="145">
        <f>L72+L73</f>
        <v>81453</v>
      </c>
      <c r="M71" s="153">
        <f t="shared" si="36"/>
        <v>83.67369999794548</v>
      </c>
      <c r="N71" s="153">
        <f t="shared" si="37"/>
        <v>92.24993204675184</v>
      </c>
      <c r="O71" s="145">
        <f>SUM(O72:O73)</f>
        <v>7054</v>
      </c>
      <c r="P71" s="164"/>
      <c r="Q71" s="145">
        <v>81453</v>
      </c>
      <c r="R71" s="145">
        <v>74399</v>
      </c>
      <c r="S71" s="138">
        <f t="shared" si="2"/>
        <v>7054</v>
      </c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138"/>
      <c r="AE71" s="138"/>
      <c r="AF71" s="138"/>
      <c r="AG71" s="138"/>
      <c r="AH71" s="138"/>
      <c r="AI71" s="138"/>
      <c r="AJ71" s="138"/>
      <c r="AK71" s="138"/>
      <c r="AL71" s="138"/>
      <c r="AM71" s="138"/>
      <c r="AN71" s="138"/>
      <c r="AO71" s="138"/>
      <c r="AP71" s="138"/>
      <c r="AQ71" s="138"/>
      <c r="AR71" s="138"/>
      <c r="AS71" s="138"/>
      <c r="AT71" s="138"/>
      <c r="AU71" s="138"/>
      <c r="AV71" s="138"/>
      <c r="AW71" s="138"/>
      <c r="AX71" s="138"/>
      <c r="AY71" s="138"/>
      <c r="AZ71" s="138"/>
      <c r="BA71" s="138"/>
      <c r="BB71" s="138"/>
      <c r="BC71" s="138"/>
      <c r="BD71" s="138"/>
      <c r="BE71" s="138"/>
      <c r="BF71" s="138"/>
      <c r="BG71" s="138"/>
      <c r="BH71" s="138"/>
      <c r="BI71" s="138"/>
      <c r="BJ71" s="138"/>
      <c r="BK71" s="138"/>
      <c r="BL71" s="138"/>
      <c r="BM71" s="138"/>
      <c r="BN71" s="138"/>
      <c r="BO71" s="138"/>
      <c r="BP71" s="138"/>
      <c r="BQ71" s="138"/>
      <c r="BR71" s="138"/>
      <c r="BS71" s="138"/>
      <c r="BT71" s="138"/>
      <c r="BU71" s="138"/>
      <c r="BV71" s="138"/>
      <c r="BW71" s="138"/>
      <c r="BX71" s="138"/>
      <c r="BY71" s="138"/>
      <c r="BZ71" s="138"/>
      <c r="CA71" s="138"/>
      <c r="CB71" s="138"/>
      <c r="CC71" s="138"/>
      <c r="CD71" s="138"/>
      <c r="CE71" s="138"/>
      <c r="CF71" s="138"/>
      <c r="CG71" s="138"/>
      <c r="CH71" s="138"/>
      <c r="CI71" s="138"/>
      <c r="CJ71" s="138"/>
    </row>
    <row r="72" spans="1:88" s="662" customFormat="1" ht="12.75" customHeight="1">
      <c r="A72" s="159" t="s">
        <v>975</v>
      </c>
      <c r="B72" s="161">
        <v>90172100</v>
      </c>
      <c r="C72" s="161">
        <v>81560617</v>
      </c>
      <c r="D72" s="161">
        <v>76667263.78</v>
      </c>
      <c r="E72" s="148">
        <f t="shared" si="34"/>
        <v>85.02326526719463</v>
      </c>
      <c r="F72" s="148">
        <f t="shared" si="35"/>
        <v>94.00034796205625</v>
      </c>
      <c r="G72" s="161">
        <f>D72-'[5]Oktobris'!D72</f>
        <v>6482275.980000004</v>
      </c>
      <c r="H72" s="138"/>
      <c r="I72" s="159" t="s">
        <v>975</v>
      </c>
      <c r="J72" s="154">
        <f aca="true" t="shared" si="39" ref="J72:L73">ROUND(B72/1000,0)</f>
        <v>90172</v>
      </c>
      <c r="K72" s="154">
        <f>ROUND(C72/1000,0)</f>
        <v>81561</v>
      </c>
      <c r="L72" s="154">
        <f t="shared" si="39"/>
        <v>76667</v>
      </c>
      <c r="M72" s="155">
        <f t="shared" si="36"/>
        <v>85.02306702745864</v>
      </c>
      <c r="N72" s="155">
        <f t="shared" si="37"/>
        <v>93.99958313409596</v>
      </c>
      <c r="O72" s="154">
        <f>L72-'[5]Oktobris'!L72</f>
        <v>6482</v>
      </c>
      <c r="P72" s="138"/>
      <c r="Q72" s="154">
        <v>76667</v>
      </c>
      <c r="R72" s="154">
        <v>70185</v>
      </c>
      <c r="S72" s="138">
        <f t="shared" si="2"/>
        <v>6482</v>
      </c>
      <c r="T72" s="138"/>
      <c r="U72" s="138"/>
      <c r="V72" s="138"/>
      <c r="W72" s="138"/>
      <c r="X72" s="138"/>
      <c r="Y72" s="138"/>
      <c r="Z72" s="138"/>
      <c r="AA72" s="138"/>
      <c r="AB72" s="138"/>
      <c r="AC72" s="138"/>
      <c r="AD72" s="138"/>
      <c r="AE72" s="138"/>
      <c r="AF72" s="138"/>
      <c r="AG72" s="138"/>
      <c r="AH72" s="138"/>
      <c r="AI72" s="138"/>
      <c r="AJ72" s="138"/>
      <c r="AK72" s="138"/>
      <c r="AL72" s="138"/>
      <c r="AM72" s="138"/>
      <c r="AN72" s="138"/>
      <c r="AO72" s="138"/>
      <c r="AP72" s="138"/>
      <c r="AQ72" s="138"/>
      <c r="AR72" s="138"/>
      <c r="AS72" s="138"/>
      <c r="AT72" s="138"/>
      <c r="AU72" s="138"/>
      <c r="AV72" s="138"/>
      <c r="AW72" s="138"/>
      <c r="AX72" s="138"/>
      <c r="AY72" s="138"/>
      <c r="AZ72" s="138"/>
      <c r="BA72" s="138"/>
      <c r="BB72" s="138"/>
      <c r="BC72" s="138"/>
      <c r="BD72" s="138"/>
      <c r="BE72" s="138"/>
      <c r="BF72" s="138"/>
      <c r="BG72" s="138"/>
      <c r="BH72" s="138"/>
      <c r="BI72" s="138"/>
      <c r="BJ72" s="138"/>
      <c r="BK72" s="138"/>
      <c r="BL72" s="138"/>
      <c r="BM72" s="138"/>
      <c r="BN72" s="138"/>
      <c r="BO72" s="138"/>
      <c r="BP72" s="138"/>
      <c r="BQ72" s="138"/>
      <c r="BR72" s="138"/>
      <c r="BS72" s="138"/>
      <c r="BT72" s="138"/>
      <c r="BU72" s="138"/>
      <c r="BV72" s="138"/>
      <c r="BW72" s="138"/>
      <c r="BX72" s="138"/>
      <c r="BY72" s="138"/>
      <c r="BZ72" s="138"/>
      <c r="CA72" s="138"/>
      <c r="CB72" s="138"/>
      <c r="CC72" s="138"/>
      <c r="CD72" s="138"/>
      <c r="CE72" s="138"/>
      <c r="CF72" s="138"/>
      <c r="CG72" s="138"/>
      <c r="CH72" s="138"/>
      <c r="CI72" s="138"/>
      <c r="CJ72" s="138"/>
    </row>
    <row r="73" spans="1:88" s="662" customFormat="1" ht="12.75" customHeight="1">
      <c r="A73" s="159" t="s">
        <v>976</v>
      </c>
      <c r="B73" s="161">
        <v>7173995</v>
      </c>
      <c r="C73" s="161">
        <v>6734240</v>
      </c>
      <c r="D73" s="161">
        <v>4785906.77</v>
      </c>
      <c r="E73" s="148">
        <f t="shared" si="34"/>
        <v>66.71187769157909</v>
      </c>
      <c r="F73" s="148">
        <f t="shared" si="35"/>
        <v>71.06825373019078</v>
      </c>
      <c r="G73" s="161">
        <f>D73-'[5]Oktobris'!D73</f>
        <v>572270.7699999996</v>
      </c>
      <c r="H73" s="138"/>
      <c r="I73" s="159" t="s">
        <v>976</v>
      </c>
      <c r="J73" s="154">
        <f t="shared" si="39"/>
        <v>7174</v>
      </c>
      <c r="K73" s="154">
        <f>ROUND(C73/1000,0)+1</f>
        <v>6735</v>
      </c>
      <c r="L73" s="154">
        <f t="shared" si="39"/>
        <v>4786</v>
      </c>
      <c r="M73" s="155">
        <f t="shared" si="36"/>
        <v>66.7131307499303</v>
      </c>
      <c r="N73" s="155">
        <f t="shared" si="37"/>
        <v>71.06161841128433</v>
      </c>
      <c r="O73" s="154">
        <f>L73-'[5]Oktobris'!L73</f>
        <v>572</v>
      </c>
      <c r="P73" s="138"/>
      <c r="Q73" s="154">
        <v>4786</v>
      </c>
      <c r="R73" s="154">
        <v>4214</v>
      </c>
      <c r="S73" s="138">
        <f t="shared" si="2"/>
        <v>572</v>
      </c>
      <c r="T73" s="138"/>
      <c r="U73" s="138"/>
      <c r="V73" s="138"/>
      <c r="W73" s="138"/>
      <c r="X73" s="138"/>
      <c r="Y73" s="138"/>
      <c r="Z73" s="138"/>
      <c r="AA73" s="138"/>
      <c r="AB73" s="138"/>
      <c r="AC73" s="138"/>
      <c r="AD73" s="138"/>
      <c r="AE73" s="138"/>
      <c r="AF73" s="138"/>
      <c r="AG73" s="138"/>
      <c r="AH73" s="138"/>
      <c r="AI73" s="138"/>
      <c r="AJ73" s="138"/>
      <c r="AK73" s="138"/>
      <c r="AL73" s="138"/>
      <c r="AM73" s="138"/>
      <c r="AN73" s="138"/>
      <c r="AO73" s="138"/>
      <c r="AP73" s="138"/>
      <c r="AQ73" s="138"/>
      <c r="AR73" s="138"/>
      <c r="AS73" s="138"/>
      <c r="AT73" s="138"/>
      <c r="AU73" s="138"/>
      <c r="AV73" s="138"/>
      <c r="AW73" s="138"/>
      <c r="AX73" s="138"/>
      <c r="AY73" s="138"/>
      <c r="AZ73" s="138"/>
      <c r="BA73" s="138"/>
      <c r="BB73" s="138"/>
      <c r="BC73" s="138"/>
      <c r="BD73" s="138"/>
      <c r="BE73" s="138"/>
      <c r="BF73" s="138"/>
      <c r="BG73" s="138"/>
      <c r="BH73" s="138"/>
      <c r="BI73" s="138"/>
      <c r="BJ73" s="138"/>
      <c r="BK73" s="138"/>
      <c r="BL73" s="138"/>
      <c r="BM73" s="138"/>
      <c r="BN73" s="138"/>
      <c r="BO73" s="138"/>
      <c r="BP73" s="138"/>
      <c r="BQ73" s="138"/>
      <c r="BR73" s="138"/>
      <c r="BS73" s="138"/>
      <c r="BT73" s="138"/>
      <c r="BU73" s="138"/>
      <c r="BV73" s="138"/>
      <c r="BW73" s="138"/>
      <c r="BX73" s="138"/>
      <c r="BY73" s="138"/>
      <c r="BZ73" s="138"/>
      <c r="CA73" s="138"/>
      <c r="CB73" s="138"/>
      <c r="CC73" s="138"/>
      <c r="CD73" s="138"/>
      <c r="CE73" s="138"/>
      <c r="CF73" s="138"/>
      <c r="CG73" s="138"/>
      <c r="CH73" s="138"/>
      <c r="CI73" s="138"/>
      <c r="CJ73" s="138"/>
    </row>
    <row r="74" spans="1:88" s="662" customFormat="1" ht="12.75" customHeight="1">
      <c r="A74" s="117" t="s">
        <v>977</v>
      </c>
      <c r="B74" s="161">
        <v>48031380</v>
      </c>
      <c r="C74" s="161"/>
      <c r="D74" s="161">
        <v>33523570</v>
      </c>
      <c r="E74" s="148"/>
      <c r="F74" s="148"/>
      <c r="G74" s="161">
        <f>D74-'[5]Oktobris'!D74</f>
        <v>2473533</v>
      </c>
      <c r="H74" s="138"/>
      <c r="I74" s="117" t="s">
        <v>977</v>
      </c>
      <c r="J74" s="154">
        <f>ROUND(B74/1000,0)</f>
        <v>48031</v>
      </c>
      <c r="K74" s="154"/>
      <c r="L74" s="154">
        <f>ROUND(D74/1000,0)-1</f>
        <v>33523</v>
      </c>
      <c r="M74" s="155">
        <f t="shared" si="36"/>
        <v>69.7945077137682</v>
      </c>
      <c r="N74" s="155"/>
      <c r="O74" s="154">
        <f>L74-'[5]Oktobris'!L74</f>
        <v>2473</v>
      </c>
      <c r="P74" s="138"/>
      <c r="Q74" s="154">
        <v>33530</v>
      </c>
      <c r="R74" s="154">
        <v>31050</v>
      </c>
      <c r="S74" s="138">
        <f aca="true" t="shared" si="40" ref="S74:S137">Q74-R74</f>
        <v>2480</v>
      </c>
      <c r="T74" s="138"/>
      <c r="U74" s="138"/>
      <c r="V74" s="138"/>
      <c r="W74" s="138"/>
      <c r="X74" s="138"/>
      <c r="Y74" s="138"/>
      <c r="Z74" s="138"/>
      <c r="AA74" s="138"/>
      <c r="AB74" s="138"/>
      <c r="AC74" s="138"/>
      <c r="AD74" s="138"/>
      <c r="AE74" s="138"/>
      <c r="AF74" s="138"/>
      <c r="AG74" s="138"/>
      <c r="AH74" s="138"/>
      <c r="AI74" s="138"/>
      <c r="AJ74" s="138"/>
      <c r="AK74" s="138"/>
      <c r="AL74" s="138"/>
      <c r="AM74" s="138"/>
      <c r="AN74" s="138"/>
      <c r="AO74" s="138"/>
      <c r="AP74" s="138"/>
      <c r="AQ74" s="138"/>
      <c r="AR74" s="138"/>
      <c r="AS74" s="138"/>
      <c r="AT74" s="138"/>
      <c r="AU74" s="138"/>
      <c r="AV74" s="138"/>
      <c r="AW74" s="138"/>
      <c r="AX74" s="138"/>
      <c r="AY74" s="138"/>
      <c r="AZ74" s="138"/>
      <c r="BA74" s="138"/>
      <c r="BB74" s="138"/>
      <c r="BC74" s="138"/>
      <c r="BD74" s="138"/>
      <c r="BE74" s="138"/>
      <c r="BF74" s="138"/>
      <c r="BG74" s="138"/>
      <c r="BH74" s="138"/>
      <c r="BI74" s="138"/>
      <c r="BJ74" s="138"/>
      <c r="BK74" s="138"/>
      <c r="BL74" s="138"/>
      <c r="BM74" s="138"/>
      <c r="BN74" s="138"/>
      <c r="BO74" s="138"/>
      <c r="BP74" s="138"/>
      <c r="BQ74" s="138"/>
      <c r="BR74" s="138"/>
      <c r="BS74" s="138"/>
      <c r="BT74" s="138"/>
      <c r="BU74" s="138"/>
      <c r="BV74" s="138"/>
      <c r="BW74" s="138"/>
      <c r="BX74" s="138"/>
      <c r="BY74" s="138"/>
      <c r="BZ74" s="138"/>
      <c r="CA74" s="138"/>
      <c r="CB74" s="138"/>
      <c r="CC74" s="138"/>
      <c r="CD74" s="138"/>
      <c r="CE74" s="138"/>
      <c r="CF74" s="138"/>
      <c r="CG74" s="138"/>
      <c r="CH74" s="138"/>
      <c r="CI74" s="138"/>
      <c r="CJ74" s="138"/>
    </row>
    <row r="75" spans="1:88" s="662" customFormat="1" ht="12.75" customHeight="1">
      <c r="A75" s="117" t="s">
        <v>978</v>
      </c>
      <c r="B75" s="161">
        <f>B66-B71-B74</f>
        <v>-48128380</v>
      </c>
      <c r="C75" s="161">
        <f>C66-C71-C74</f>
        <v>-94690</v>
      </c>
      <c r="D75" s="161">
        <f>D66-D71-D74</f>
        <v>-28980128.599999994</v>
      </c>
      <c r="E75" s="161">
        <f>E66-E71-E74</f>
        <v>4.755422124734693</v>
      </c>
      <c r="F75" s="161">
        <f>F66-F71-F74</f>
        <v>5.25032358991497</v>
      </c>
      <c r="G75" s="161">
        <f>D75-'[5]Oktobris'!D75</f>
        <v>-1003871.7800000012</v>
      </c>
      <c r="H75" s="138"/>
      <c r="I75" s="117" t="s">
        <v>978</v>
      </c>
      <c r="J75" s="154">
        <f>ROUND(B75/1000,0)-1</f>
        <v>-48129</v>
      </c>
      <c r="K75" s="154">
        <f>ROUND(C75/1000,0)</f>
        <v>-95</v>
      </c>
      <c r="L75" s="154">
        <f>L66-L71-L74</f>
        <v>-28979</v>
      </c>
      <c r="M75" s="155">
        <f t="shared" si="36"/>
        <v>60.21109933719795</v>
      </c>
      <c r="N75" s="155"/>
      <c r="O75" s="154">
        <f>L75-'[5]Oktobris'!L75</f>
        <v>-1002</v>
      </c>
      <c r="P75" s="138"/>
      <c r="Q75" s="154">
        <v>-28986</v>
      </c>
      <c r="R75" s="154">
        <v>-27977</v>
      </c>
      <c r="S75" s="138">
        <f t="shared" si="40"/>
        <v>-1009</v>
      </c>
      <c r="T75" s="138"/>
      <c r="U75" s="138"/>
      <c r="V75" s="138"/>
      <c r="W75" s="138"/>
      <c r="X75" s="138"/>
      <c r="Y75" s="138"/>
      <c r="Z75" s="138"/>
      <c r="AA75" s="138"/>
      <c r="AB75" s="138"/>
      <c r="AC75" s="138"/>
      <c r="AD75" s="138"/>
      <c r="AE75" s="138"/>
      <c r="AF75" s="138"/>
      <c r="AG75" s="138"/>
      <c r="AH75" s="138"/>
      <c r="AI75" s="138"/>
      <c r="AJ75" s="138"/>
      <c r="AK75" s="138"/>
      <c r="AL75" s="138"/>
      <c r="AM75" s="138"/>
      <c r="AN75" s="138"/>
      <c r="AO75" s="138"/>
      <c r="AP75" s="138"/>
      <c r="AQ75" s="138"/>
      <c r="AR75" s="138"/>
      <c r="AS75" s="138"/>
      <c r="AT75" s="138"/>
      <c r="AU75" s="138"/>
      <c r="AV75" s="138"/>
      <c r="AW75" s="138"/>
      <c r="AX75" s="138"/>
      <c r="AY75" s="138"/>
      <c r="AZ75" s="138"/>
      <c r="BA75" s="138"/>
      <c r="BB75" s="138"/>
      <c r="BC75" s="138"/>
      <c r="BD75" s="138"/>
      <c r="BE75" s="138"/>
      <c r="BF75" s="138"/>
      <c r="BG75" s="138"/>
      <c r="BH75" s="138"/>
      <c r="BI75" s="138"/>
      <c r="BJ75" s="138"/>
      <c r="BK75" s="138"/>
      <c r="BL75" s="138"/>
      <c r="BM75" s="138"/>
      <c r="BN75" s="138"/>
      <c r="BO75" s="138"/>
      <c r="BP75" s="138"/>
      <c r="BQ75" s="138"/>
      <c r="BR75" s="138"/>
      <c r="BS75" s="138"/>
      <c r="BT75" s="138"/>
      <c r="BU75" s="138"/>
      <c r="BV75" s="138"/>
      <c r="BW75" s="138"/>
      <c r="BX75" s="138"/>
      <c r="BY75" s="138"/>
      <c r="BZ75" s="138"/>
      <c r="CA75" s="138"/>
      <c r="CB75" s="138"/>
      <c r="CC75" s="138"/>
      <c r="CD75" s="138"/>
      <c r="CE75" s="138"/>
      <c r="CF75" s="138"/>
      <c r="CG75" s="138"/>
      <c r="CH75" s="138"/>
      <c r="CI75" s="138"/>
      <c r="CJ75" s="138"/>
    </row>
    <row r="76" spans="1:88" s="662" customFormat="1" ht="12.75" customHeight="1">
      <c r="A76" s="157" t="s">
        <v>994</v>
      </c>
      <c r="B76" s="161"/>
      <c r="C76" s="161"/>
      <c r="D76" s="161"/>
      <c r="E76" s="161"/>
      <c r="F76" s="161"/>
      <c r="G76" s="161"/>
      <c r="H76" s="138"/>
      <c r="I76" s="157" t="s">
        <v>995</v>
      </c>
      <c r="J76" s="161"/>
      <c r="K76" s="161"/>
      <c r="L76" s="161"/>
      <c r="M76" s="155"/>
      <c r="N76" s="155"/>
      <c r="O76" s="161"/>
      <c r="P76" s="138"/>
      <c r="Q76" s="161"/>
      <c r="R76" s="161"/>
      <c r="S76" s="138">
        <f t="shared" si="40"/>
        <v>0</v>
      </c>
      <c r="T76" s="138"/>
      <c r="U76" s="138"/>
      <c r="V76" s="138"/>
      <c r="W76" s="138"/>
      <c r="X76" s="138"/>
      <c r="Y76" s="138"/>
      <c r="Z76" s="138"/>
      <c r="AA76" s="138"/>
      <c r="AB76" s="138"/>
      <c r="AC76" s="138"/>
      <c r="AD76" s="138"/>
      <c r="AE76" s="138"/>
      <c r="AF76" s="138"/>
      <c r="AG76" s="138"/>
      <c r="AH76" s="138"/>
      <c r="AI76" s="138"/>
      <c r="AJ76" s="138"/>
      <c r="AK76" s="138"/>
      <c r="AL76" s="138"/>
      <c r="AM76" s="138"/>
      <c r="AN76" s="138"/>
      <c r="AO76" s="138"/>
      <c r="AP76" s="138"/>
      <c r="AQ76" s="138"/>
      <c r="AR76" s="138"/>
      <c r="AS76" s="138"/>
      <c r="AT76" s="138"/>
      <c r="AU76" s="138"/>
      <c r="AV76" s="138"/>
      <c r="AW76" s="138"/>
      <c r="AX76" s="138"/>
      <c r="AY76" s="138"/>
      <c r="AZ76" s="138"/>
      <c r="BA76" s="138"/>
      <c r="BB76" s="138"/>
      <c r="BC76" s="138"/>
      <c r="BD76" s="138"/>
      <c r="BE76" s="138"/>
      <c r="BF76" s="138"/>
      <c r="BG76" s="138"/>
      <c r="BH76" s="138"/>
      <c r="BI76" s="138"/>
      <c r="BJ76" s="138"/>
      <c r="BK76" s="138"/>
      <c r="BL76" s="138"/>
      <c r="BM76" s="138"/>
      <c r="BN76" s="138"/>
      <c r="BO76" s="138"/>
      <c r="BP76" s="138"/>
      <c r="BQ76" s="138"/>
      <c r="BR76" s="138"/>
      <c r="BS76" s="138"/>
      <c r="BT76" s="138"/>
      <c r="BU76" s="138"/>
      <c r="BV76" s="138"/>
      <c r="BW76" s="138"/>
      <c r="BX76" s="138"/>
      <c r="BY76" s="138"/>
      <c r="BZ76" s="138"/>
      <c r="CA76" s="138"/>
      <c r="CB76" s="138"/>
      <c r="CC76" s="138"/>
      <c r="CD76" s="138"/>
      <c r="CE76" s="138"/>
      <c r="CF76" s="138"/>
      <c r="CG76" s="138"/>
      <c r="CH76" s="138"/>
      <c r="CI76" s="138"/>
      <c r="CJ76" s="138"/>
    </row>
    <row r="77" spans="1:88" s="662" customFormat="1" ht="12.75" customHeight="1">
      <c r="A77" s="151" t="s">
        <v>969</v>
      </c>
      <c r="B77" s="161">
        <f>SUM(B78:B80)</f>
        <v>89275597</v>
      </c>
      <c r="C77" s="163">
        <f>SUM(C78:C80)</f>
        <v>81544782</v>
      </c>
      <c r="D77" s="163">
        <f>SUM(D78:D80)</f>
        <v>78122028.66999999</v>
      </c>
      <c r="E77" s="147">
        <f aca="true" t="shared" si="41" ref="E77:E83">IF(ISERROR(D77/B77)," ",(D77/B77))*100</f>
        <v>87.50658779688698</v>
      </c>
      <c r="F77" s="147">
        <f aca="true" t="shared" si="42" ref="F77:F83">IF(ISERROR(D77/C77)," ",(D77/C77))*100</f>
        <v>95.80260901304511</v>
      </c>
      <c r="G77" s="163">
        <f>SUM(G78:G80)</f>
        <v>7498435.89</v>
      </c>
      <c r="H77" s="138"/>
      <c r="I77" s="151" t="s">
        <v>969</v>
      </c>
      <c r="J77" s="145">
        <f>J78+J79+J80</f>
        <v>89276</v>
      </c>
      <c r="K77" s="145">
        <f>K78+K79+K80</f>
        <v>81544</v>
      </c>
      <c r="L77" s="145">
        <f>L78+L79+L80</f>
        <v>78122</v>
      </c>
      <c r="M77" s="153">
        <f aca="true" t="shared" si="43" ref="M77:M83">L77/J77*100</f>
        <v>87.50616067028093</v>
      </c>
      <c r="N77" s="153">
        <f aca="true" t="shared" si="44" ref="N77:N83">L77/K77*100</f>
        <v>95.80349259295595</v>
      </c>
      <c r="O77" s="145">
        <f>SUM(O78:O80)</f>
        <v>7498</v>
      </c>
      <c r="P77" s="138"/>
      <c r="Q77" s="145">
        <v>78122</v>
      </c>
      <c r="R77" s="145">
        <v>70624</v>
      </c>
      <c r="S77" s="138">
        <f t="shared" si="40"/>
        <v>7498</v>
      </c>
      <c r="T77" s="138"/>
      <c r="U77" s="138"/>
      <c r="V77" s="138"/>
      <c r="W77" s="138"/>
      <c r="X77" s="138"/>
      <c r="Y77" s="138"/>
      <c r="Z77" s="138"/>
      <c r="AA77" s="138"/>
      <c r="AB77" s="138"/>
      <c r="AC77" s="138"/>
      <c r="AD77" s="138"/>
      <c r="AE77" s="138"/>
      <c r="AF77" s="138"/>
      <c r="AG77" s="138"/>
      <c r="AH77" s="138"/>
      <c r="AI77" s="138"/>
      <c r="AJ77" s="138"/>
      <c r="AK77" s="138"/>
      <c r="AL77" s="138"/>
      <c r="AM77" s="138"/>
      <c r="AN77" s="138"/>
      <c r="AO77" s="138"/>
      <c r="AP77" s="138"/>
      <c r="AQ77" s="138"/>
      <c r="AR77" s="138"/>
      <c r="AS77" s="138"/>
      <c r="AT77" s="138"/>
      <c r="AU77" s="138"/>
      <c r="AV77" s="138"/>
      <c r="AW77" s="138"/>
      <c r="AX77" s="138"/>
      <c r="AY77" s="138"/>
      <c r="AZ77" s="138"/>
      <c r="BA77" s="138"/>
      <c r="BB77" s="138"/>
      <c r="BC77" s="138"/>
      <c r="BD77" s="138"/>
      <c r="BE77" s="138"/>
      <c r="BF77" s="138"/>
      <c r="BG77" s="138"/>
      <c r="BH77" s="138"/>
      <c r="BI77" s="138"/>
      <c r="BJ77" s="138"/>
      <c r="BK77" s="138"/>
      <c r="BL77" s="138"/>
      <c r="BM77" s="138"/>
      <c r="BN77" s="138"/>
      <c r="BO77" s="138"/>
      <c r="BP77" s="138"/>
      <c r="BQ77" s="138"/>
      <c r="BR77" s="138"/>
      <c r="BS77" s="138"/>
      <c r="BT77" s="138"/>
      <c r="BU77" s="138"/>
      <c r="BV77" s="138"/>
      <c r="BW77" s="138"/>
      <c r="BX77" s="138"/>
      <c r="BY77" s="138"/>
      <c r="BZ77" s="138"/>
      <c r="CA77" s="138"/>
      <c r="CB77" s="138"/>
      <c r="CC77" s="138"/>
      <c r="CD77" s="138"/>
      <c r="CE77" s="138"/>
      <c r="CF77" s="138"/>
      <c r="CG77" s="138"/>
      <c r="CH77" s="138"/>
      <c r="CI77" s="138"/>
      <c r="CJ77" s="138"/>
    </row>
    <row r="78" spans="1:88" s="662" customFormat="1" ht="12.75" customHeight="1">
      <c r="A78" s="151" t="s">
        <v>970</v>
      </c>
      <c r="B78" s="161">
        <v>77608594</v>
      </c>
      <c r="C78" s="161">
        <v>70833382</v>
      </c>
      <c r="D78" s="161">
        <v>70833382</v>
      </c>
      <c r="E78" s="148">
        <f t="shared" si="41"/>
        <v>91.27002352342576</v>
      </c>
      <c r="F78" s="148">
        <f t="shared" si="42"/>
        <v>100</v>
      </c>
      <c r="G78" s="161">
        <f>D78-'[5]Oktobris'!D78</f>
        <v>6858309</v>
      </c>
      <c r="H78" s="138"/>
      <c r="I78" s="151" t="s">
        <v>970</v>
      </c>
      <c r="J78" s="154">
        <f>ROUND(B78/1000,0)</f>
        <v>77609</v>
      </c>
      <c r="K78" s="154">
        <f aca="true" t="shared" si="45" ref="K78:L80">ROUND(C78/1000,0)</f>
        <v>70833</v>
      </c>
      <c r="L78" s="154">
        <f t="shared" si="45"/>
        <v>70833</v>
      </c>
      <c r="M78" s="155">
        <f t="shared" si="43"/>
        <v>91.26905384684765</v>
      </c>
      <c r="N78" s="155">
        <f t="shared" si="44"/>
        <v>100</v>
      </c>
      <c r="O78" s="154">
        <f>L78-'[5]Oktobris'!L78</f>
        <v>6858</v>
      </c>
      <c r="P78" s="138"/>
      <c r="Q78" s="154">
        <v>70833</v>
      </c>
      <c r="R78" s="154">
        <v>63975</v>
      </c>
      <c r="S78" s="138">
        <f t="shared" si="40"/>
        <v>6858</v>
      </c>
      <c r="T78" s="138"/>
      <c r="U78" s="138"/>
      <c r="V78" s="138"/>
      <c r="W78" s="138"/>
      <c r="X78" s="138"/>
      <c r="Y78" s="138"/>
      <c r="Z78" s="138"/>
      <c r="AA78" s="138"/>
      <c r="AB78" s="138"/>
      <c r="AC78" s="138"/>
      <c r="AD78" s="138"/>
      <c r="AE78" s="138"/>
      <c r="AF78" s="138"/>
      <c r="AG78" s="138"/>
      <c r="AH78" s="138"/>
      <c r="AI78" s="138"/>
      <c r="AJ78" s="138"/>
      <c r="AK78" s="138"/>
      <c r="AL78" s="138"/>
      <c r="AM78" s="138"/>
      <c r="AN78" s="138"/>
      <c r="AO78" s="138"/>
      <c r="AP78" s="138"/>
      <c r="AQ78" s="138"/>
      <c r="AR78" s="138"/>
      <c r="AS78" s="138"/>
      <c r="AT78" s="138"/>
      <c r="AU78" s="138"/>
      <c r="AV78" s="138"/>
      <c r="AW78" s="138"/>
      <c r="AX78" s="138"/>
      <c r="AY78" s="138"/>
      <c r="AZ78" s="138"/>
      <c r="BA78" s="138"/>
      <c r="BB78" s="138"/>
      <c r="BC78" s="138"/>
      <c r="BD78" s="138"/>
      <c r="BE78" s="138"/>
      <c r="BF78" s="138"/>
      <c r="BG78" s="138"/>
      <c r="BH78" s="138"/>
      <c r="BI78" s="138"/>
      <c r="BJ78" s="138"/>
      <c r="BK78" s="138"/>
      <c r="BL78" s="138"/>
      <c r="BM78" s="138"/>
      <c r="BN78" s="138"/>
      <c r="BO78" s="138"/>
      <c r="BP78" s="138"/>
      <c r="BQ78" s="138"/>
      <c r="BR78" s="138"/>
      <c r="BS78" s="138"/>
      <c r="BT78" s="138"/>
      <c r="BU78" s="138"/>
      <c r="BV78" s="138"/>
      <c r="BW78" s="138"/>
      <c r="BX78" s="138"/>
      <c r="BY78" s="138"/>
      <c r="BZ78" s="138"/>
      <c r="CA78" s="138"/>
      <c r="CB78" s="138"/>
      <c r="CC78" s="138"/>
      <c r="CD78" s="138"/>
      <c r="CE78" s="138"/>
      <c r="CF78" s="138"/>
      <c r="CG78" s="138"/>
      <c r="CH78" s="138"/>
      <c r="CI78" s="138"/>
      <c r="CJ78" s="138"/>
    </row>
    <row r="79" spans="1:88" s="662" customFormat="1" ht="12.75" customHeight="1">
      <c r="A79" s="151" t="s">
        <v>972</v>
      </c>
      <c r="B79" s="161">
        <v>8164851</v>
      </c>
      <c r="C79" s="161">
        <v>7494255</v>
      </c>
      <c r="D79" s="161">
        <v>6147635.85</v>
      </c>
      <c r="E79" s="148">
        <f t="shared" si="41"/>
        <v>75.29391350803584</v>
      </c>
      <c r="F79" s="148">
        <f t="shared" si="42"/>
        <v>82.03131398651367</v>
      </c>
      <c r="G79" s="161">
        <f>D79-'[5]Oktobris'!D79</f>
        <v>512962.9199999999</v>
      </c>
      <c r="H79" s="138"/>
      <c r="I79" s="151" t="s">
        <v>972</v>
      </c>
      <c r="J79" s="154">
        <f>ROUND(B79/1000,0)</f>
        <v>8165</v>
      </c>
      <c r="K79" s="154">
        <f t="shared" si="45"/>
        <v>7494</v>
      </c>
      <c r="L79" s="154">
        <f>ROUND(D79/1000,0)</f>
        <v>6148</v>
      </c>
      <c r="M79" s="155">
        <f t="shared" si="43"/>
        <v>75.29699938763012</v>
      </c>
      <c r="N79" s="155">
        <f t="shared" si="44"/>
        <v>82.03896450493728</v>
      </c>
      <c r="O79" s="154">
        <f>L79-'[5]Oktobris'!L79</f>
        <v>513</v>
      </c>
      <c r="P79" s="138"/>
      <c r="Q79" s="154">
        <v>6148</v>
      </c>
      <c r="R79" s="154">
        <v>5635</v>
      </c>
      <c r="S79" s="138">
        <f t="shared" si="40"/>
        <v>513</v>
      </c>
      <c r="T79" s="138"/>
      <c r="U79" s="138"/>
      <c r="V79" s="138"/>
      <c r="W79" s="138"/>
      <c r="X79" s="138"/>
      <c r="Y79" s="138"/>
      <c r="Z79" s="138"/>
      <c r="AA79" s="138"/>
      <c r="AB79" s="138"/>
      <c r="AC79" s="138"/>
      <c r="AD79" s="138"/>
      <c r="AE79" s="138"/>
      <c r="AF79" s="138"/>
      <c r="AG79" s="138"/>
      <c r="AH79" s="138"/>
      <c r="AI79" s="138"/>
      <c r="AJ79" s="138"/>
      <c r="AK79" s="138"/>
      <c r="AL79" s="138"/>
      <c r="AM79" s="138"/>
      <c r="AN79" s="138"/>
      <c r="AO79" s="138"/>
      <c r="AP79" s="138"/>
      <c r="AQ79" s="138"/>
      <c r="AR79" s="138"/>
      <c r="AS79" s="138"/>
      <c r="AT79" s="138"/>
      <c r="AU79" s="138"/>
      <c r="AV79" s="138"/>
      <c r="AW79" s="138"/>
      <c r="AX79" s="138"/>
      <c r="AY79" s="138"/>
      <c r="AZ79" s="138"/>
      <c r="BA79" s="138"/>
      <c r="BB79" s="138"/>
      <c r="BC79" s="138"/>
      <c r="BD79" s="138"/>
      <c r="BE79" s="138"/>
      <c r="BF79" s="138"/>
      <c r="BG79" s="138"/>
      <c r="BH79" s="138"/>
      <c r="BI79" s="138"/>
      <c r="BJ79" s="138"/>
      <c r="BK79" s="138"/>
      <c r="BL79" s="138"/>
      <c r="BM79" s="138"/>
      <c r="BN79" s="138"/>
      <c r="BO79" s="138"/>
      <c r="BP79" s="138"/>
      <c r="BQ79" s="138"/>
      <c r="BR79" s="138"/>
      <c r="BS79" s="138"/>
      <c r="BT79" s="138"/>
      <c r="BU79" s="138"/>
      <c r="BV79" s="138"/>
      <c r="BW79" s="138"/>
      <c r="BX79" s="138"/>
      <c r="BY79" s="138"/>
      <c r="BZ79" s="138"/>
      <c r="CA79" s="138"/>
      <c r="CB79" s="138"/>
      <c r="CC79" s="138"/>
      <c r="CD79" s="138"/>
      <c r="CE79" s="138"/>
      <c r="CF79" s="138"/>
      <c r="CG79" s="138"/>
      <c r="CH79" s="138"/>
      <c r="CI79" s="138"/>
      <c r="CJ79" s="138"/>
    </row>
    <row r="80" spans="1:88" s="662" customFormat="1" ht="12.75" customHeight="1">
      <c r="A80" s="151" t="s">
        <v>973</v>
      </c>
      <c r="B80" s="161">
        <v>3502152</v>
      </c>
      <c r="C80" s="161">
        <v>3217145</v>
      </c>
      <c r="D80" s="161">
        <v>1141010.82</v>
      </c>
      <c r="E80" s="148">
        <f t="shared" si="41"/>
        <v>32.58027692687239</v>
      </c>
      <c r="F80" s="148">
        <f t="shared" si="42"/>
        <v>35.46656492013882</v>
      </c>
      <c r="G80" s="161">
        <f>D80-'[5]Oktobris'!D80</f>
        <v>127163.97000000009</v>
      </c>
      <c r="H80" s="138"/>
      <c r="I80" s="151" t="s">
        <v>973</v>
      </c>
      <c r="J80" s="154">
        <f>ROUND(B80/1000,0)</f>
        <v>3502</v>
      </c>
      <c r="K80" s="154">
        <f>ROUND(C80/1000,0)</f>
        <v>3217</v>
      </c>
      <c r="L80" s="154">
        <f t="shared" si="45"/>
        <v>1141</v>
      </c>
      <c r="M80" s="155">
        <f t="shared" si="43"/>
        <v>32.58138206739007</v>
      </c>
      <c r="N80" s="155">
        <f t="shared" si="44"/>
        <v>35.4678271681691</v>
      </c>
      <c r="O80" s="154">
        <f>L80-'[5]Oktobris'!L80</f>
        <v>127</v>
      </c>
      <c r="P80" s="138"/>
      <c r="Q80" s="154">
        <v>1141</v>
      </c>
      <c r="R80" s="154">
        <v>1014</v>
      </c>
      <c r="S80" s="138">
        <f t="shared" si="40"/>
        <v>127</v>
      </c>
      <c r="T80" s="138"/>
      <c r="U80" s="138"/>
      <c r="V80" s="138"/>
      <c r="W80" s="138"/>
      <c r="X80" s="138"/>
      <c r="Y80" s="138"/>
      <c r="Z80" s="138"/>
      <c r="AA80" s="138"/>
      <c r="AB80" s="138"/>
      <c r="AC80" s="138"/>
      <c r="AD80" s="138"/>
      <c r="AE80" s="138"/>
      <c r="AF80" s="138"/>
      <c r="AG80" s="138"/>
      <c r="AH80" s="138"/>
      <c r="AI80" s="138"/>
      <c r="AJ80" s="138"/>
      <c r="AK80" s="138"/>
      <c r="AL80" s="138"/>
      <c r="AM80" s="138"/>
      <c r="AN80" s="138"/>
      <c r="AO80" s="138"/>
      <c r="AP80" s="138"/>
      <c r="AQ80" s="138"/>
      <c r="AR80" s="138"/>
      <c r="AS80" s="138"/>
      <c r="AT80" s="138"/>
      <c r="AU80" s="138"/>
      <c r="AV80" s="138"/>
      <c r="AW80" s="138"/>
      <c r="AX80" s="138"/>
      <c r="AY80" s="138"/>
      <c r="AZ80" s="138"/>
      <c r="BA80" s="138"/>
      <c r="BB80" s="138"/>
      <c r="BC80" s="138"/>
      <c r="BD80" s="138"/>
      <c r="BE80" s="138"/>
      <c r="BF80" s="138"/>
      <c r="BG80" s="138"/>
      <c r="BH80" s="138"/>
      <c r="BI80" s="138"/>
      <c r="BJ80" s="138"/>
      <c r="BK80" s="138"/>
      <c r="BL80" s="138"/>
      <c r="BM80" s="138"/>
      <c r="BN80" s="138"/>
      <c r="BO80" s="138"/>
      <c r="BP80" s="138"/>
      <c r="BQ80" s="138"/>
      <c r="BR80" s="138"/>
      <c r="BS80" s="138"/>
      <c r="BT80" s="138"/>
      <c r="BU80" s="138"/>
      <c r="BV80" s="138"/>
      <c r="BW80" s="138"/>
      <c r="BX80" s="138"/>
      <c r="BY80" s="138"/>
      <c r="BZ80" s="138"/>
      <c r="CA80" s="138"/>
      <c r="CB80" s="138"/>
      <c r="CC80" s="138"/>
      <c r="CD80" s="138"/>
      <c r="CE80" s="138"/>
      <c r="CF80" s="138"/>
      <c r="CG80" s="138"/>
      <c r="CH80" s="138"/>
      <c r="CI80" s="138"/>
      <c r="CJ80" s="138"/>
    </row>
    <row r="81" spans="1:88" s="662" customFormat="1" ht="12.75" customHeight="1">
      <c r="A81" s="157" t="s">
        <v>974</v>
      </c>
      <c r="B81" s="163">
        <f>SUM(B82:B83)</f>
        <v>89275597</v>
      </c>
      <c r="C81" s="163">
        <f>SUM(C82:C83)</f>
        <v>81544782</v>
      </c>
      <c r="D81" s="163">
        <f>SUM(D82:D83)</f>
        <v>76639318.96</v>
      </c>
      <c r="E81" s="148">
        <f t="shared" si="41"/>
        <v>85.84576472784606</v>
      </c>
      <c r="F81" s="148">
        <f t="shared" si="42"/>
        <v>93.98433238806132</v>
      </c>
      <c r="G81" s="163">
        <f>SUM(G82:G83)</f>
        <v>7160790.23</v>
      </c>
      <c r="H81" s="138"/>
      <c r="I81" s="157" t="s">
        <v>974</v>
      </c>
      <c r="J81" s="145">
        <f>J82+J83</f>
        <v>89275</v>
      </c>
      <c r="K81" s="145">
        <f>K82+K83</f>
        <v>81544</v>
      </c>
      <c r="L81" s="145">
        <f>L82+L83</f>
        <v>76639</v>
      </c>
      <c r="M81" s="153">
        <f t="shared" si="43"/>
        <v>85.84598151778214</v>
      </c>
      <c r="N81" s="153">
        <f t="shared" si="44"/>
        <v>93.98484253899736</v>
      </c>
      <c r="O81" s="145">
        <f>SUM(O82:O83)</f>
        <v>7160</v>
      </c>
      <c r="P81" s="138"/>
      <c r="Q81" s="145">
        <v>76639</v>
      </c>
      <c r="R81" s="145">
        <v>69479</v>
      </c>
      <c r="S81" s="138">
        <f t="shared" si="40"/>
        <v>7160</v>
      </c>
      <c r="T81" s="138"/>
      <c r="U81" s="138"/>
      <c r="V81" s="138"/>
      <c r="W81" s="138"/>
      <c r="X81" s="138"/>
      <c r="Y81" s="138"/>
      <c r="Z81" s="138"/>
      <c r="AA81" s="138"/>
      <c r="AB81" s="138"/>
      <c r="AC81" s="138"/>
      <c r="AD81" s="138"/>
      <c r="AE81" s="138"/>
      <c r="AF81" s="138"/>
      <c r="AG81" s="138"/>
      <c r="AH81" s="138"/>
      <c r="AI81" s="138"/>
      <c r="AJ81" s="138"/>
      <c r="AK81" s="138"/>
      <c r="AL81" s="138"/>
      <c r="AM81" s="138"/>
      <c r="AN81" s="138"/>
      <c r="AO81" s="138"/>
      <c r="AP81" s="138"/>
      <c r="AQ81" s="138"/>
      <c r="AR81" s="138"/>
      <c r="AS81" s="138"/>
      <c r="AT81" s="138"/>
      <c r="AU81" s="138"/>
      <c r="AV81" s="138"/>
      <c r="AW81" s="138"/>
      <c r="AX81" s="138"/>
      <c r="AY81" s="138"/>
      <c r="AZ81" s="138"/>
      <c r="BA81" s="138"/>
      <c r="BB81" s="138"/>
      <c r="BC81" s="138"/>
      <c r="BD81" s="138"/>
      <c r="BE81" s="138"/>
      <c r="BF81" s="138"/>
      <c r="BG81" s="138"/>
      <c r="BH81" s="138"/>
      <c r="BI81" s="138"/>
      <c r="BJ81" s="138"/>
      <c r="BK81" s="138"/>
      <c r="BL81" s="138"/>
      <c r="BM81" s="138"/>
      <c r="BN81" s="138"/>
      <c r="BO81" s="138"/>
      <c r="BP81" s="138"/>
      <c r="BQ81" s="138"/>
      <c r="BR81" s="138"/>
      <c r="BS81" s="138"/>
      <c r="BT81" s="138"/>
      <c r="BU81" s="138"/>
      <c r="BV81" s="138"/>
      <c r="BW81" s="138"/>
      <c r="BX81" s="138"/>
      <c r="BY81" s="138"/>
      <c r="BZ81" s="138"/>
      <c r="CA81" s="138"/>
      <c r="CB81" s="138"/>
      <c r="CC81" s="138"/>
      <c r="CD81" s="138"/>
      <c r="CE81" s="138"/>
      <c r="CF81" s="138"/>
      <c r="CG81" s="138"/>
      <c r="CH81" s="138"/>
      <c r="CI81" s="138"/>
      <c r="CJ81" s="138"/>
    </row>
    <row r="82" spans="1:88" s="662" customFormat="1" ht="12.75" customHeight="1">
      <c r="A82" s="159" t="s">
        <v>975</v>
      </c>
      <c r="B82" s="161">
        <v>74757322</v>
      </c>
      <c r="C82" s="161">
        <v>68488121</v>
      </c>
      <c r="D82" s="161">
        <v>66931981.61</v>
      </c>
      <c r="E82" s="148">
        <f t="shared" si="41"/>
        <v>89.5323425443196</v>
      </c>
      <c r="F82" s="148">
        <f t="shared" si="42"/>
        <v>97.72786964034245</v>
      </c>
      <c r="G82" s="161">
        <f>D82-'[5]Oktobris'!D82</f>
        <v>6038178.5</v>
      </c>
      <c r="H82" s="138"/>
      <c r="I82" s="159" t="s">
        <v>975</v>
      </c>
      <c r="J82" s="154">
        <f aca="true" t="shared" si="46" ref="J82:L83">ROUND(B82/1000,0)</f>
        <v>74757</v>
      </c>
      <c r="K82" s="154">
        <f t="shared" si="46"/>
        <v>68488</v>
      </c>
      <c r="L82" s="154">
        <f t="shared" si="46"/>
        <v>66932</v>
      </c>
      <c r="M82" s="155">
        <f t="shared" si="43"/>
        <v>89.53275278569231</v>
      </c>
      <c r="N82" s="155">
        <f t="shared" si="44"/>
        <v>97.72806915080014</v>
      </c>
      <c r="O82" s="154">
        <f>L82-'[5]Oktobris'!L82</f>
        <v>6038</v>
      </c>
      <c r="P82" s="138"/>
      <c r="Q82" s="154">
        <v>66932</v>
      </c>
      <c r="R82" s="154">
        <v>60894</v>
      </c>
      <c r="S82" s="138">
        <f t="shared" si="40"/>
        <v>6038</v>
      </c>
      <c r="T82" s="138"/>
      <c r="U82" s="138"/>
      <c r="V82" s="138"/>
      <c r="W82" s="138"/>
      <c r="X82" s="138"/>
      <c r="Y82" s="138"/>
      <c r="Z82" s="138"/>
      <c r="AA82" s="138"/>
      <c r="AB82" s="138"/>
      <c r="AC82" s="138"/>
      <c r="AD82" s="138"/>
      <c r="AE82" s="138"/>
      <c r="AF82" s="138"/>
      <c r="AG82" s="138"/>
      <c r="AH82" s="138"/>
      <c r="AI82" s="138"/>
      <c r="AJ82" s="138"/>
      <c r="AK82" s="138"/>
      <c r="AL82" s="138"/>
      <c r="AM82" s="138"/>
      <c r="AN82" s="138"/>
      <c r="AO82" s="138"/>
      <c r="AP82" s="138"/>
      <c r="AQ82" s="138"/>
      <c r="AR82" s="138"/>
      <c r="AS82" s="138"/>
      <c r="AT82" s="138"/>
      <c r="AU82" s="138"/>
      <c r="AV82" s="138"/>
      <c r="AW82" s="138"/>
      <c r="AX82" s="138"/>
      <c r="AY82" s="138"/>
      <c r="AZ82" s="138"/>
      <c r="BA82" s="138"/>
      <c r="BB82" s="138"/>
      <c r="BC82" s="138"/>
      <c r="BD82" s="138"/>
      <c r="BE82" s="138"/>
      <c r="BF82" s="138"/>
      <c r="BG82" s="138"/>
      <c r="BH82" s="138"/>
      <c r="BI82" s="138"/>
      <c r="BJ82" s="138"/>
      <c r="BK82" s="138"/>
      <c r="BL82" s="138"/>
      <c r="BM82" s="138"/>
      <c r="BN82" s="138"/>
      <c r="BO82" s="138"/>
      <c r="BP82" s="138"/>
      <c r="BQ82" s="138"/>
      <c r="BR82" s="138"/>
      <c r="BS82" s="138"/>
      <c r="BT82" s="138"/>
      <c r="BU82" s="138"/>
      <c r="BV82" s="138"/>
      <c r="BW82" s="138"/>
      <c r="BX82" s="138"/>
      <c r="BY82" s="138"/>
      <c r="BZ82" s="138"/>
      <c r="CA82" s="138"/>
      <c r="CB82" s="138"/>
      <c r="CC82" s="138"/>
      <c r="CD82" s="138"/>
      <c r="CE82" s="138"/>
      <c r="CF82" s="138"/>
      <c r="CG82" s="138"/>
      <c r="CH82" s="138"/>
      <c r="CI82" s="138"/>
      <c r="CJ82" s="138"/>
    </row>
    <row r="83" spans="1:88" s="662" customFormat="1" ht="12.75" customHeight="1">
      <c r="A83" s="159" t="s">
        <v>976</v>
      </c>
      <c r="B83" s="161">
        <v>14518275</v>
      </c>
      <c r="C83" s="161">
        <v>13056661</v>
      </c>
      <c r="D83" s="161">
        <v>9707337.35</v>
      </c>
      <c r="E83" s="148">
        <f t="shared" si="41"/>
        <v>66.86288384811556</v>
      </c>
      <c r="F83" s="148">
        <f t="shared" si="42"/>
        <v>74.34777811877018</v>
      </c>
      <c r="G83" s="161">
        <f>D83-'[5]Oktobris'!D83</f>
        <v>1122611.7300000004</v>
      </c>
      <c r="H83" s="138"/>
      <c r="I83" s="159" t="s">
        <v>976</v>
      </c>
      <c r="J83" s="154">
        <f t="shared" si="46"/>
        <v>14518</v>
      </c>
      <c r="K83" s="154">
        <f>ROUND(C83/1000,0)-1</f>
        <v>13056</v>
      </c>
      <c r="L83" s="154">
        <f t="shared" si="46"/>
        <v>9707</v>
      </c>
      <c r="M83" s="155">
        <f t="shared" si="43"/>
        <v>66.86182669789227</v>
      </c>
      <c r="N83" s="155">
        <f t="shared" si="44"/>
        <v>74.34895833333334</v>
      </c>
      <c r="O83" s="154">
        <f>L83-'[5]Oktobris'!L83</f>
        <v>1122</v>
      </c>
      <c r="P83" s="138"/>
      <c r="Q83" s="154">
        <v>9707</v>
      </c>
      <c r="R83" s="154">
        <v>8585</v>
      </c>
      <c r="S83" s="138">
        <f t="shared" si="40"/>
        <v>1122</v>
      </c>
      <c r="T83" s="138"/>
      <c r="U83" s="138"/>
      <c r="V83" s="138"/>
      <c r="W83" s="138"/>
      <c r="X83" s="138"/>
      <c r="Y83" s="138"/>
      <c r="Z83" s="138"/>
      <c r="AA83" s="138"/>
      <c r="AB83" s="138"/>
      <c r="AC83" s="138"/>
      <c r="AD83" s="138"/>
      <c r="AE83" s="138"/>
      <c r="AF83" s="138"/>
      <c r="AG83" s="138"/>
      <c r="AH83" s="138"/>
      <c r="AI83" s="138"/>
      <c r="AJ83" s="138"/>
      <c r="AK83" s="138"/>
      <c r="AL83" s="138"/>
      <c r="AM83" s="138"/>
      <c r="AN83" s="138"/>
      <c r="AO83" s="138"/>
      <c r="AP83" s="138"/>
      <c r="AQ83" s="138"/>
      <c r="AR83" s="138"/>
      <c r="AS83" s="138"/>
      <c r="AT83" s="138"/>
      <c r="AU83" s="138"/>
      <c r="AV83" s="138"/>
      <c r="AW83" s="138"/>
      <c r="AX83" s="138"/>
      <c r="AY83" s="138"/>
      <c r="AZ83" s="138"/>
      <c r="BA83" s="138"/>
      <c r="BB83" s="138"/>
      <c r="BC83" s="138"/>
      <c r="BD83" s="138"/>
      <c r="BE83" s="138"/>
      <c r="BF83" s="138"/>
      <c r="BG83" s="138"/>
      <c r="BH83" s="138"/>
      <c r="BI83" s="138"/>
      <c r="BJ83" s="138"/>
      <c r="BK83" s="138"/>
      <c r="BL83" s="138"/>
      <c r="BM83" s="138"/>
      <c r="BN83" s="138"/>
      <c r="BO83" s="138"/>
      <c r="BP83" s="138"/>
      <c r="BQ83" s="138"/>
      <c r="BR83" s="138"/>
      <c r="BS83" s="138"/>
      <c r="BT83" s="138"/>
      <c r="BU83" s="138"/>
      <c r="BV83" s="138"/>
      <c r="BW83" s="138"/>
      <c r="BX83" s="138"/>
      <c r="BY83" s="138"/>
      <c r="BZ83" s="138"/>
      <c r="CA83" s="138"/>
      <c r="CB83" s="138"/>
      <c r="CC83" s="138"/>
      <c r="CD83" s="138"/>
      <c r="CE83" s="138"/>
      <c r="CF83" s="138"/>
      <c r="CG83" s="138"/>
      <c r="CH83" s="138"/>
      <c r="CI83" s="138"/>
      <c r="CJ83" s="138"/>
    </row>
    <row r="84" spans="1:88" s="662" customFormat="1" ht="12.75" customHeight="1">
      <c r="A84" s="162" t="s">
        <v>996</v>
      </c>
      <c r="B84" s="161"/>
      <c r="C84" s="161"/>
      <c r="D84" s="161"/>
      <c r="E84" s="148"/>
      <c r="F84" s="161"/>
      <c r="G84" s="161"/>
      <c r="H84" s="138"/>
      <c r="I84" s="162" t="s">
        <v>997</v>
      </c>
      <c r="J84" s="161"/>
      <c r="K84" s="161"/>
      <c r="L84" s="161"/>
      <c r="M84" s="155"/>
      <c r="N84" s="155"/>
      <c r="O84" s="161"/>
      <c r="P84" s="138"/>
      <c r="Q84" s="161"/>
      <c r="R84" s="161"/>
      <c r="S84" s="138">
        <f t="shared" si="40"/>
        <v>0</v>
      </c>
      <c r="T84" s="138"/>
      <c r="U84" s="138"/>
      <c r="V84" s="138"/>
      <c r="W84" s="138"/>
      <c r="X84" s="138"/>
      <c r="Y84" s="138"/>
      <c r="Z84" s="138"/>
      <c r="AA84" s="138"/>
      <c r="AB84" s="138"/>
      <c r="AC84" s="138"/>
      <c r="AD84" s="138"/>
      <c r="AE84" s="138"/>
      <c r="AF84" s="138"/>
      <c r="AG84" s="138"/>
      <c r="AH84" s="138"/>
      <c r="AI84" s="138"/>
      <c r="AJ84" s="138"/>
      <c r="AK84" s="138"/>
      <c r="AL84" s="138"/>
      <c r="AM84" s="138"/>
      <c r="AN84" s="138"/>
      <c r="AO84" s="138"/>
      <c r="AP84" s="138"/>
      <c r="AQ84" s="138"/>
      <c r="AR84" s="138"/>
      <c r="AS84" s="138"/>
      <c r="AT84" s="138"/>
      <c r="AU84" s="138"/>
      <c r="AV84" s="138"/>
      <c r="AW84" s="138"/>
      <c r="AX84" s="138"/>
      <c r="AY84" s="138"/>
      <c r="AZ84" s="138"/>
      <c r="BA84" s="138"/>
      <c r="BB84" s="138"/>
      <c r="BC84" s="138"/>
      <c r="BD84" s="138"/>
      <c r="BE84" s="138"/>
      <c r="BF84" s="138"/>
      <c r="BG84" s="138"/>
      <c r="BH84" s="138"/>
      <c r="BI84" s="138"/>
      <c r="BJ84" s="138"/>
      <c r="BK84" s="138"/>
      <c r="BL84" s="138"/>
      <c r="BM84" s="138"/>
      <c r="BN84" s="138"/>
      <c r="BO84" s="138"/>
      <c r="BP84" s="138"/>
      <c r="BQ84" s="138"/>
      <c r="BR84" s="138"/>
      <c r="BS84" s="138"/>
      <c r="BT84" s="138"/>
      <c r="BU84" s="138"/>
      <c r="BV84" s="138"/>
      <c r="BW84" s="138"/>
      <c r="BX84" s="138"/>
      <c r="BY84" s="138"/>
      <c r="BZ84" s="138"/>
      <c r="CA84" s="138"/>
      <c r="CB84" s="138"/>
      <c r="CC84" s="138"/>
      <c r="CD84" s="138"/>
      <c r="CE84" s="138"/>
      <c r="CF84" s="138"/>
      <c r="CG84" s="138"/>
      <c r="CH84" s="138"/>
      <c r="CI84" s="138"/>
      <c r="CJ84" s="138"/>
    </row>
    <row r="85" spans="1:88" s="662" customFormat="1" ht="12.75" customHeight="1">
      <c r="A85" s="151" t="s">
        <v>969</v>
      </c>
      <c r="B85" s="161">
        <f>SUM(B86:B89)</f>
        <v>81833984</v>
      </c>
      <c r="C85" s="163">
        <f>SUM(C86:C89)</f>
        <v>75505523</v>
      </c>
      <c r="D85" s="163">
        <f>SUM(D86:D89)</f>
        <v>75022314.85000001</v>
      </c>
      <c r="E85" s="147">
        <f aca="true" t="shared" si="47" ref="E85:E92">IF(ISERROR(D85/B85)," ",(D85/B85))*100</f>
        <v>91.67623422806838</v>
      </c>
      <c r="F85" s="147">
        <f aca="true" t="shared" si="48" ref="F85:F92">IF(ISERROR(D85/C85)," ",(D85/C85))*100</f>
        <v>99.36003602014651</v>
      </c>
      <c r="G85" s="163">
        <f>SUM(G86:G89)</f>
        <v>6051640.649999999</v>
      </c>
      <c r="H85" s="138"/>
      <c r="I85" s="151" t="s">
        <v>969</v>
      </c>
      <c r="J85" s="145">
        <f>J86+J87+J88+J89</f>
        <v>81834</v>
      </c>
      <c r="K85" s="145">
        <f>K86+K87+K88+K89</f>
        <v>75506</v>
      </c>
      <c r="L85" s="145">
        <f>L86+L87+L88+L89</f>
        <v>75022</v>
      </c>
      <c r="M85" s="153">
        <f aca="true" t="shared" si="49" ref="M85:M92">L85/J85*100</f>
        <v>91.67583156145366</v>
      </c>
      <c r="N85" s="153">
        <f aca="true" t="shared" si="50" ref="N85:N92">L85/K85*100</f>
        <v>99.35899133843668</v>
      </c>
      <c r="O85" s="145">
        <f>SUM(O86:O89)</f>
        <v>6052</v>
      </c>
      <c r="P85" s="138"/>
      <c r="Q85" s="145">
        <v>75022</v>
      </c>
      <c r="R85" s="145">
        <v>68970</v>
      </c>
      <c r="S85" s="138">
        <f t="shared" si="40"/>
        <v>6052</v>
      </c>
      <c r="T85" s="138"/>
      <c r="U85" s="138"/>
      <c r="V85" s="138"/>
      <c r="W85" s="138"/>
      <c r="X85" s="138"/>
      <c r="Y85" s="138"/>
      <c r="Z85" s="138"/>
      <c r="AA85" s="138"/>
      <c r="AB85" s="138"/>
      <c r="AC85" s="138"/>
      <c r="AD85" s="138"/>
      <c r="AE85" s="138"/>
      <c r="AF85" s="138"/>
      <c r="AG85" s="138"/>
      <c r="AH85" s="138"/>
      <c r="AI85" s="138"/>
      <c r="AJ85" s="138"/>
      <c r="AK85" s="138"/>
      <c r="AL85" s="138"/>
      <c r="AM85" s="138"/>
      <c r="AN85" s="138"/>
      <c r="AO85" s="138"/>
      <c r="AP85" s="138"/>
      <c r="AQ85" s="138"/>
      <c r="AR85" s="138"/>
      <c r="AS85" s="138"/>
      <c r="AT85" s="138"/>
      <c r="AU85" s="138"/>
      <c r="AV85" s="138"/>
      <c r="AW85" s="138"/>
      <c r="AX85" s="138"/>
      <c r="AY85" s="138"/>
      <c r="AZ85" s="138"/>
      <c r="BA85" s="138"/>
      <c r="BB85" s="138"/>
      <c r="BC85" s="138"/>
      <c r="BD85" s="138"/>
      <c r="BE85" s="138"/>
      <c r="BF85" s="138"/>
      <c r="BG85" s="138"/>
      <c r="BH85" s="138"/>
      <c r="BI85" s="138"/>
      <c r="BJ85" s="138"/>
      <c r="BK85" s="138"/>
      <c r="BL85" s="138"/>
      <c r="BM85" s="138"/>
      <c r="BN85" s="138"/>
      <c r="BO85" s="138"/>
      <c r="BP85" s="138"/>
      <c r="BQ85" s="138"/>
      <c r="BR85" s="138"/>
      <c r="BS85" s="138"/>
      <c r="BT85" s="138"/>
      <c r="BU85" s="138"/>
      <c r="BV85" s="138"/>
      <c r="BW85" s="138"/>
      <c r="BX85" s="138"/>
      <c r="BY85" s="138"/>
      <c r="BZ85" s="138"/>
      <c r="CA85" s="138"/>
      <c r="CB85" s="138"/>
      <c r="CC85" s="138"/>
      <c r="CD85" s="138"/>
      <c r="CE85" s="138"/>
      <c r="CF85" s="138"/>
      <c r="CG85" s="138"/>
      <c r="CH85" s="138"/>
      <c r="CI85" s="138"/>
      <c r="CJ85" s="138"/>
    </row>
    <row r="86" spans="1:88" s="662" customFormat="1" ht="12.75" customHeight="1">
      <c r="A86" s="151" t="s">
        <v>970</v>
      </c>
      <c r="B86" s="161">
        <v>54546699</v>
      </c>
      <c r="C86" s="161">
        <v>50142200</v>
      </c>
      <c r="D86" s="161">
        <v>50142200</v>
      </c>
      <c r="E86" s="148">
        <f>IF(ISERROR(D86/B86)," ",(D86/B86))*100</f>
        <v>91.92526939164549</v>
      </c>
      <c r="F86" s="148">
        <f>IF(ISERROR(D86/C86)," ",(D86/C86))*100</f>
        <v>100</v>
      </c>
      <c r="G86" s="161">
        <f>D86-'[5]Oktobris'!D86</f>
        <v>4360791</v>
      </c>
      <c r="H86" s="138"/>
      <c r="I86" s="151" t="s">
        <v>970</v>
      </c>
      <c r="J86" s="154">
        <f aca="true" t="shared" si="51" ref="J86:K88">ROUND(B86/1000,0)</f>
        <v>54547</v>
      </c>
      <c r="K86" s="154">
        <f>ROUND(C86/1000,0)</f>
        <v>50142</v>
      </c>
      <c r="L86" s="154">
        <f>ROUND(D86/1000,0)</f>
        <v>50142</v>
      </c>
      <c r="M86" s="155">
        <f t="shared" si="49"/>
        <v>91.92439547546152</v>
      </c>
      <c r="N86" s="155">
        <f t="shared" si="50"/>
        <v>100</v>
      </c>
      <c r="O86" s="154">
        <f>L86-'[5]Oktobris'!L86</f>
        <v>4361</v>
      </c>
      <c r="P86" s="138"/>
      <c r="Q86" s="154">
        <v>50142</v>
      </c>
      <c r="R86" s="154">
        <v>45781</v>
      </c>
      <c r="S86" s="138">
        <f t="shared" si="40"/>
        <v>4361</v>
      </c>
      <c r="T86" s="138"/>
      <c r="U86" s="138"/>
      <c r="V86" s="138"/>
      <c r="W86" s="138"/>
      <c r="X86" s="138"/>
      <c r="Y86" s="138"/>
      <c r="Z86" s="138"/>
      <c r="AA86" s="138"/>
      <c r="AB86" s="138"/>
      <c r="AC86" s="138"/>
      <c r="AD86" s="138"/>
      <c r="AE86" s="138"/>
      <c r="AF86" s="138"/>
      <c r="AG86" s="138"/>
      <c r="AH86" s="138"/>
      <c r="AI86" s="138"/>
      <c r="AJ86" s="138"/>
      <c r="AK86" s="138"/>
      <c r="AL86" s="138"/>
      <c r="AM86" s="138"/>
      <c r="AN86" s="138"/>
      <c r="AO86" s="138"/>
      <c r="AP86" s="138"/>
      <c r="AQ86" s="138"/>
      <c r="AR86" s="138"/>
      <c r="AS86" s="138"/>
      <c r="AT86" s="138"/>
      <c r="AU86" s="138"/>
      <c r="AV86" s="138"/>
      <c r="AW86" s="138"/>
      <c r="AX86" s="138"/>
      <c r="AY86" s="138"/>
      <c r="AZ86" s="138"/>
      <c r="BA86" s="138"/>
      <c r="BB86" s="138"/>
      <c r="BC86" s="138"/>
      <c r="BD86" s="138"/>
      <c r="BE86" s="138"/>
      <c r="BF86" s="138"/>
      <c r="BG86" s="138"/>
      <c r="BH86" s="138"/>
      <c r="BI86" s="138"/>
      <c r="BJ86" s="138"/>
      <c r="BK86" s="138"/>
      <c r="BL86" s="138"/>
      <c r="BM86" s="138"/>
      <c r="BN86" s="138"/>
      <c r="BO86" s="138"/>
      <c r="BP86" s="138"/>
      <c r="BQ86" s="138"/>
      <c r="BR86" s="138"/>
      <c r="BS86" s="138"/>
      <c r="BT86" s="138"/>
      <c r="BU86" s="138"/>
      <c r="BV86" s="138"/>
      <c r="BW86" s="138"/>
      <c r="BX86" s="138"/>
      <c r="BY86" s="138"/>
      <c r="BZ86" s="138"/>
      <c r="CA86" s="138"/>
      <c r="CB86" s="138"/>
      <c r="CC86" s="138"/>
      <c r="CD86" s="138"/>
      <c r="CE86" s="138"/>
      <c r="CF86" s="138"/>
      <c r="CG86" s="138"/>
      <c r="CH86" s="138"/>
      <c r="CI86" s="138"/>
      <c r="CJ86" s="138"/>
    </row>
    <row r="87" spans="1:88" s="662" customFormat="1" ht="12.75" customHeight="1">
      <c r="A87" s="151" t="s">
        <v>971</v>
      </c>
      <c r="B87" s="161">
        <v>2311000</v>
      </c>
      <c r="C87" s="161">
        <v>2218700</v>
      </c>
      <c r="D87" s="161">
        <v>1619788.12</v>
      </c>
      <c r="E87" s="148">
        <f t="shared" si="47"/>
        <v>70.09035569017742</v>
      </c>
      <c r="F87" s="148">
        <f t="shared" si="48"/>
        <v>73.00618019561004</v>
      </c>
      <c r="G87" s="161">
        <f>D87-'[5]Oktobris'!D87</f>
        <v>172312.6100000001</v>
      </c>
      <c r="H87" s="138"/>
      <c r="I87" s="151" t="s">
        <v>971</v>
      </c>
      <c r="J87" s="154">
        <f t="shared" si="51"/>
        <v>2311</v>
      </c>
      <c r="K87" s="154">
        <f t="shared" si="51"/>
        <v>2219</v>
      </c>
      <c r="L87" s="154">
        <f>ROUND(D87/1000,0)</f>
        <v>1620</v>
      </c>
      <c r="M87" s="155">
        <f t="shared" si="49"/>
        <v>70.09952401557767</v>
      </c>
      <c r="N87" s="155">
        <f t="shared" si="50"/>
        <v>73.00585849481749</v>
      </c>
      <c r="O87" s="154">
        <f>L87-'[5]Oktobris'!L87</f>
        <v>173</v>
      </c>
      <c r="P87" s="138"/>
      <c r="Q87" s="154">
        <v>1620</v>
      </c>
      <c r="R87" s="154">
        <v>1447</v>
      </c>
      <c r="S87" s="138">
        <f t="shared" si="40"/>
        <v>173</v>
      </c>
      <c r="T87" s="138"/>
      <c r="U87" s="138"/>
      <c r="V87" s="138"/>
      <c r="W87" s="138"/>
      <c r="X87" s="138"/>
      <c r="Y87" s="138"/>
      <c r="Z87" s="138"/>
      <c r="AA87" s="138"/>
      <c r="AB87" s="138"/>
      <c r="AC87" s="138"/>
      <c r="AD87" s="138"/>
      <c r="AE87" s="138"/>
      <c r="AF87" s="138"/>
      <c r="AG87" s="138"/>
      <c r="AH87" s="138"/>
      <c r="AI87" s="138"/>
      <c r="AJ87" s="138"/>
      <c r="AK87" s="138"/>
      <c r="AL87" s="138"/>
      <c r="AM87" s="138"/>
      <c r="AN87" s="138"/>
      <c r="AO87" s="138"/>
      <c r="AP87" s="138"/>
      <c r="AQ87" s="138"/>
      <c r="AR87" s="138"/>
      <c r="AS87" s="138"/>
      <c r="AT87" s="138"/>
      <c r="AU87" s="138"/>
      <c r="AV87" s="138"/>
      <c r="AW87" s="138"/>
      <c r="AX87" s="138"/>
      <c r="AY87" s="138"/>
      <c r="AZ87" s="138"/>
      <c r="BA87" s="138"/>
      <c r="BB87" s="138"/>
      <c r="BC87" s="138"/>
      <c r="BD87" s="138"/>
      <c r="BE87" s="138"/>
      <c r="BF87" s="138"/>
      <c r="BG87" s="138"/>
      <c r="BH87" s="138"/>
      <c r="BI87" s="138"/>
      <c r="BJ87" s="138"/>
      <c r="BK87" s="138"/>
      <c r="BL87" s="138"/>
      <c r="BM87" s="138"/>
      <c r="BN87" s="138"/>
      <c r="BO87" s="138"/>
      <c r="BP87" s="138"/>
      <c r="BQ87" s="138"/>
      <c r="BR87" s="138"/>
      <c r="BS87" s="138"/>
      <c r="BT87" s="138"/>
      <c r="BU87" s="138"/>
      <c r="BV87" s="138"/>
      <c r="BW87" s="138"/>
      <c r="BX87" s="138"/>
      <c r="BY87" s="138"/>
      <c r="BZ87" s="138"/>
      <c r="CA87" s="138"/>
      <c r="CB87" s="138"/>
      <c r="CC87" s="138"/>
      <c r="CD87" s="138"/>
      <c r="CE87" s="138"/>
      <c r="CF87" s="138"/>
      <c r="CG87" s="138"/>
      <c r="CH87" s="138"/>
      <c r="CI87" s="138"/>
      <c r="CJ87" s="138"/>
    </row>
    <row r="88" spans="1:88" s="662" customFormat="1" ht="12.75" customHeight="1">
      <c r="A88" s="151" t="s">
        <v>972</v>
      </c>
      <c r="B88" s="161">
        <v>21683396</v>
      </c>
      <c r="C88" s="161">
        <v>19851734</v>
      </c>
      <c r="D88" s="161">
        <v>20539227</v>
      </c>
      <c r="E88" s="148">
        <f t="shared" si="47"/>
        <v>94.72329426626715</v>
      </c>
      <c r="F88" s="148">
        <f t="shared" si="48"/>
        <v>103.46313828303362</v>
      </c>
      <c r="G88" s="161">
        <f>D88-'[5]Oktobris'!D88</f>
        <v>1378219.1999999993</v>
      </c>
      <c r="H88" s="138"/>
      <c r="I88" s="151" t="s">
        <v>972</v>
      </c>
      <c r="J88" s="154">
        <f t="shared" si="51"/>
        <v>21683</v>
      </c>
      <c r="K88" s="154">
        <f t="shared" si="51"/>
        <v>19852</v>
      </c>
      <c r="L88" s="154">
        <f>ROUND(D88/1000,0)</f>
        <v>20539</v>
      </c>
      <c r="M88" s="155">
        <f t="shared" si="49"/>
        <v>94.7239773094129</v>
      </c>
      <c r="N88" s="155">
        <f t="shared" si="50"/>
        <v>103.46060850292163</v>
      </c>
      <c r="O88" s="154">
        <f>L88-'[5]Oktobris'!L88</f>
        <v>1378</v>
      </c>
      <c r="P88" s="138"/>
      <c r="Q88" s="154">
        <v>20539</v>
      </c>
      <c r="R88" s="154">
        <v>19161</v>
      </c>
      <c r="S88" s="138">
        <f t="shared" si="40"/>
        <v>1378</v>
      </c>
      <c r="T88" s="138"/>
      <c r="U88" s="138"/>
      <c r="V88" s="138"/>
      <c r="W88" s="138"/>
      <c r="X88" s="138"/>
      <c r="Y88" s="138"/>
      <c r="Z88" s="138"/>
      <c r="AA88" s="138"/>
      <c r="AB88" s="138"/>
      <c r="AC88" s="138"/>
      <c r="AD88" s="138"/>
      <c r="AE88" s="138"/>
      <c r="AF88" s="138"/>
      <c r="AG88" s="138"/>
      <c r="AH88" s="138"/>
      <c r="AI88" s="138"/>
      <c r="AJ88" s="138"/>
      <c r="AK88" s="138"/>
      <c r="AL88" s="138"/>
      <c r="AM88" s="138"/>
      <c r="AN88" s="138"/>
      <c r="AO88" s="138"/>
      <c r="AP88" s="138"/>
      <c r="AQ88" s="138"/>
      <c r="AR88" s="138"/>
      <c r="AS88" s="138"/>
      <c r="AT88" s="138"/>
      <c r="AU88" s="138"/>
      <c r="AV88" s="138"/>
      <c r="AW88" s="138"/>
      <c r="AX88" s="138"/>
      <c r="AY88" s="138"/>
      <c r="AZ88" s="138"/>
      <c r="BA88" s="138"/>
      <c r="BB88" s="138"/>
      <c r="BC88" s="138"/>
      <c r="BD88" s="138"/>
      <c r="BE88" s="138"/>
      <c r="BF88" s="138"/>
      <c r="BG88" s="138"/>
      <c r="BH88" s="138"/>
      <c r="BI88" s="138"/>
      <c r="BJ88" s="138"/>
      <c r="BK88" s="138"/>
      <c r="BL88" s="138"/>
      <c r="BM88" s="138"/>
      <c r="BN88" s="138"/>
      <c r="BO88" s="138"/>
      <c r="BP88" s="138"/>
      <c r="BQ88" s="138"/>
      <c r="BR88" s="138"/>
      <c r="BS88" s="138"/>
      <c r="BT88" s="138"/>
      <c r="BU88" s="138"/>
      <c r="BV88" s="138"/>
      <c r="BW88" s="138"/>
      <c r="BX88" s="138"/>
      <c r="BY88" s="138"/>
      <c r="BZ88" s="138"/>
      <c r="CA88" s="138"/>
      <c r="CB88" s="138"/>
      <c r="CC88" s="138"/>
      <c r="CD88" s="138"/>
      <c r="CE88" s="138"/>
      <c r="CF88" s="138"/>
      <c r="CG88" s="138"/>
      <c r="CH88" s="138"/>
      <c r="CI88" s="138"/>
      <c r="CJ88" s="138"/>
    </row>
    <row r="89" spans="1:88" s="662" customFormat="1" ht="12.75" customHeight="1">
      <c r="A89" s="151" t="s">
        <v>973</v>
      </c>
      <c r="B89" s="161">
        <v>3292889</v>
      </c>
      <c r="C89" s="161">
        <v>3292889</v>
      </c>
      <c r="D89" s="161">
        <v>2721099.73</v>
      </c>
      <c r="E89" s="148">
        <f t="shared" si="47"/>
        <v>82.63563484830495</v>
      </c>
      <c r="F89" s="148">
        <f t="shared" si="48"/>
        <v>82.63563484830495</v>
      </c>
      <c r="G89" s="161">
        <f>D89-'[5]Oktobris'!D89</f>
        <v>140317.83999999985</v>
      </c>
      <c r="H89" s="138"/>
      <c r="I89" s="151" t="s">
        <v>973</v>
      </c>
      <c r="J89" s="154">
        <f>ROUND(B89/1000,0)</f>
        <v>3293</v>
      </c>
      <c r="K89" s="154">
        <f>ROUND(C89/1000,0)</f>
        <v>3293</v>
      </c>
      <c r="L89" s="154">
        <f>ROUND(D89/1000,0)</f>
        <v>2721</v>
      </c>
      <c r="M89" s="155">
        <f t="shared" si="49"/>
        <v>82.62982083206802</v>
      </c>
      <c r="N89" s="155">
        <f t="shared" si="50"/>
        <v>82.62982083206802</v>
      </c>
      <c r="O89" s="154">
        <f>L89-'[5]Oktobris'!L89</f>
        <v>140</v>
      </c>
      <c r="P89" s="138"/>
      <c r="Q89" s="154">
        <v>2721</v>
      </c>
      <c r="R89" s="154">
        <v>2581</v>
      </c>
      <c r="S89" s="138">
        <f t="shared" si="40"/>
        <v>140</v>
      </c>
      <c r="T89" s="138"/>
      <c r="U89" s="138"/>
      <c r="V89" s="138"/>
      <c r="W89" s="138"/>
      <c r="X89" s="138"/>
      <c r="Y89" s="138"/>
      <c r="Z89" s="138"/>
      <c r="AA89" s="138"/>
      <c r="AB89" s="138"/>
      <c r="AC89" s="138"/>
      <c r="AD89" s="138"/>
      <c r="AE89" s="138"/>
      <c r="AF89" s="138"/>
      <c r="AG89" s="138"/>
      <c r="AH89" s="138"/>
      <c r="AI89" s="138"/>
      <c r="AJ89" s="138"/>
      <c r="AK89" s="138"/>
      <c r="AL89" s="138"/>
      <c r="AM89" s="138"/>
      <c r="AN89" s="138"/>
      <c r="AO89" s="138"/>
      <c r="AP89" s="138"/>
      <c r="AQ89" s="138"/>
      <c r="AR89" s="138"/>
      <c r="AS89" s="138"/>
      <c r="AT89" s="138"/>
      <c r="AU89" s="138"/>
      <c r="AV89" s="138"/>
      <c r="AW89" s="138"/>
      <c r="AX89" s="138"/>
      <c r="AY89" s="138"/>
      <c r="AZ89" s="138"/>
      <c r="BA89" s="138"/>
      <c r="BB89" s="138"/>
      <c r="BC89" s="138"/>
      <c r="BD89" s="138"/>
      <c r="BE89" s="138"/>
      <c r="BF89" s="138"/>
      <c r="BG89" s="138"/>
      <c r="BH89" s="138"/>
      <c r="BI89" s="138"/>
      <c r="BJ89" s="138"/>
      <c r="BK89" s="138"/>
      <c r="BL89" s="138"/>
      <c r="BM89" s="138"/>
      <c r="BN89" s="138"/>
      <c r="BO89" s="138"/>
      <c r="BP89" s="138"/>
      <c r="BQ89" s="138"/>
      <c r="BR89" s="138"/>
      <c r="BS89" s="138"/>
      <c r="BT89" s="138"/>
      <c r="BU89" s="138"/>
      <c r="BV89" s="138"/>
      <c r="BW89" s="138"/>
      <c r="BX89" s="138"/>
      <c r="BY89" s="138"/>
      <c r="BZ89" s="138"/>
      <c r="CA89" s="138"/>
      <c r="CB89" s="138"/>
      <c r="CC89" s="138"/>
      <c r="CD89" s="138"/>
      <c r="CE89" s="138"/>
      <c r="CF89" s="138"/>
      <c r="CG89" s="138"/>
      <c r="CH89" s="138"/>
      <c r="CI89" s="138"/>
      <c r="CJ89" s="138"/>
    </row>
    <row r="90" spans="1:88" s="662" customFormat="1" ht="12.75" customHeight="1">
      <c r="A90" s="157" t="s">
        <v>974</v>
      </c>
      <c r="B90" s="163">
        <f>SUM(B91:B92)</f>
        <v>81938862</v>
      </c>
      <c r="C90" s="163">
        <f>SUM(C91:C92)</f>
        <v>75611001</v>
      </c>
      <c r="D90" s="163">
        <f>SUM(D91:D92)</f>
        <v>69269591.73</v>
      </c>
      <c r="E90" s="148">
        <f t="shared" si="47"/>
        <v>84.53814226758483</v>
      </c>
      <c r="F90" s="148">
        <f t="shared" si="48"/>
        <v>91.61311292519459</v>
      </c>
      <c r="G90" s="163">
        <f>SUM(G91:G92)</f>
        <v>6526163.930000002</v>
      </c>
      <c r="H90" s="138"/>
      <c r="I90" s="157" t="s">
        <v>974</v>
      </c>
      <c r="J90" s="145">
        <f>J91+J92</f>
        <v>81939</v>
      </c>
      <c r="K90" s="145">
        <f>K91+K92</f>
        <v>75611</v>
      </c>
      <c r="L90" s="145">
        <f>L91+L92</f>
        <v>69270</v>
      </c>
      <c r="M90" s="153">
        <f t="shared" si="49"/>
        <v>84.5384981510636</v>
      </c>
      <c r="N90" s="153">
        <f t="shared" si="50"/>
        <v>91.61365409794871</v>
      </c>
      <c r="O90" s="145">
        <f>SUM(O91:O92)</f>
        <v>6527</v>
      </c>
      <c r="P90" s="138"/>
      <c r="Q90" s="145">
        <v>69270</v>
      </c>
      <c r="R90" s="145">
        <v>62743</v>
      </c>
      <c r="S90" s="138">
        <f t="shared" si="40"/>
        <v>6527</v>
      </c>
      <c r="T90" s="138"/>
      <c r="U90" s="138"/>
      <c r="V90" s="138"/>
      <c r="W90" s="138"/>
      <c r="X90" s="138"/>
      <c r="Y90" s="138"/>
      <c r="Z90" s="138"/>
      <c r="AA90" s="138"/>
      <c r="AB90" s="138"/>
      <c r="AC90" s="138"/>
      <c r="AD90" s="138"/>
      <c r="AE90" s="138"/>
      <c r="AF90" s="138"/>
      <c r="AG90" s="138"/>
      <c r="AH90" s="138"/>
      <c r="AI90" s="138"/>
      <c r="AJ90" s="138"/>
      <c r="AK90" s="138"/>
      <c r="AL90" s="138"/>
      <c r="AM90" s="138"/>
      <c r="AN90" s="138"/>
      <c r="AO90" s="138"/>
      <c r="AP90" s="138"/>
      <c r="AQ90" s="138"/>
      <c r="AR90" s="138"/>
      <c r="AS90" s="138"/>
      <c r="AT90" s="138"/>
      <c r="AU90" s="138"/>
      <c r="AV90" s="138"/>
      <c r="AW90" s="138"/>
      <c r="AX90" s="138"/>
      <c r="AY90" s="138"/>
      <c r="AZ90" s="138"/>
      <c r="BA90" s="138"/>
      <c r="BB90" s="138"/>
      <c r="BC90" s="138"/>
      <c r="BD90" s="138"/>
      <c r="BE90" s="138"/>
      <c r="BF90" s="138"/>
      <c r="BG90" s="138"/>
      <c r="BH90" s="138"/>
      <c r="BI90" s="138"/>
      <c r="BJ90" s="138"/>
      <c r="BK90" s="138"/>
      <c r="BL90" s="138"/>
      <c r="BM90" s="138"/>
      <c r="BN90" s="138"/>
      <c r="BO90" s="138"/>
      <c r="BP90" s="138"/>
      <c r="BQ90" s="138"/>
      <c r="BR90" s="138"/>
      <c r="BS90" s="138"/>
      <c r="BT90" s="138"/>
      <c r="BU90" s="138"/>
      <c r="BV90" s="138"/>
      <c r="BW90" s="138"/>
      <c r="BX90" s="138"/>
      <c r="BY90" s="138"/>
      <c r="BZ90" s="138"/>
      <c r="CA90" s="138"/>
      <c r="CB90" s="138"/>
      <c r="CC90" s="138"/>
      <c r="CD90" s="138"/>
      <c r="CE90" s="138"/>
      <c r="CF90" s="138"/>
      <c r="CG90" s="138"/>
      <c r="CH90" s="138"/>
      <c r="CI90" s="138"/>
      <c r="CJ90" s="138"/>
    </row>
    <row r="91" spans="1:88" s="662" customFormat="1" ht="12.75" customHeight="1">
      <c r="A91" s="159" t="s">
        <v>975</v>
      </c>
      <c r="B91" s="161">
        <v>75101907</v>
      </c>
      <c r="C91" s="161">
        <v>69035873</v>
      </c>
      <c r="D91" s="161">
        <v>63751857.26</v>
      </c>
      <c r="E91" s="148">
        <f t="shared" si="47"/>
        <v>84.88713510297414</v>
      </c>
      <c r="F91" s="148">
        <f t="shared" si="48"/>
        <v>92.34598548496663</v>
      </c>
      <c r="G91" s="161">
        <f>D91-'[5]Oktobris'!D91</f>
        <v>6115507.8500000015</v>
      </c>
      <c r="H91" s="138"/>
      <c r="I91" s="159" t="s">
        <v>975</v>
      </c>
      <c r="J91" s="154">
        <f aca="true" t="shared" si="52" ref="J91:L92">ROUND(B91/1000,0)</f>
        <v>75102</v>
      </c>
      <c r="K91" s="154">
        <f t="shared" si="52"/>
        <v>69036</v>
      </c>
      <c r="L91" s="154">
        <f>ROUND(D91/1000,0)</f>
        <v>63752</v>
      </c>
      <c r="M91" s="155">
        <f t="shared" si="49"/>
        <v>84.8872200474022</v>
      </c>
      <c r="N91" s="155">
        <f t="shared" si="50"/>
        <v>92.34602236514282</v>
      </c>
      <c r="O91" s="154">
        <f>L91-'[5]Oktobris'!L91</f>
        <v>6116</v>
      </c>
      <c r="P91" s="138"/>
      <c r="Q91" s="154">
        <v>63752</v>
      </c>
      <c r="R91" s="154">
        <v>57636</v>
      </c>
      <c r="S91" s="138">
        <f t="shared" si="40"/>
        <v>6116</v>
      </c>
      <c r="T91" s="138"/>
      <c r="U91" s="138"/>
      <c r="V91" s="138"/>
      <c r="W91" s="138"/>
      <c r="X91" s="138"/>
      <c r="Y91" s="138"/>
      <c r="Z91" s="138"/>
      <c r="AA91" s="138"/>
      <c r="AB91" s="138"/>
      <c r="AC91" s="138"/>
      <c r="AD91" s="138"/>
      <c r="AE91" s="138"/>
      <c r="AF91" s="138"/>
      <c r="AG91" s="138"/>
      <c r="AH91" s="138"/>
      <c r="AI91" s="138"/>
      <c r="AJ91" s="138"/>
      <c r="AK91" s="138"/>
      <c r="AL91" s="138"/>
      <c r="AM91" s="138"/>
      <c r="AN91" s="138"/>
      <c r="AO91" s="138"/>
      <c r="AP91" s="138"/>
      <c r="AQ91" s="138"/>
      <c r="AR91" s="138"/>
      <c r="AS91" s="138"/>
      <c r="AT91" s="138"/>
      <c r="AU91" s="138"/>
      <c r="AV91" s="138"/>
      <c r="AW91" s="138"/>
      <c r="AX91" s="138"/>
      <c r="AY91" s="138"/>
      <c r="AZ91" s="138"/>
      <c r="BA91" s="138"/>
      <c r="BB91" s="138"/>
      <c r="BC91" s="138"/>
      <c r="BD91" s="138"/>
      <c r="BE91" s="138"/>
      <c r="BF91" s="138"/>
      <c r="BG91" s="138"/>
      <c r="BH91" s="138"/>
      <c r="BI91" s="138"/>
      <c r="BJ91" s="138"/>
      <c r="BK91" s="138"/>
      <c r="BL91" s="138"/>
      <c r="BM91" s="138"/>
      <c r="BN91" s="138"/>
      <c r="BO91" s="138"/>
      <c r="BP91" s="138"/>
      <c r="BQ91" s="138"/>
      <c r="BR91" s="138"/>
      <c r="BS91" s="138"/>
      <c r="BT91" s="138"/>
      <c r="BU91" s="138"/>
      <c r="BV91" s="138"/>
      <c r="BW91" s="138"/>
      <c r="BX91" s="138"/>
      <c r="BY91" s="138"/>
      <c r="BZ91" s="138"/>
      <c r="CA91" s="138"/>
      <c r="CB91" s="138"/>
      <c r="CC91" s="138"/>
      <c r="CD91" s="138"/>
      <c r="CE91" s="138"/>
      <c r="CF91" s="138"/>
      <c r="CG91" s="138"/>
      <c r="CH91" s="138"/>
      <c r="CI91" s="138"/>
      <c r="CJ91" s="138"/>
    </row>
    <row r="92" spans="1:88" s="662" customFormat="1" ht="12.75" customHeight="1">
      <c r="A92" s="159" t="s">
        <v>976</v>
      </c>
      <c r="B92" s="161">
        <v>6836955</v>
      </c>
      <c r="C92" s="161">
        <v>6575128</v>
      </c>
      <c r="D92" s="161">
        <v>5517734.47</v>
      </c>
      <c r="E92" s="148">
        <f t="shared" si="47"/>
        <v>80.70456029036318</v>
      </c>
      <c r="F92" s="148">
        <f t="shared" si="48"/>
        <v>83.91828219922107</v>
      </c>
      <c r="G92" s="161">
        <f>D92-'[5]Oktobris'!D92</f>
        <v>410656.0800000001</v>
      </c>
      <c r="H92" s="138"/>
      <c r="I92" s="159" t="s">
        <v>976</v>
      </c>
      <c r="J92" s="154">
        <f t="shared" si="52"/>
        <v>6837</v>
      </c>
      <c r="K92" s="154">
        <f>ROUND(C92/1000,0)</f>
        <v>6575</v>
      </c>
      <c r="L92" s="154">
        <f t="shared" si="52"/>
        <v>5518</v>
      </c>
      <c r="M92" s="155">
        <f t="shared" si="49"/>
        <v>80.70791282726341</v>
      </c>
      <c r="N92" s="155">
        <f t="shared" si="50"/>
        <v>83.92395437262358</v>
      </c>
      <c r="O92" s="154">
        <f>L92-'[5]Oktobris'!L92</f>
        <v>411</v>
      </c>
      <c r="P92" s="138"/>
      <c r="Q92" s="154">
        <v>5518</v>
      </c>
      <c r="R92" s="154">
        <v>5107</v>
      </c>
      <c r="S92" s="138">
        <f t="shared" si="40"/>
        <v>411</v>
      </c>
      <c r="T92" s="138"/>
      <c r="U92" s="138"/>
      <c r="V92" s="138"/>
      <c r="W92" s="138"/>
      <c r="X92" s="138"/>
      <c r="Y92" s="138"/>
      <c r="Z92" s="138"/>
      <c r="AA92" s="138"/>
      <c r="AB92" s="138"/>
      <c r="AC92" s="138"/>
      <c r="AD92" s="138"/>
      <c r="AE92" s="138"/>
      <c r="AF92" s="138"/>
      <c r="AG92" s="138"/>
      <c r="AH92" s="138"/>
      <c r="AI92" s="138"/>
      <c r="AJ92" s="138"/>
      <c r="AK92" s="138"/>
      <c r="AL92" s="138"/>
      <c r="AM92" s="138"/>
      <c r="AN92" s="138"/>
      <c r="AO92" s="138"/>
      <c r="AP92" s="138"/>
      <c r="AQ92" s="138"/>
      <c r="AR92" s="138"/>
      <c r="AS92" s="138"/>
      <c r="AT92" s="138"/>
      <c r="AU92" s="138"/>
      <c r="AV92" s="138"/>
      <c r="AW92" s="138"/>
      <c r="AX92" s="138"/>
      <c r="AY92" s="138"/>
      <c r="AZ92" s="138"/>
      <c r="BA92" s="138"/>
      <c r="BB92" s="138"/>
      <c r="BC92" s="138"/>
      <c r="BD92" s="138"/>
      <c r="BE92" s="138"/>
      <c r="BF92" s="138"/>
      <c r="BG92" s="138"/>
      <c r="BH92" s="138"/>
      <c r="BI92" s="138"/>
      <c r="BJ92" s="138"/>
      <c r="BK92" s="138"/>
      <c r="BL92" s="138"/>
      <c r="BM92" s="138"/>
      <c r="BN92" s="138"/>
      <c r="BO92" s="138"/>
      <c r="BP92" s="138"/>
      <c r="BQ92" s="138"/>
      <c r="BR92" s="138"/>
      <c r="BS92" s="138"/>
      <c r="BT92" s="138"/>
      <c r="BU92" s="138"/>
      <c r="BV92" s="138"/>
      <c r="BW92" s="138"/>
      <c r="BX92" s="138"/>
      <c r="BY92" s="138"/>
      <c r="BZ92" s="138"/>
      <c r="CA92" s="138"/>
      <c r="CB92" s="138"/>
      <c r="CC92" s="138"/>
      <c r="CD92" s="138"/>
      <c r="CE92" s="138"/>
      <c r="CF92" s="138"/>
      <c r="CG92" s="138"/>
      <c r="CH92" s="138"/>
      <c r="CI92" s="138"/>
      <c r="CJ92" s="138"/>
    </row>
    <row r="93" spans="1:88" s="662" customFormat="1" ht="12.75" customHeight="1">
      <c r="A93" s="157" t="s">
        <v>998</v>
      </c>
      <c r="B93" s="161"/>
      <c r="C93" s="161"/>
      <c r="D93" s="161"/>
      <c r="E93" s="161"/>
      <c r="F93" s="161"/>
      <c r="G93" s="161"/>
      <c r="H93" s="138"/>
      <c r="I93" s="157" t="s">
        <v>999</v>
      </c>
      <c r="J93" s="161"/>
      <c r="K93" s="161"/>
      <c r="L93" s="161"/>
      <c r="M93" s="155"/>
      <c r="N93" s="155"/>
      <c r="O93" s="161"/>
      <c r="P93" s="138"/>
      <c r="Q93" s="161"/>
      <c r="R93" s="161"/>
      <c r="S93" s="138">
        <f t="shared" si="40"/>
        <v>0</v>
      </c>
      <c r="T93" s="138"/>
      <c r="U93" s="138"/>
      <c r="V93" s="138"/>
      <c r="W93" s="138"/>
      <c r="X93" s="138"/>
      <c r="Y93" s="138"/>
      <c r="Z93" s="138"/>
      <c r="AA93" s="138"/>
      <c r="AB93" s="138"/>
      <c r="AC93" s="138"/>
      <c r="AD93" s="138"/>
      <c r="AE93" s="138"/>
      <c r="AF93" s="138"/>
      <c r="AG93" s="138"/>
      <c r="AH93" s="138"/>
      <c r="AI93" s="138"/>
      <c r="AJ93" s="138"/>
      <c r="AK93" s="138"/>
      <c r="AL93" s="138"/>
      <c r="AM93" s="138"/>
      <c r="AN93" s="138"/>
      <c r="AO93" s="138"/>
      <c r="AP93" s="138"/>
      <c r="AQ93" s="138"/>
      <c r="AR93" s="138"/>
      <c r="AS93" s="138"/>
      <c r="AT93" s="138"/>
      <c r="AU93" s="138"/>
      <c r="AV93" s="138"/>
      <c r="AW93" s="138"/>
      <c r="AX93" s="138"/>
      <c r="AY93" s="138"/>
      <c r="AZ93" s="138"/>
      <c r="BA93" s="138"/>
      <c r="BB93" s="138"/>
      <c r="BC93" s="138"/>
      <c r="BD93" s="138"/>
      <c r="BE93" s="138"/>
      <c r="BF93" s="138"/>
      <c r="BG93" s="138"/>
      <c r="BH93" s="138"/>
      <c r="BI93" s="138"/>
      <c r="BJ93" s="138"/>
      <c r="BK93" s="138"/>
      <c r="BL93" s="138"/>
      <c r="BM93" s="138"/>
      <c r="BN93" s="138"/>
      <c r="BO93" s="138"/>
      <c r="BP93" s="138"/>
      <c r="BQ93" s="138"/>
      <c r="BR93" s="138"/>
      <c r="BS93" s="138"/>
      <c r="BT93" s="138"/>
      <c r="BU93" s="138"/>
      <c r="BV93" s="138"/>
      <c r="BW93" s="138"/>
      <c r="BX93" s="138"/>
      <c r="BY93" s="138"/>
      <c r="BZ93" s="138"/>
      <c r="CA93" s="138"/>
      <c r="CB93" s="138"/>
      <c r="CC93" s="138"/>
      <c r="CD93" s="138"/>
      <c r="CE93" s="138"/>
      <c r="CF93" s="138"/>
      <c r="CG93" s="138"/>
      <c r="CH93" s="138"/>
      <c r="CI93" s="138"/>
      <c r="CJ93" s="138"/>
    </row>
    <row r="94" spans="1:88" s="662" customFormat="1" ht="12.75" customHeight="1">
      <c r="A94" s="151" t="s">
        <v>969</v>
      </c>
      <c r="B94" s="161">
        <f>SUM(B95:B97)</f>
        <v>77164927</v>
      </c>
      <c r="C94" s="163">
        <f>SUM(C95:C97)</f>
        <v>63056088</v>
      </c>
      <c r="D94" s="163">
        <f>SUM(D95:D97)</f>
        <v>56452394.199999996</v>
      </c>
      <c r="E94" s="147">
        <f aca="true" t="shared" si="53" ref="E94:E100">IF(ISERROR(D94/B94)," ",(D94/B94))*100</f>
        <v>73.15809966359457</v>
      </c>
      <c r="F94" s="147">
        <f aca="true" t="shared" si="54" ref="F94:F100">IF(ISERROR(D94/C94)," ",(D94/C94))*100</f>
        <v>89.52727007105166</v>
      </c>
      <c r="G94" s="163">
        <f>SUM(G95:G97)</f>
        <v>4615615.359999999</v>
      </c>
      <c r="H94" s="138"/>
      <c r="I94" s="151" t="s">
        <v>969</v>
      </c>
      <c r="J94" s="145">
        <f>J95+J96+J97</f>
        <v>77165</v>
      </c>
      <c r="K94" s="145">
        <f>K95+K96+K97</f>
        <v>63056</v>
      </c>
      <c r="L94" s="145">
        <f>L95+L96+L97</f>
        <v>56452</v>
      </c>
      <c r="M94" s="153">
        <f aca="true" t="shared" si="55" ref="M94:M100">L94/J94*100</f>
        <v>73.15751960085531</v>
      </c>
      <c r="N94" s="153">
        <f aca="true" t="shared" si="56" ref="N94:N100">L94/K94*100</f>
        <v>89.52676985536667</v>
      </c>
      <c r="O94" s="145">
        <f>SUM(O95:O97)</f>
        <v>4616</v>
      </c>
      <c r="P94" s="138"/>
      <c r="Q94" s="145">
        <v>56452</v>
      </c>
      <c r="R94" s="145">
        <v>51836</v>
      </c>
      <c r="S94" s="138">
        <f t="shared" si="40"/>
        <v>4616</v>
      </c>
      <c r="T94" s="138"/>
      <c r="U94" s="138"/>
      <c r="V94" s="138"/>
      <c r="W94" s="138"/>
      <c r="X94" s="138"/>
      <c r="Y94" s="138"/>
      <c r="Z94" s="138"/>
      <c r="AA94" s="138"/>
      <c r="AB94" s="138"/>
      <c r="AC94" s="138"/>
      <c r="AD94" s="138"/>
      <c r="AE94" s="138"/>
      <c r="AF94" s="138"/>
      <c r="AG94" s="138"/>
      <c r="AH94" s="138"/>
      <c r="AI94" s="138"/>
      <c r="AJ94" s="138"/>
      <c r="AK94" s="138"/>
      <c r="AL94" s="138"/>
      <c r="AM94" s="138"/>
      <c r="AN94" s="138"/>
      <c r="AO94" s="138"/>
      <c r="AP94" s="138"/>
      <c r="AQ94" s="138"/>
      <c r="AR94" s="138"/>
      <c r="AS94" s="138"/>
      <c r="AT94" s="138"/>
      <c r="AU94" s="138"/>
      <c r="AV94" s="138"/>
      <c r="AW94" s="138"/>
      <c r="AX94" s="138"/>
      <c r="AY94" s="138"/>
      <c r="AZ94" s="138"/>
      <c r="BA94" s="138"/>
      <c r="BB94" s="138"/>
      <c r="BC94" s="138"/>
      <c r="BD94" s="138"/>
      <c r="BE94" s="138"/>
      <c r="BF94" s="138"/>
      <c r="BG94" s="138"/>
      <c r="BH94" s="138"/>
      <c r="BI94" s="138"/>
      <c r="BJ94" s="138"/>
      <c r="BK94" s="138"/>
      <c r="BL94" s="138"/>
      <c r="BM94" s="138"/>
      <c r="BN94" s="138"/>
      <c r="BO94" s="138"/>
      <c r="BP94" s="138"/>
      <c r="BQ94" s="138"/>
      <c r="BR94" s="138"/>
      <c r="BS94" s="138"/>
      <c r="BT94" s="138"/>
      <c r="BU94" s="138"/>
      <c r="BV94" s="138"/>
      <c r="BW94" s="138"/>
      <c r="BX94" s="138"/>
      <c r="BY94" s="138"/>
      <c r="BZ94" s="138"/>
      <c r="CA94" s="138"/>
      <c r="CB94" s="138"/>
      <c r="CC94" s="138"/>
      <c r="CD94" s="138"/>
      <c r="CE94" s="138"/>
      <c r="CF94" s="138"/>
      <c r="CG94" s="138"/>
      <c r="CH94" s="138"/>
      <c r="CI94" s="138"/>
      <c r="CJ94" s="138"/>
    </row>
    <row r="95" spans="1:88" s="662" customFormat="1" ht="12.75" customHeight="1">
      <c r="A95" s="151" t="s">
        <v>970</v>
      </c>
      <c r="B95" s="161">
        <v>53459054</v>
      </c>
      <c r="C95" s="161">
        <v>48397645</v>
      </c>
      <c r="D95" s="161">
        <v>48397645</v>
      </c>
      <c r="E95" s="148">
        <f t="shared" si="53"/>
        <v>90.53217627083338</v>
      </c>
      <c r="F95" s="148">
        <f t="shared" si="54"/>
        <v>100</v>
      </c>
      <c r="G95" s="161">
        <f>D95-'[5]Oktobris'!D95</f>
        <v>3855118</v>
      </c>
      <c r="H95" s="138"/>
      <c r="I95" s="151" t="s">
        <v>970</v>
      </c>
      <c r="J95" s="154">
        <f>ROUND(B95/1000,0)</f>
        <v>53459</v>
      </c>
      <c r="K95" s="154">
        <f>ROUND(C95/1000,0)</f>
        <v>48398</v>
      </c>
      <c r="L95" s="154">
        <f>ROUND(D95/1000,0)</f>
        <v>48398</v>
      </c>
      <c r="M95" s="155">
        <f t="shared" si="55"/>
        <v>90.53293177949456</v>
      </c>
      <c r="N95" s="155">
        <f t="shared" si="56"/>
        <v>100</v>
      </c>
      <c r="O95" s="154">
        <f>L95-'[5]Oktobris'!L95</f>
        <v>3856</v>
      </c>
      <c r="P95" s="138"/>
      <c r="Q95" s="154">
        <v>48398</v>
      </c>
      <c r="R95" s="154">
        <v>44542</v>
      </c>
      <c r="S95" s="138">
        <f t="shared" si="40"/>
        <v>3856</v>
      </c>
      <c r="T95" s="138"/>
      <c r="U95" s="138"/>
      <c r="V95" s="138"/>
      <c r="W95" s="138"/>
      <c r="X95" s="138"/>
      <c r="Y95" s="138"/>
      <c r="Z95" s="138"/>
      <c r="AA95" s="138"/>
      <c r="AB95" s="138"/>
      <c r="AC95" s="138"/>
      <c r="AD95" s="138"/>
      <c r="AE95" s="138"/>
      <c r="AF95" s="138"/>
      <c r="AG95" s="138"/>
      <c r="AH95" s="138"/>
      <c r="AI95" s="138"/>
      <c r="AJ95" s="138"/>
      <c r="AK95" s="138"/>
      <c r="AL95" s="138"/>
      <c r="AM95" s="138"/>
      <c r="AN95" s="138"/>
      <c r="AO95" s="138"/>
      <c r="AP95" s="138"/>
      <c r="AQ95" s="138"/>
      <c r="AR95" s="138"/>
      <c r="AS95" s="138"/>
      <c r="AT95" s="138"/>
      <c r="AU95" s="138"/>
      <c r="AV95" s="138"/>
      <c r="AW95" s="138"/>
      <c r="AX95" s="138"/>
      <c r="AY95" s="138"/>
      <c r="AZ95" s="138"/>
      <c r="BA95" s="138"/>
      <c r="BB95" s="138"/>
      <c r="BC95" s="138"/>
      <c r="BD95" s="138"/>
      <c r="BE95" s="138"/>
      <c r="BF95" s="138"/>
      <c r="BG95" s="138"/>
      <c r="BH95" s="138"/>
      <c r="BI95" s="138"/>
      <c r="BJ95" s="138"/>
      <c r="BK95" s="138"/>
      <c r="BL95" s="138"/>
      <c r="BM95" s="138"/>
      <c r="BN95" s="138"/>
      <c r="BO95" s="138"/>
      <c r="BP95" s="138"/>
      <c r="BQ95" s="138"/>
      <c r="BR95" s="138"/>
      <c r="BS95" s="138"/>
      <c r="BT95" s="138"/>
      <c r="BU95" s="138"/>
      <c r="BV95" s="138"/>
      <c r="BW95" s="138"/>
      <c r="BX95" s="138"/>
      <c r="BY95" s="138"/>
      <c r="BZ95" s="138"/>
      <c r="CA95" s="138"/>
      <c r="CB95" s="138"/>
      <c r="CC95" s="138"/>
      <c r="CD95" s="138"/>
      <c r="CE95" s="138"/>
      <c r="CF95" s="138"/>
      <c r="CG95" s="138"/>
      <c r="CH95" s="138"/>
      <c r="CI95" s="138"/>
      <c r="CJ95" s="138"/>
    </row>
    <row r="96" spans="1:88" s="662" customFormat="1" ht="12.75" customHeight="1">
      <c r="A96" s="151" t="s">
        <v>972</v>
      </c>
      <c r="B96" s="161">
        <v>7472443</v>
      </c>
      <c r="C96" s="161">
        <v>6837469</v>
      </c>
      <c r="D96" s="161">
        <v>7112309.72</v>
      </c>
      <c r="E96" s="148">
        <f t="shared" si="53"/>
        <v>95.18051485973194</v>
      </c>
      <c r="F96" s="148">
        <f t="shared" si="54"/>
        <v>104.01962656064691</v>
      </c>
      <c r="G96" s="161">
        <f>D96-'[5]Oktobris'!D96</f>
        <v>708798.5699999994</v>
      </c>
      <c r="H96" s="138"/>
      <c r="I96" s="151" t="s">
        <v>972</v>
      </c>
      <c r="J96" s="154">
        <f>ROUND(B96/1000,0)+1</f>
        <v>7473</v>
      </c>
      <c r="K96" s="154">
        <f>ROUND(C96/1000,0)</f>
        <v>6837</v>
      </c>
      <c r="L96" s="154">
        <f>ROUND(D96/1000,0)</f>
        <v>7112</v>
      </c>
      <c r="M96" s="155">
        <f t="shared" si="55"/>
        <v>95.1692760604844</v>
      </c>
      <c r="N96" s="155">
        <f t="shared" si="56"/>
        <v>104.02223197308761</v>
      </c>
      <c r="O96" s="154">
        <f>L96-'[5]Oktobris'!L96</f>
        <v>709</v>
      </c>
      <c r="P96" s="138"/>
      <c r="Q96" s="154">
        <v>7112</v>
      </c>
      <c r="R96" s="154">
        <v>6403</v>
      </c>
      <c r="S96" s="138">
        <f t="shared" si="40"/>
        <v>709</v>
      </c>
      <c r="T96" s="138"/>
      <c r="U96" s="138"/>
      <c r="V96" s="138"/>
      <c r="W96" s="138"/>
      <c r="X96" s="138"/>
      <c r="Y96" s="138"/>
      <c r="Z96" s="138"/>
      <c r="AA96" s="138"/>
      <c r="AB96" s="138"/>
      <c r="AC96" s="138"/>
      <c r="AD96" s="138"/>
      <c r="AE96" s="138"/>
      <c r="AF96" s="138"/>
      <c r="AG96" s="138"/>
      <c r="AH96" s="138"/>
      <c r="AI96" s="138"/>
      <c r="AJ96" s="138"/>
      <c r="AK96" s="138"/>
      <c r="AL96" s="138"/>
      <c r="AM96" s="138"/>
      <c r="AN96" s="138"/>
      <c r="AO96" s="138"/>
      <c r="AP96" s="138"/>
      <c r="AQ96" s="138"/>
      <c r="AR96" s="138"/>
      <c r="AS96" s="138"/>
      <c r="AT96" s="138"/>
      <c r="AU96" s="138"/>
      <c r="AV96" s="138"/>
      <c r="AW96" s="138"/>
      <c r="AX96" s="138"/>
      <c r="AY96" s="138"/>
      <c r="AZ96" s="138"/>
      <c r="BA96" s="138"/>
      <c r="BB96" s="138"/>
      <c r="BC96" s="138"/>
      <c r="BD96" s="138"/>
      <c r="BE96" s="138"/>
      <c r="BF96" s="138"/>
      <c r="BG96" s="138"/>
      <c r="BH96" s="138"/>
      <c r="BI96" s="138"/>
      <c r="BJ96" s="138"/>
      <c r="BK96" s="138"/>
      <c r="BL96" s="138"/>
      <c r="BM96" s="138"/>
      <c r="BN96" s="138"/>
      <c r="BO96" s="138"/>
      <c r="BP96" s="138"/>
      <c r="BQ96" s="138"/>
      <c r="BR96" s="138"/>
      <c r="BS96" s="138"/>
      <c r="BT96" s="138"/>
      <c r="BU96" s="138"/>
      <c r="BV96" s="138"/>
      <c r="BW96" s="138"/>
      <c r="BX96" s="138"/>
      <c r="BY96" s="138"/>
      <c r="BZ96" s="138"/>
      <c r="CA96" s="138"/>
      <c r="CB96" s="138"/>
      <c r="CC96" s="138"/>
      <c r="CD96" s="138"/>
      <c r="CE96" s="138"/>
      <c r="CF96" s="138"/>
      <c r="CG96" s="138"/>
      <c r="CH96" s="138"/>
      <c r="CI96" s="138"/>
      <c r="CJ96" s="138"/>
    </row>
    <row r="97" spans="1:88" s="662" customFormat="1" ht="12.75" customHeight="1">
      <c r="A97" s="151" t="s">
        <v>973</v>
      </c>
      <c r="B97" s="161">
        <v>16233430</v>
      </c>
      <c r="C97" s="161">
        <v>7820974</v>
      </c>
      <c r="D97" s="161">
        <v>942439.48</v>
      </c>
      <c r="E97" s="148">
        <f t="shared" si="53"/>
        <v>5.805547441298605</v>
      </c>
      <c r="F97" s="148">
        <f t="shared" si="54"/>
        <v>12.050154878407728</v>
      </c>
      <c r="G97" s="161">
        <f>D97-'[5]Oktobris'!D97</f>
        <v>51698.79000000004</v>
      </c>
      <c r="H97" s="138"/>
      <c r="I97" s="151" t="s">
        <v>973</v>
      </c>
      <c r="J97" s="154">
        <v>16233</v>
      </c>
      <c r="K97" s="154">
        <f>ROUND(C97/1000,0)</f>
        <v>7821</v>
      </c>
      <c r="L97" s="154">
        <f>ROUND(D97/1000,0)</f>
        <v>942</v>
      </c>
      <c r="M97" s="155">
        <f t="shared" si="55"/>
        <v>5.802993901312141</v>
      </c>
      <c r="N97" s="155">
        <f t="shared" si="56"/>
        <v>12.044495588799386</v>
      </c>
      <c r="O97" s="154">
        <f>L97-'[5]Oktobris'!L97</f>
        <v>51</v>
      </c>
      <c r="P97" s="138"/>
      <c r="Q97" s="154">
        <v>942</v>
      </c>
      <c r="R97" s="154">
        <v>891</v>
      </c>
      <c r="S97" s="138">
        <f t="shared" si="40"/>
        <v>51</v>
      </c>
      <c r="T97" s="138"/>
      <c r="U97" s="138"/>
      <c r="V97" s="138"/>
      <c r="W97" s="138"/>
      <c r="X97" s="138"/>
      <c r="Y97" s="138"/>
      <c r="Z97" s="138"/>
      <c r="AA97" s="138"/>
      <c r="AB97" s="138"/>
      <c r="AC97" s="138"/>
      <c r="AD97" s="138"/>
      <c r="AE97" s="138"/>
      <c r="AF97" s="138"/>
      <c r="AG97" s="138"/>
      <c r="AH97" s="138"/>
      <c r="AI97" s="138"/>
      <c r="AJ97" s="138"/>
      <c r="AK97" s="138"/>
      <c r="AL97" s="138"/>
      <c r="AM97" s="138"/>
      <c r="AN97" s="138"/>
      <c r="AO97" s="138"/>
      <c r="AP97" s="138"/>
      <c r="AQ97" s="138"/>
      <c r="AR97" s="138"/>
      <c r="AS97" s="138"/>
      <c r="AT97" s="138"/>
      <c r="AU97" s="138"/>
      <c r="AV97" s="138"/>
      <c r="AW97" s="138"/>
      <c r="AX97" s="138"/>
      <c r="AY97" s="138"/>
      <c r="AZ97" s="138"/>
      <c r="BA97" s="138"/>
      <c r="BB97" s="138"/>
      <c r="BC97" s="138"/>
      <c r="BD97" s="138"/>
      <c r="BE97" s="138"/>
      <c r="BF97" s="138"/>
      <c r="BG97" s="138"/>
      <c r="BH97" s="138"/>
      <c r="BI97" s="138"/>
      <c r="BJ97" s="138"/>
      <c r="BK97" s="138"/>
      <c r="BL97" s="138"/>
      <c r="BM97" s="138"/>
      <c r="BN97" s="138"/>
      <c r="BO97" s="138"/>
      <c r="BP97" s="138"/>
      <c r="BQ97" s="138"/>
      <c r="BR97" s="138"/>
      <c r="BS97" s="138"/>
      <c r="BT97" s="138"/>
      <c r="BU97" s="138"/>
      <c r="BV97" s="138"/>
      <c r="BW97" s="138"/>
      <c r="BX97" s="138"/>
      <c r="BY97" s="138"/>
      <c r="BZ97" s="138"/>
      <c r="CA97" s="138"/>
      <c r="CB97" s="138"/>
      <c r="CC97" s="138"/>
      <c r="CD97" s="138"/>
      <c r="CE97" s="138"/>
      <c r="CF97" s="138"/>
      <c r="CG97" s="138"/>
      <c r="CH97" s="138"/>
      <c r="CI97" s="138"/>
      <c r="CJ97" s="138"/>
    </row>
    <row r="98" spans="1:88" s="662" customFormat="1" ht="12.75" customHeight="1">
      <c r="A98" s="157" t="s">
        <v>974</v>
      </c>
      <c r="B98" s="163">
        <f>SUM(B99:B100)</f>
        <v>77290763</v>
      </c>
      <c r="C98" s="163">
        <f>SUM(C99:C100)</f>
        <v>63181924</v>
      </c>
      <c r="D98" s="163">
        <f>SUM(D99:D100)</f>
        <v>53729059.11</v>
      </c>
      <c r="E98" s="148">
        <f t="shared" si="53"/>
        <v>69.51549839144427</v>
      </c>
      <c r="F98" s="148">
        <f t="shared" si="54"/>
        <v>85.03865616691255</v>
      </c>
      <c r="G98" s="163">
        <f>SUM(G99:G100)</f>
        <v>4391193.3500000015</v>
      </c>
      <c r="H98" s="138"/>
      <c r="I98" s="157" t="s">
        <v>974</v>
      </c>
      <c r="J98" s="145">
        <f>J99+J100</f>
        <v>77291</v>
      </c>
      <c r="K98" s="145">
        <f>K99+K100</f>
        <v>63182</v>
      </c>
      <c r="L98" s="145">
        <f>L99+L100</f>
        <v>53729</v>
      </c>
      <c r="M98" s="153">
        <f t="shared" si="55"/>
        <v>69.51520875651758</v>
      </c>
      <c r="N98" s="153">
        <f t="shared" si="56"/>
        <v>85.03846032097749</v>
      </c>
      <c r="O98" s="145">
        <f>SUM(O99:O100)</f>
        <v>4391</v>
      </c>
      <c r="P98" s="138"/>
      <c r="Q98" s="145">
        <v>53729</v>
      </c>
      <c r="R98" s="145">
        <v>49338</v>
      </c>
      <c r="S98" s="138">
        <f t="shared" si="40"/>
        <v>4391</v>
      </c>
      <c r="T98" s="138"/>
      <c r="U98" s="138"/>
      <c r="V98" s="138"/>
      <c r="W98" s="138"/>
      <c r="X98" s="138"/>
      <c r="Y98" s="138"/>
      <c r="Z98" s="138"/>
      <c r="AA98" s="138"/>
      <c r="AB98" s="138"/>
      <c r="AC98" s="138"/>
      <c r="AD98" s="138"/>
      <c r="AE98" s="138"/>
      <c r="AF98" s="138"/>
      <c r="AG98" s="138"/>
      <c r="AH98" s="138"/>
      <c r="AI98" s="138"/>
      <c r="AJ98" s="138"/>
      <c r="AK98" s="138"/>
      <c r="AL98" s="138"/>
      <c r="AM98" s="138"/>
      <c r="AN98" s="138"/>
      <c r="AO98" s="138"/>
      <c r="AP98" s="138"/>
      <c r="AQ98" s="138"/>
      <c r="AR98" s="138"/>
      <c r="AS98" s="138"/>
      <c r="AT98" s="138"/>
      <c r="AU98" s="138"/>
      <c r="AV98" s="138"/>
      <c r="AW98" s="138"/>
      <c r="AX98" s="138"/>
      <c r="AY98" s="138"/>
      <c r="AZ98" s="138"/>
      <c r="BA98" s="138"/>
      <c r="BB98" s="138"/>
      <c r="BC98" s="138"/>
      <c r="BD98" s="138"/>
      <c r="BE98" s="138"/>
      <c r="BF98" s="138"/>
      <c r="BG98" s="138"/>
      <c r="BH98" s="138"/>
      <c r="BI98" s="138"/>
      <c r="BJ98" s="138"/>
      <c r="BK98" s="138"/>
      <c r="BL98" s="138"/>
      <c r="BM98" s="138"/>
      <c r="BN98" s="138"/>
      <c r="BO98" s="138"/>
      <c r="BP98" s="138"/>
      <c r="BQ98" s="138"/>
      <c r="BR98" s="138"/>
      <c r="BS98" s="138"/>
      <c r="BT98" s="138"/>
      <c r="BU98" s="138"/>
      <c r="BV98" s="138"/>
      <c r="BW98" s="138"/>
      <c r="BX98" s="138"/>
      <c r="BY98" s="138"/>
      <c r="BZ98" s="138"/>
      <c r="CA98" s="138"/>
      <c r="CB98" s="138"/>
      <c r="CC98" s="138"/>
      <c r="CD98" s="138"/>
      <c r="CE98" s="138"/>
      <c r="CF98" s="138"/>
      <c r="CG98" s="138"/>
      <c r="CH98" s="138"/>
      <c r="CI98" s="138"/>
      <c r="CJ98" s="138"/>
    </row>
    <row r="99" spans="1:19" ht="12.75" customHeight="1">
      <c r="A99" s="159" t="s">
        <v>975</v>
      </c>
      <c r="B99" s="161">
        <v>72376566</v>
      </c>
      <c r="C99" s="161">
        <v>58550321</v>
      </c>
      <c r="D99" s="161">
        <v>50422670.81</v>
      </c>
      <c r="E99" s="148">
        <f t="shared" si="53"/>
        <v>69.66712238046775</v>
      </c>
      <c r="F99" s="148">
        <f t="shared" si="54"/>
        <v>86.11852155345143</v>
      </c>
      <c r="G99" s="161">
        <f>D99-'[5]Oktobris'!D99</f>
        <v>4277521.3500000015</v>
      </c>
      <c r="I99" s="159" t="s">
        <v>975</v>
      </c>
      <c r="J99" s="154">
        <f>ROUND(B99/1000,0)</f>
        <v>72377</v>
      </c>
      <c r="K99" s="154">
        <f>ROUND(C99/1000,0)</f>
        <v>58550</v>
      </c>
      <c r="L99" s="154">
        <f aca="true" t="shared" si="57" ref="J99:L100">ROUND(D99/1000,0)</f>
        <v>50423</v>
      </c>
      <c r="M99" s="155">
        <f t="shared" si="55"/>
        <v>69.6671594567335</v>
      </c>
      <c r="N99" s="155">
        <f t="shared" si="56"/>
        <v>86.1195559350982</v>
      </c>
      <c r="O99" s="154">
        <f>L99-'[5]Oktobris'!L99</f>
        <v>4278</v>
      </c>
      <c r="Q99" s="154">
        <v>50423</v>
      </c>
      <c r="R99" s="154">
        <v>46145</v>
      </c>
      <c r="S99" s="138">
        <f t="shared" si="40"/>
        <v>4278</v>
      </c>
    </row>
    <row r="100" spans="1:19" ht="12.75" customHeight="1">
      <c r="A100" s="159" t="s">
        <v>976</v>
      </c>
      <c r="B100" s="161">
        <v>4914197</v>
      </c>
      <c r="C100" s="161">
        <v>4631603</v>
      </c>
      <c r="D100" s="161">
        <v>3306388.3</v>
      </c>
      <c r="E100" s="148">
        <f t="shared" si="53"/>
        <v>67.28237187072476</v>
      </c>
      <c r="F100" s="148">
        <f t="shared" si="54"/>
        <v>71.38755847597473</v>
      </c>
      <c r="G100" s="161">
        <f>D100-'[5]Oktobris'!D100</f>
        <v>113672</v>
      </c>
      <c r="I100" s="159" t="s">
        <v>976</v>
      </c>
      <c r="J100" s="154">
        <f t="shared" si="57"/>
        <v>4914</v>
      </c>
      <c r="K100" s="154">
        <f t="shared" si="57"/>
        <v>4632</v>
      </c>
      <c r="L100" s="154">
        <f>ROUND(D100/1000,0)</f>
        <v>3306</v>
      </c>
      <c r="M100" s="155">
        <f t="shared" si="55"/>
        <v>67.27716727716728</v>
      </c>
      <c r="N100" s="155">
        <f t="shared" si="56"/>
        <v>71.37305699481865</v>
      </c>
      <c r="O100" s="154">
        <f>L100-'[5]Oktobris'!L100</f>
        <v>113</v>
      </c>
      <c r="Q100" s="154">
        <v>3306</v>
      </c>
      <c r="R100" s="154">
        <v>3193</v>
      </c>
      <c r="S100" s="138">
        <f t="shared" si="40"/>
        <v>113</v>
      </c>
    </row>
    <row r="101" spans="1:19" ht="12.75" customHeight="1">
      <c r="A101" s="157" t="s">
        <v>1000</v>
      </c>
      <c r="B101" s="161"/>
      <c r="C101" s="161"/>
      <c r="D101" s="161"/>
      <c r="E101" s="161"/>
      <c r="F101" s="161"/>
      <c r="G101" s="161"/>
      <c r="I101" s="157" t="s">
        <v>1001</v>
      </c>
      <c r="J101" s="161"/>
      <c r="K101" s="161"/>
      <c r="L101" s="161"/>
      <c r="M101" s="155"/>
      <c r="N101" s="155"/>
      <c r="O101" s="161"/>
      <c r="Q101" s="161"/>
      <c r="R101" s="161"/>
      <c r="S101" s="138">
        <f t="shared" si="40"/>
        <v>0</v>
      </c>
    </row>
    <row r="102" spans="1:19" ht="12.75" customHeight="1">
      <c r="A102" s="151" t="s">
        <v>969</v>
      </c>
      <c r="B102" s="161">
        <f>SUM(B103:B105)</f>
        <v>15819085</v>
      </c>
      <c r="C102" s="163">
        <f>C103+C104+C105</f>
        <v>13528424</v>
      </c>
      <c r="D102" s="163">
        <f>SUM(D103:D105)</f>
        <v>12181911.64</v>
      </c>
      <c r="E102" s="147">
        <f aca="true" t="shared" si="58" ref="E102:E108">IF(ISERROR(D102/B102)," ",(D102/B102))*100</f>
        <v>77.00768811849737</v>
      </c>
      <c r="F102" s="147">
        <f aca="true" t="shared" si="59" ref="F102:F108">IF(ISERROR(D102/C102)," ",(D102/C102))*100</f>
        <v>90.04679066829958</v>
      </c>
      <c r="G102" s="163">
        <f>SUM(G103:G105)</f>
        <v>1194989.2600000002</v>
      </c>
      <c r="I102" s="151" t="s">
        <v>969</v>
      </c>
      <c r="J102" s="145">
        <f>J103+J104+J105</f>
        <v>15819</v>
      </c>
      <c r="K102" s="145">
        <f>K103+K104+K105</f>
        <v>13529</v>
      </c>
      <c r="L102" s="145">
        <f>L103+L104+L105</f>
        <v>12182</v>
      </c>
      <c r="M102" s="153">
        <f aca="true" t="shared" si="60" ref="M102:M108">L102/J102*100</f>
        <v>77.0086604715848</v>
      </c>
      <c r="N102" s="153">
        <f aca="true" t="shared" si="61" ref="N102:N108">L102/K102*100</f>
        <v>90.04361002291374</v>
      </c>
      <c r="O102" s="145">
        <f>SUM(O103:O105)</f>
        <v>1195</v>
      </c>
      <c r="Q102" s="145">
        <v>12182</v>
      </c>
      <c r="R102" s="145">
        <v>10987</v>
      </c>
      <c r="S102" s="138">
        <f t="shared" si="40"/>
        <v>1195</v>
      </c>
    </row>
    <row r="103" spans="1:19" ht="12.75" customHeight="1">
      <c r="A103" s="151" t="s">
        <v>970</v>
      </c>
      <c r="B103" s="161">
        <v>9585836</v>
      </c>
      <c r="C103" s="161">
        <v>8528819</v>
      </c>
      <c r="D103" s="161">
        <v>8528819</v>
      </c>
      <c r="E103" s="148">
        <f t="shared" si="58"/>
        <v>88.97313703259684</v>
      </c>
      <c r="F103" s="148">
        <f t="shared" si="59"/>
        <v>100</v>
      </c>
      <c r="G103" s="161">
        <f>D103-'[5]Oktobris'!D103</f>
        <v>1172203</v>
      </c>
      <c r="I103" s="151" t="s">
        <v>970</v>
      </c>
      <c r="J103" s="154">
        <f aca="true" t="shared" si="62" ref="J103:L104">ROUND(B103/1000,0)</f>
        <v>9586</v>
      </c>
      <c r="K103" s="154">
        <f t="shared" si="62"/>
        <v>8529</v>
      </c>
      <c r="L103" s="154">
        <f t="shared" si="62"/>
        <v>8529</v>
      </c>
      <c r="M103" s="155">
        <f t="shared" si="60"/>
        <v>88.97350302524515</v>
      </c>
      <c r="N103" s="155">
        <f t="shared" si="61"/>
        <v>100</v>
      </c>
      <c r="O103" s="154">
        <f>L103-'[5]Oktobris'!L103</f>
        <v>1172</v>
      </c>
      <c r="Q103" s="154">
        <v>8529</v>
      </c>
      <c r="R103" s="154">
        <v>7357</v>
      </c>
      <c r="S103" s="138">
        <f t="shared" si="40"/>
        <v>1172</v>
      </c>
    </row>
    <row r="104" spans="1:19" ht="12.75" customHeight="1">
      <c r="A104" s="151" t="s">
        <v>972</v>
      </c>
      <c r="B104" s="161">
        <v>58722</v>
      </c>
      <c r="C104" s="161">
        <v>53828</v>
      </c>
      <c r="D104" s="161">
        <v>34726.17</v>
      </c>
      <c r="E104" s="148">
        <f t="shared" si="58"/>
        <v>59.13655870031674</v>
      </c>
      <c r="F104" s="148">
        <f t="shared" si="59"/>
        <v>64.51320873894628</v>
      </c>
      <c r="G104" s="161">
        <f>D104-'[5]Oktobris'!D104</f>
        <v>21875.079999999998</v>
      </c>
      <c r="I104" s="151" t="s">
        <v>972</v>
      </c>
      <c r="J104" s="154">
        <f t="shared" si="62"/>
        <v>59</v>
      </c>
      <c r="K104" s="154">
        <f t="shared" si="62"/>
        <v>54</v>
      </c>
      <c r="L104" s="154">
        <f t="shared" si="62"/>
        <v>35</v>
      </c>
      <c r="M104" s="155">
        <f t="shared" si="60"/>
        <v>59.32203389830508</v>
      </c>
      <c r="N104" s="155">
        <f t="shared" si="61"/>
        <v>64.81481481481481</v>
      </c>
      <c r="O104" s="154">
        <f>L104-'[5]Oktobris'!L104</f>
        <v>22</v>
      </c>
      <c r="Q104" s="154">
        <v>35</v>
      </c>
      <c r="R104" s="154">
        <v>13</v>
      </c>
      <c r="S104" s="138">
        <f t="shared" si="40"/>
        <v>22</v>
      </c>
    </row>
    <row r="105" spans="1:19" ht="12.75" customHeight="1">
      <c r="A105" s="151" t="s">
        <v>973</v>
      </c>
      <c r="B105" s="161">
        <v>6174527</v>
      </c>
      <c r="C105" s="161">
        <v>4945777</v>
      </c>
      <c r="D105" s="161">
        <v>3618366.47</v>
      </c>
      <c r="E105" s="148">
        <f t="shared" si="58"/>
        <v>58.601516682978314</v>
      </c>
      <c r="F105" s="148">
        <f t="shared" si="59"/>
        <v>73.16072823339994</v>
      </c>
      <c r="G105" s="161">
        <f>D105-'[5]Oktobris'!D105</f>
        <v>911.1800000001676</v>
      </c>
      <c r="I105" s="151" t="s">
        <v>973</v>
      </c>
      <c r="J105" s="154">
        <f>ROUND(B105/1000,0)-1</f>
        <v>6174</v>
      </c>
      <c r="K105" s="154">
        <f>ROUND(C105/1000,0)</f>
        <v>4946</v>
      </c>
      <c r="L105" s="154">
        <f>ROUND(D105/1000,0)</f>
        <v>3618</v>
      </c>
      <c r="M105" s="155">
        <f t="shared" si="60"/>
        <v>58.60058309037901</v>
      </c>
      <c r="N105" s="155">
        <f t="shared" si="61"/>
        <v>73.15002021835826</v>
      </c>
      <c r="O105" s="154">
        <f>L105-'[5]Oktobris'!L105</f>
        <v>1</v>
      </c>
      <c r="Q105" s="154">
        <v>3618</v>
      </c>
      <c r="R105" s="154">
        <v>3617</v>
      </c>
      <c r="S105" s="785">
        <f>Q105-R105</f>
        <v>1</v>
      </c>
    </row>
    <row r="106" spans="1:19" ht="12.75" customHeight="1">
      <c r="A106" s="157" t="s">
        <v>974</v>
      </c>
      <c r="B106" s="163">
        <f>SUM(B107:B108)</f>
        <v>15819085</v>
      </c>
      <c r="C106" s="163">
        <f>SUM(C107:C108)</f>
        <v>13528424</v>
      </c>
      <c r="D106" s="163">
        <f>SUM(D107:D108)</f>
        <v>9282699.4</v>
      </c>
      <c r="E106" s="148">
        <f t="shared" si="58"/>
        <v>58.680381324204276</v>
      </c>
      <c r="F106" s="148">
        <f t="shared" si="59"/>
        <v>68.61626601886516</v>
      </c>
      <c r="G106" s="163">
        <f>SUM(G107:G108)</f>
        <v>578967.6200000001</v>
      </c>
      <c r="I106" s="157" t="s">
        <v>974</v>
      </c>
      <c r="J106" s="145">
        <f>J107+J108</f>
        <v>15820</v>
      </c>
      <c r="K106" s="145">
        <f>K107+K108</f>
        <v>13529</v>
      </c>
      <c r="L106" s="145">
        <f>L107+L108</f>
        <v>9283</v>
      </c>
      <c r="M106" s="153">
        <f t="shared" si="60"/>
        <v>58.67888748419722</v>
      </c>
      <c r="N106" s="153">
        <f t="shared" si="61"/>
        <v>68.6155665607214</v>
      </c>
      <c r="O106" s="145">
        <f>SUM(O107:O108)</f>
        <v>580</v>
      </c>
      <c r="Q106" s="145">
        <v>9283</v>
      </c>
      <c r="R106" s="145">
        <v>8703</v>
      </c>
      <c r="S106" s="138">
        <f t="shared" si="40"/>
        <v>580</v>
      </c>
    </row>
    <row r="107" spans="1:19" ht="12.75" customHeight="1">
      <c r="A107" s="159" t="s">
        <v>975</v>
      </c>
      <c r="B107" s="161">
        <v>7130580</v>
      </c>
      <c r="C107" s="161">
        <v>6510544</v>
      </c>
      <c r="D107" s="161">
        <v>6148169.33</v>
      </c>
      <c r="E107" s="148">
        <f t="shared" si="58"/>
        <v>86.22256997327005</v>
      </c>
      <c r="F107" s="148">
        <f t="shared" si="59"/>
        <v>94.4340339301908</v>
      </c>
      <c r="G107" s="161">
        <f>D107-'[5]Oktobris'!D107</f>
        <v>482774.36000000034</v>
      </c>
      <c r="I107" s="159" t="s">
        <v>975</v>
      </c>
      <c r="J107" s="154">
        <f>ROUND(B107/1000,0)</f>
        <v>7131</v>
      </c>
      <c r="K107" s="154">
        <f>ROUND(C107/1000,0)</f>
        <v>6511</v>
      </c>
      <c r="L107" s="154">
        <f aca="true" t="shared" si="63" ref="J107:L108">ROUND(D107/1000,0)</f>
        <v>6148</v>
      </c>
      <c r="M107" s="155">
        <f t="shared" si="60"/>
        <v>86.21511709437667</v>
      </c>
      <c r="N107" s="155">
        <f t="shared" si="61"/>
        <v>94.42481953616955</v>
      </c>
      <c r="O107" s="154">
        <f>L107-'[5]Oktobris'!L107</f>
        <v>483</v>
      </c>
      <c r="Q107" s="154">
        <v>6148</v>
      </c>
      <c r="R107" s="154">
        <v>5665</v>
      </c>
      <c r="S107" s="138">
        <f t="shared" si="40"/>
        <v>483</v>
      </c>
    </row>
    <row r="108" spans="1:19" ht="12.75" customHeight="1">
      <c r="A108" s="159" t="s">
        <v>976</v>
      </c>
      <c r="B108" s="161">
        <v>8688505</v>
      </c>
      <c r="C108" s="161">
        <v>7017880</v>
      </c>
      <c r="D108" s="161">
        <v>3134530.07</v>
      </c>
      <c r="E108" s="148">
        <f t="shared" si="58"/>
        <v>36.076748186252985</v>
      </c>
      <c r="F108" s="148">
        <f t="shared" si="59"/>
        <v>44.66491404811709</v>
      </c>
      <c r="G108" s="161">
        <f>D108-'[5]Oktobris'!D108</f>
        <v>96193.25999999978</v>
      </c>
      <c r="I108" s="159" t="s">
        <v>976</v>
      </c>
      <c r="J108" s="154">
        <f t="shared" si="63"/>
        <v>8689</v>
      </c>
      <c r="K108" s="154">
        <f t="shared" si="63"/>
        <v>7018</v>
      </c>
      <c r="L108" s="154">
        <f t="shared" si="63"/>
        <v>3135</v>
      </c>
      <c r="M108" s="155">
        <f t="shared" si="60"/>
        <v>36.08010127747727</v>
      </c>
      <c r="N108" s="155">
        <f t="shared" si="61"/>
        <v>44.67084639498432</v>
      </c>
      <c r="O108" s="154">
        <f>L108-'[5]Oktobris'!L108</f>
        <v>97</v>
      </c>
      <c r="Q108" s="154">
        <v>3135</v>
      </c>
      <c r="R108" s="154">
        <v>3038</v>
      </c>
      <c r="S108" s="138">
        <f t="shared" si="40"/>
        <v>97</v>
      </c>
    </row>
    <row r="109" spans="1:19" ht="12.75" customHeight="1">
      <c r="A109" s="157" t="s">
        <v>1002</v>
      </c>
      <c r="B109" s="163"/>
      <c r="C109" s="163"/>
      <c r="D109" s="163"/>
      <c r="E109" s="163"/>
      <c r="F109" s="163"/>
      <c r="G109" s="163"/>
      <c r="I109" s="157" t="s">
        <v>1003</v>
      </c>
      <c r="J109" s="163"/>
      <c r="K109" s="163"/>
      <c r="L109" s="163"/>
      <c r="M109" s="155"/>
      <c r="N109" s="155"/>
      <c r="O109" s="163"/>
      <c r="Q109" s="163"/>
      <c r="R109" s="163"/>
      <c r="S109" s="138">
        <f t="shared" si="40"/>
        <v>0</v>
      </c>
    </row>
    <row r="110" spans="1:19" ht="12.75" customHeight="1">
      <c r="A110" s="151" t="s">
        <v>969</v>
      </c>
      <c r="B110" s="161">
        <f>SUM(B111:B114)</f>
        <v>165550646</v>
      </c>
      <c r="C110" s="163">
        <f>SUM(C111:C114)</f>
        <v>152379886</v>
      </c>
      <c r="D110" s="163">
        <f>SUM(D111:D114)</f>
        <v>149113422</v>
      </c>
      <c r="E110" s="147">
        <f aca="true" t="shared" si="64" ref="E110:E117">IF(ISERROR(D110/B110)," ",(D110/B110))*100</f>
        <v>90.07118099678088</v>
      </c>
      <c r="F110" s="147">
        <f aca="true" t="shared" si="65" ref="F110:F117">IF(ISERROR(D110/C110)," ",(D110/C110))*100</f>
        <v>97.85636799859529</v>
      </c>
      <c r="G110" s="163">
        <f>SUM(G111:G114)</f>
        <v>12961464.39</v>
      </c>
      <c r="I110" s="151" t="s">
        <v>969</v>
      </c>
      <c r="J110" s="145">
        <f>J111+J112+J113+J114</f>
        <v>165550</v>
      </c>
      <c r="K110" s="145">
        <f>K111+K112+K113+K114</f>
        <v>152380</v>
      </c>
      <c r="L110" s="145">
        <f>L111+L112+L113+L114</f>
        <v>149113</v>
      </c>
      <c r="M110" s="153">
        <f>L110/J110*100</f>
        <v>90.07127755964966</v>
      </c>
      <c r="N110" s="153">
        <f>L110/K110*100</f>
        <v>97.85601785011157</v>
      </c>
      <c r="O110" s="145">
        <f>SUM(O111:O114)</f>
        <v>12961</v>
      </c>
      <c r="Q110" s="145">
        <v>149113</v>
      </c>
      <c r="R110" s="145">
        <v>136152</v>
      </c>
      <c r="S110" s="138">
        <f t="shared" si="40"/>
        <v>12961</v>
      </c>
    </row>
    <row r="111" spans="1:19" ht="12.75" customHeight="1">
      <c r="A111" s="151" t="s">
        <v>970</v>
      </c>
      <c r="B111" s="161">
        <v>157292351</v>
      </c>
      <c r="C111" s="161">
        <v>144693780</v>
      </c>
      <c r="D111" s="161">
        <v>144693780</v>
      </c>
      <c r="E111" s="148">
        <f t="shared" si="64"/>
        <v>91.99034732464517</v>
      </c>
      <c r="F111" s="148">
        <f t="shared" si="65"/>
        <v>100</v>
      </c>
      <c r="G111" s="161">
        <f>D111-'[5]Oktobris'!D111</f>
        <v>12486348</v>
      </c>
      <c r="I111" s="151" t="s">
        <v>970</v>
      </c>
      <c r="J111" s="154">
        <f>ROUND(B111/1000,0)</f>
        <v>157292</v>
      </c>
      <c r="K111" s="154">
        <f>ROUND(C111/1000,0)</f>
        <v>144694</v>
      </c>
      <c r="L111" s="154">
        <f>ROUND(D111/1000,0)</f>
        <v>144694</v>
      </c>
      <c r="M111" s="155">
        <f>L111/J111*100</f>
        <v>91.99069247005569</v>
      </c>
      <c r="N111" s="155">
        <f>L111/K111*100</f>
        <v>100</v>
      </c>
      <c r="O111" s="154">
        <f>L111-'[5]Oktobris'!L111</f>
        <v>12487</v>
      </c>
      <c r="Q111" s="154">
        <v>144694</v>
      </c>
      <c r="R111" s="154">
        <v>132207</v>
      </c>
      <c r="S111" s="138">
        <f t="shared" si="40"/>
        <v>12487</v>
      </c>
    </row>
    <row r="112" spans="1:19" ht="12.75" customHeight="1">
      <c r="A112" s="151" t="s">
        <v>971</v>
      </c>
      <c r="B112" s="161">
        <v>48902</v>
      </c>
      <c r="C112" s="161">
        <v>36750</v>
      </c>
      <c r="D112" s="161"/>
      <c r="E112" s="148">
        <f t="shared" si="64"/>
        <v>0</v>
      </c>
      <c r="F112" s="148">
        <f t="shared" si="65"/>
        <v>0</v>
      </c>
      <c r="G112" s="161">
        <f>D112-'[5]Oktobris'!D112</f>
        <v>0</v>
      </c>
      <c r="I112" s="151" t="s">
        <v>971</v>
      </c>
      <c r="J112" s="154">
        <f aca="true" t="shared" si="66" ref="J112:K114">ROUND(B112/1000,0)</f>
        <v>49</v>
      </c>
      <c r="K112" s="154">
        <f t="shared" si="66"/>
        <v>37</v>
      </c>
      <c r="L112" s="154"/>
      <c r="M112" s="154"/>
      <c r="N112" s="154"/>
      <c r="O112" s="154"/>
      <c r="Q112" s="154">
        <v>0</v>
      </c>
      <c r="R112" s="154"/>
      <c r="S112" s="138">
        <f t="shared" si="40"/>
        <v>0</v>
      </c>
    </row>
    <row r="113" spans="1:19" ht="12.75" customHeight="1">
      <c r="A113" s="151" t="s">
        <v>972</v>
      </c>
      <c r="B113" s="161">
        <v>5168141</v>
      </c>
      <c r="C113" s="161">
        <v>4749301</v>
      </c>
      <c r="D113" s="161">
        <v>3973346.5</v>
      </c>
      <c r="E113" s="148">
        <f t="shared" si="64"/>
        <v>76.88154212510842</v>
      </c>
      <c r="F113" s="148">
        <f t="shared" si="65"/>
        <v>83.66171148133166</v>
      </c>
      <c r="G113" s="161">
        <f>D113-'[5]Oktobris'!D113</f>
        <v>344353.4900000002</v>
      </c>
      <c r="I113" s="151" t="s">
        <v>972</v>
      </c>
      <c r="J113" s="154">
        <f t="shared" si="66"/>
        <v>5168</v>
      </c>
      <c r="K113" s="154">
        <f t="shared" si="66"/>
        <v>4749</v>
      </c>
      <c r="L113" s="154">
        <f>ROUND(D113/1000,0)</f>
        <v>3973</v>
      </c>
      <c r="M113" s="155">
        <f>L113/J113*100</f>
        <v>76.87693498452013</v>
      </c>
      <c r="N113" s="155">
        <f>L113/K113*100</f>
        <v>83.65971783533375</v>
      </c>
      <c r="O113" s="154">
        <f>L113-'[5]Oktobris'!L113</f>
        <v>344</v>
      </c>
      <c r="Q113" s="154">
        <v>3973</v>
      </c>
      <c r="R113" s="154">
        <v>3629</v>
      </c>
      <c r="S113" s="138">
        <f t="shared" si="40"/>
        <v>344</v>
      </c>
    </row>
    <row r="114" spans="1:19" ht="12.75" customHeight="1">
      <c r="A114" s="151" t="s">
        <v>973</v>
      </c>
      <c r="B114" s="161">
        <v>3041252</v>
      </c>
      <c r="C114" s="161">
        <v>2900055</v>
      </c>
      <c r="D114" s="161">
        <v>446295.5</v>
      </c>
      <c r="E114" s="148">
        <f t="shared" si="64"/>
        <v>14.674729354884105</v>
      </c>
      <c r="F114" s="148">
        <f t="shared" si="65"/>
        <v>15.389208135707772</v>
      </c>
      <c r="G114" s="161">
        <f>D114-'[5]Oktobris'!D114</f>
        <v>130762.90000000002</v>
      </c>
      <c r="I114" s="151" t="s">
        <v>973</v>
      </c>
      <c r="J114" s="154">
        <f t="shared" si="66"/>
        <v>3041</v>
      </c>
      <c r="K114" s="154">
        <f t="shared" si="66"/>
        <v>2900</v>
      </c>
      <c r="L114" s="154">
        <f>ROUND(D114/1000,0)</f>
        <v>446</v>
      </c>
      <c r="M114" s="155">
        <f>L114/J114*100</f>
        <v>14.666228214403157</v>
      </c>
      <c r="N114" s="155">
        <f>L114/K114*100</f>
        <v>15.379310344827587</v>
      </c>
      <c r="O114" s="154">
        <f>L114-'[5]Oktobris'!L114</f>
        <v>130</v>
      </c>
      <c r="Q114" s="154">
        <v>446</v>
      </c>
      <c r="R114" s="154">
        <v>316</v>
      </c>
      <c r="S114" s="138">
        <f t="shared" si="40"/>
        <v>130</v>
      </c>
    </row>
    <row r="115" spans="1:19" ht="12.75" customHeight="1">
      <c r="A115" s="157" t="s">
        <v>974</v>
      </c>
      <c r="B115" s="163">
        <f>SUM(B116:B117)</f>
        <v>165550646</v>
      </c>
      <c r="C115" s="163">
        <f>SUM(C116:C117)</f>
        <v>152379886</v>
      </c>
      <c r="D115" s="163">
        <f>SUM(D116:D117)</f>
        <v>148357143.26999998</v>
      </c>
      <c r="E115" s="147">
        <f t="shared" si="64"/>
        <v>89.6143547938798</v>
      </c>
      <c r="F115" s="147">
        <f t="shared" si="65"/>
        <v>97.36005660878364</v>
      </c>
      <c r="G115" s="163">
        <f>SUM(G116:G117)</f>
        <v>13127527.369999994</v>
      </c>
      <c r="I115" s="157" t="s">
        <v>974</v>
      </c>
      <c r="J115" s="145">
        <f>J116+J117</f>
        <v>165550</v>
      </c>
      <c r="K115" s="145">
        <f>K116+K117</f>
        <v>152380</v>
      </c>
      <c r="L115" s="145">
        <f>L116+L117</f>
        <v>148357</v>
      </c>
      <c r="M115" s="153">
        <f>L115/J115*100</f>
        <v>89.61461794019934</v>
      </c>
      <c r="N115" s="153">
        <f>L115/K115*100</f>
        <v>97.35988974931094</v>
      </c>
      <c r="O115" s="145">
        <f>SUM(O116:O117)</f>
        <v>13127</v>
      </c>
      <c r="Q115" s="145">
        <v>148357</v>
      </c>
      <c r="R115" s="145">
        <v>135230</v>
      </c>
      <c r="S115" s="138">
        <f t="shared" si="40"/>
        <v>13127</v>
      </c>
    </row>
    <row r="116" spans="1:19" ht="12.75" customHeight="1">
      <c r="A116" s="159" t="s">
        <v>975</v>
      </c>
      <c r="B116" s="161">
        <v>162177135</v>
      </c>
      <c r="C116" s="161">
        <v>149075670</v>
      </c>
      <c r="D116" s="161">
        <v>146149631.67</v>
      </c>
      <c r="E116" s="148">
        <f t="shared" si="64"/>
        <v>90.11728544224191</v>
      </c>
      <c r="F116" s="148">
        <f t="shared" si="65"/>
        <v>98.03721269205094</v>
      </c>
      <c r="G116" s="161">
        <f>D116-'[5]Oktobris'!D116</f>
        <v>12893865.959999993</v>
      </c>
      <c r="I116" s="159" t="s">
        <v>975</v>
      </c>
      <c r="J116" s="154">
        <f aca="true" t="shared" si="67" ref="J116:L117">ROUND(B116/1000,0)</f>
        <v>162177</v>
      </c>
      <c r="K116" s="154">
        <f t="shared" si="67"/>
        <v>149076</v>
      </c>
      <c r="L116" s="154">
        <f t="shared" si="67"/>
        <v>146150</v>
      </c>
      <c r="M116" s="155">
        <f>L116/J116*100</f>
        <v>90.1175875740703</v>
      </c>
      <c r="N116" s="155">
        <f>L116/K116*100</f>
        <v>98.03724274866511</v>
      </c>
      <c r="O116" s="154">
        <f>L116-'[5]Oktobris'!L116</f>
        <v>12894</v>
      </c>
      <c r="Q116" s="154">
        <v>146150</v>
      </c>
      <c r="R116" s="154">
        <v>133256</v>
      </c>
      <c r="S116" s="138">
        <f t="shared" si="40"/>
        <v>12894</v>
      </c>
    </row>
    <row r="117" spans="1:19" ht="12.75" customHeight="1">
      <c r="A117" s="159" t="s">
        <v>976</v>
      </c>
      <c r="B117" s="161">
        <v>3373511</v>
      </c>
      <c r="C117" s="161">
        <v>3304216</v>
      </c>
      <c r="D117" s="161">
        <v>2207511.6</v>
      </c>
      <c r="E117" s="148">
        <f t="shared" si="64"/>
        <v>65.43662077876729</v>
      </c>
      <c r="F117" s="148">
        <f t="shared" si="65"/>
        <v>66.80893743024065</v>
      </c>
      <c r="G117" s="161">
        <f>D117-'[5]Oktobris'!D117</f>
        <v>233661.41000000015</v>
      </c>
      <c r="I117" s="159" t="s">
        <v>976</v>
      </c>
      <c r="J117" s="154">
        <f>ROUND(B117/1000,0)-1</f>
        <v>3373</v>
      </c>
      <c r="K117" s="154">
        <f t="shared" si="67"/>
        <v>3304</v>
      </c>
      <c r="L117" s="154">
        <f>ROUND(D117/1000,0)-1</f>
        <v>2207</v>
      </c>
      <c r="M117" s="155">
        <f>L117/J117*100</f>
        <v>65.43136673584347</v>
      </c>
      <c r="N117" s="155">
        <f>L117/K117*100</f>
        <v>66.79782082324455</v>
      </c>
      <c r="O117" s="154">
        <f>L117-'[5]Oktobris'!L117</f>
        <v>233</v>
      </c>
      <c r="Q117" s="154">
        <v>2207</v>
      </c>
      <c r="R117" s="154">
        <v>1974</v>
      </c>
      <c r="S117" s="138">
        <f t="shared" si="40"/>
        <v>233</v>
      </c>
    </row>
    <row r="118" spans="1:19" ht="12.75" customHeight="1">
      <c r="A118" s="157" t="s">
        <v>1004</v>
      </c>
      <c r="B118" s="163"/>
      <c r="C118" s="163"/>
      <c r="D118" s="163"/>
      <c r="E118" s="163"/>
      <c r="F118" s="163"/>
      <c r="G118" s="163"/>
      <c r="I118" s="157" t="s">
        <v>1005</v>
      </c>
      <c r="J118" s="163"/>
      <c r="K118" s="163"/>
      <c r="L118" s="163"/>
      <c r="M118" s="155"/>
      <c r="N118" s="155"/>
      <c r="O118" s="163"/>
      <c r="Q118" s="163"/>
      <c r="R118" s="163"/>
      <c r="S118" s="138">
        <f t="shared" si="40"/>
        <v>0</v>
      </c>
    </row>
    <row r="119" spans="1:19" ht="12.75" customHeight="1">
      <c r="A119" s="151" t="s">
        <v>969</v>
      </c>
      <c r="B119" s="161">
        <f>SUM(B120:B122)</f>
        <v>29628652</v>
      </c>
      <c r="C119" s="163">
        <f>SUM(C120:C122)</f>
        <v>25976171</v>
      </c>
      <c r="D119" s="163">
        <f>SUM(D120:D122)</f>
        <v>24933267.26</v>
      </c>
      <c r="E119" s="147">
        <f aca="true" t="shared" si="68" ref="E119:E125">IF(ISERROR(D119/B119)," ",(D119/B119))*100</f>
        <v>84.15255361600657</v>
      </c>
      <c r="F119" s="147">
        <f aca="true" t="shared" si="69" ref="F119:F125">IF(ISERROR(D119/C119)," ",(D119/C119))*100</f>
        <v>95.9851521611865</v>
      </c>
      <c r="G119" s="163">
        <f>SUM(G120:G122)</f>
        <v>2356386.22</v>
      </c>
      <c r="I119" s="151" t="s">
        <v>969</v>
      </c>
      <c r="J119" s="145">
        <f>J120+J121+J122</f>
        <v>29628</v>
      </c>
      <c r="K119" s="145">
        <f>K120+K121+K122</f>
        <v>25977</v>
      </c>
      <c r="L119" s="145">
        <f>L120+L121+L122</f>
        <v>24933</v>
      </c>
      <c r="M119" s="153">
        <f aca="true" t="shared" si="70" ref="M119:M125">L119/J119*100</f>
        <v>84.15350344268934</v>
      </c>
      <c r="N119" s="153">
        <f aca="true" t="shared" si="71" ref="N119:N125">L119/K119*100</f>
        <v>95.9810601686107</v>
      </c>
      <c r="O119" s="145">
        <f>SUM(O120:O122)</f>
        <v>2356</v>
      </c>
      <c r="Q119" s="145">
        <v>24933</v>
      </c>
      <c r="R119" s="145">
        <v>22577</v>
      </c>
      <c r="S119" s="138">
        <f t="shared" si="40"/>
        <v>2356</v>
      </c>
    </row>
    <row r="120" spans="1:19" ht="12.75" customHeight="1">
      <c r="A120" s="151" t="s">
        <v>970</v>
      </c>
      <c r="B120" s="161">
        <v>25845085</v>
      </c>
      <c r="C120" s="161">
        <v>23570848</v>
      </c>
      <c r="D120" s="161">
        <v>23570848</v>
      </c>
      <c r="E120" s="148">
        <f t="shared" si="68"/>
        <v>91.20050485421116</v>
      </c>
      <c r="F120" s="148">
        <f t="shared" si="69"/>
        <v>100</v>
      </c>
      <c r="G120" s="161">
        <f>D120-'[5]Oktobris'!D120</f>
        <v>2271866</v>
      </c>
      <c r="I120" s="151" t="s">
        <v>970</v>
      </c>
      <c r="J120" s="154">
        <f aca="true" t="shared" si="72" ref="J120:L121">ROUND(B120/1000,0)</f>
        <v>25845</v>
      </c>
      <c r="K120" s="154">
        <f t="shared" si="72"/>
        <v>23571</v>
      </c>
      <c r="L120" s="154">
        <f t="shared" si="72"/>
        <v>23571</v>
      </c>
      <c r="M120" s="155">
        <f t="shared" si="70"/>
        <v>91.20139291932675</v>
      </c>
      <c r="N120" s="155">
        <f t="shared" si="71"/>
        <v>100</v>
      </c>
      <c r="O120" s="154">
        <f>L120-'[5]Oktobris'!L120</f>
        <v>2272</v>
      </c>
      <c r="Q120" s="154">
        <v>23571</v>
      </c>
      <c r="R120" s="154">
        <v>21299</v>
      </c>
      <c r="S120" s="138">
        <f t="shared" si="40"/>
        <v>2272</v>
      </c>
    </row>
    <row r="121" spans="1:19" ht="12.75" customHeight="1">
      <c r="A121" s="151" t="s">
        <v>972</v>
      </c>
      <c r="B121" s="161">
        <v>1330472</v>
      </c>
      <c r="C121" s="161">
        <v>1219728</v>
      </c>
      <c r="D121" s="161">
        <v>787021.26</v>
      </c>
      <c r="E121" s="148">
        <f t="shared" si="68"/>
        <v>59.15353799253198</v>
      </c>
      <c r="F121" s="148">
        <f t="shared" si="69"/>
        <v>64.52432509543111</v>
      </c>
      <c r="G121" s="161">
        <f>D121-'[5]Oktobris'!D121</f>
        <v>58479.570000000065</v>
      </c>
      <c r="I121" s="151" t="s">
        <v>972</v>
      </c>
      <c r="J121" s="154">
        <f t="shared" si="72"/>
        <v>1330</v>
      </c>
      <c r="K121" s="154">
        <f t="shared" si="72"/>
        <v>1220</v>
      </c>
      <c r="L121" s="154">
        <f t="shared" si="72"/>
        <v>787</v>
      </c>
      <c r="M121" s="155">
        <f t="shared" si="70"/>
        <v>59.17293233082707</v>
      </c>
      <c r="N121" s="155">
        <f t="shared" si="71"/>
        <v>64.50819672131148</v>
      </c>
      <c r="O121" s="154">
        <f>L121-'[5]Oktobris'!L121</f>
        <v>58</v>
      </c>
      <c r="Q121" s="154">
        <v>787</v>
      </c>
      <c r="R121" s="154">
        <v>729</v>
      </c>
      <c r="S121" s="138">
        <f t="shared" si="40"/>
        <v>58</v>
      </c>
    </row>
    <row r="122" spans="1:19" ht="12.75" customHeight="1">
      <c r="A122" s="151" t="s">
        <v>973</v>
      </c>
      <c r="B122" s="161">
        <v>2453095</v>
      </c>
      <c r="C122" s="161">
        <v>1185595</v>
      </c>
      <c r="D122" s="161">
        <v>575398</v>
      </c>
      <c r="E122" s="148">
        <f t="shared" si="68"/>
        <v>23.456001500145735</v>
      </c>
      <c r="F122" s="148">
        <f t="shared" si="69"/>
        <v>48.53242464753984</v>
      </c>
      <c r="G122" s="161">
        <f>D122-'[5]Oktobris'!D122</f>
        <v>26040.650000000023</v>
      </c>
      <c r="I122" s="151" t="s">
        <v>973</v>
      </c>
      <c r="J122" s="154">
        <f>ROUND(B122/1000,0)</f>
        <v>2453</v>
      </c>
      <c r="K122" s="154">
        <f>ROUND(C122/1000,0)</f>
        <v>1186</v>
      </c>
      <c r="L122" s="154">
        <f>ROUND(D122/1000,0)</f>
        <v>575</v>
      </c>
      <c r="M122" s="155">
        <f t="shared" si="70"/>
        <v>23.440684875662456</v>
      </c>
      <c r="N122" s="155">
        <f t="shared" si="71"/>
        <v>48.4822934232715</v>
      </c>
      <c r="O122" s="154">
        <f>L122-'[5]Oktobris'!L122</f>
        <v>26</v>
      </c>
      <c r="Q122" s="154">
        <v>575</v>
      </c>
      <c r="R122" s="154">
        <v>549</v>
      </c>
      <c r="S122" s="138">
        <f t="shared" si="40"/>
        <v>26</v>
      </c>
    </row>
    <row r="123" spans="1:19" ht="12.75" customHeight="1">
      <c r="A123" s="157" t="s">
        <v>974</v>
      </c>
      <c r="B123" s="163">
        <f>SUM(B124:B125)</f>
        <v>29633808</v>
      </c>
      <c r="C123" s="163">
        <f>SUM(C124:C125)</f>
        <v>25981327</v>
      </c>
      <c r="D123" s="163">
        <f>SUM(D124:D125)</f>
        <v>24411727.54</v>
      </c>
      <c r="E123" s="148">
        <f t="shared" si="68"/>
        <v>82.37796350708622</v>
      </c>
      <c r="F123" s="148">
        <f t="shared" si="69"/>
        <v>93.9587402136927</v>
      </c>
      <c r="G123" s="163">
        <f>SUM(G124:G125)</f>
        <v>2336461.940000001</v>
      </c>
      <c r="I123" s="157" t="s">
        <v>974</v>
      </c>
      <c r="J123" s="145">
        <f>J124+J125</f>
        <v>29633</v>
      </c>
      <c r="K123" s="145">
        <f>K124+K125</f>
        <v>25982</v>
      </c>
      <c r="L123" s="145">
        <f>L124+L125</f>
        <v>24412</v>
      </c>
      <c r="M123" s="153">
        <f t="shared" si="70"/>
        <v>82.38112914655959</v>
      </c>
      <c r="N123" s="153">
        <f t="shared" si="71"/>
        <v>93.95735509198676</v>
      </c>
      <c r="O123" s="145">
        <f>SUM(O124:O125)</f>
        <v>2336</v>
      </c>
      <c r="Q123" s="145">
        <v>24412</v>
      </c>
      <c r="R123" s="145">
        <v>22076</v>
      </c>
      <c r="S123" s="138">
        <f t="shared" si="40"/>
        <v>2336</v>
      </c>
    </row>
    <row r="124" spans="1:19" ht="12.75" customHeight="1">
      <c r="A124" s="159" t="s">
        <v>975</v>
      </c>
      <c r="B124" s="161">
        <v>25989491</v>
      </c>
      <c r="C124" s="161">
        <v>22619810</v>
      </c>
      <c r="D124" s="161">
        <v>21310100.32</v>
      </c>
      <c r="E124" s="148">
        <f t="shared" si="68"/>
        <v>81.99506608267166</v>
      </c>
      <c r="F124" s="148">
        <f t="shared" si="69"/>
        <v>94.20989972948492</v>
      </c>
      <c r="G124" s="161">
        <f>D124-'[5]Oktobris'!D124</f>
        <v>2159516.460000001</v>
      </c>
      <c r="I124" s="159" t="s">
        <v>975</v>
      </c>
      <c r="J124" s="154">
        <f aca="true" t="shared" si="73" ref="J124:L125">ROUND(B124/1000,0)</f>
        <v>25989</v>
      </c>
      <c r="K124" s="154">
        <f t="shared" si="73"/>
        <v>22620</v>
      </c>
      <c r="L124" s="154">
        <f t="shared" si="73"/>
        <v>21310</v>
      </c>
      <c r="M124" s="155">
        <f t="shared" si="70"/>
        <v>81.99622917388125</v>
      </c>
      <c r="N124" s="155">
        <f t="shared" si="71"/>
        <v>94.20866489832007</v>
      </c>
      <c r="O124" s="154">
        <f>L124-'[5]Oktobris'!L124</f>
        <v>2159</v>
      </c>
      <c r="Q124" s="154">
        <v>21310</v>
      </c>
      <c r="R124" s="154">
        <v>19151</v>
      </c>
      <c r="S124" s="138">
        <f t="shared" si="40"/>
        <v>2159</v>
      </c>
    </row>
    <row r="125" spans="1:19" ht="12.75" customHeight="1">
      <c r="A125" s="159" t="s">
        <v>976</v>
      </c>
      <c r="B125" s="161">
        <v>3644317</v>
      </c>
      <c r="C125" s="161">
        <v>3361517</v>
      </c>
      <c r="D125" s="161">
        <v>3101627.22</v>
      </c>
      <c r="E125" s="148">
        <f t="shared" si="68"/>
        <v>85.10860114529005</v>
      </c>
      <c r="F125" s="148">
        <f t="shared" si="69"/>
        <v>92.2686757199205</v>
      </c>
      <c r="G125" s="161">
        <f>D125-'[5]Oktobris'!D125</f>
        <v>176945.47999999998</v>
      </c>
      <c r="I125" s="159" t="s">
        <v>976</v>
      </c>
      <c r="J125" s="154">
        <f t="shared" si="73"/>
        <v>3644</v>
      </c>
      <c r="K125" s="154">
        <f>ROUND(C125/1000,0)</f>
        <v>3362</v>
      </c>
      <c r="L125" s="154">
        <f t="shared" si="73"/>
        <v>3102</v>
      </c>
      <c r="M125" s="155">
        <f t="shared" si="70"/>
        <v>85.12623490669594</v>
      </c>
      <c r="N125" s="155">
        <f t="shared" si="71"/>
        <v>92.26650803093396</v>
      </c>
      <c r="O125" s="154">
        <f>L125-'[5]Oktobris'!L125</f>
        <v>177</v>
      </c>
      <c r="Q125" s="154">
        <v>3102</v>
      </c>
      <c r="R125" s="154">
        <v>2925</v>
      </c>
      <c r="S125" s="138">
        <f t="shared" si="40"/>
        <v>177</v>
      </c>
    </row>
    <row r="126" spans="1:19" ht="25.5" customHeight="1">
      <c r="A126" s="162" t="s">
        <v>1006</v>
      </c>
      <c r="B126" s="161"/>
      <c r="C126" s="161"/>
      <c r="D126" s="161"/>
      <c r="E126" s="161"/>
      <c r="F126" s="161"/>
      <c r="G126" s="161"/>
      <c r="I126" s="162" t="s">
        <v>1007</v>
      </c>
      <c r="J126" s="161"/>
      <c r="K126" s="161"/>
      <c r="L126" s="161"/>
      <c r="M126" s="155"/>
      <c r="N126" s="155"/>
      <c r="O126" s="161"/>
      <c r="Q126" s="161"/>
      <c r="R126" s="161"/>
      <c r="S126" s="138">
        <f t="shared" si="40"/>
        <v>0</v>
      </c>
    </row>
    <row r="127" spans="1:19" ht="12.75" customHeight="1">
      <c r="A127" s="151" t="s">
        <v>969</v>
      </c>
      <c r="B127" s="161">
        <f>SUM(B128:B130)</f>
        <v>14692740</v>
      </c>
      <c r="C127" s="163">
        <f>SUM(C128:C130)</f>
        <v>13548723</v>
      </c>
      <c r="D127" s="163">
        <f>SUM(D128:D130)</f>
        <v>11035125.7</v>
      </c>
      <c r="E127" s="147">
        <f aca="true" t="shared" si="74" ref="E127:E133">IF(ISERROR(D127/B127)," ",(D127/B127))*100</f>
        <v>75.10597546815637</v>
      </c>
      <c r="F127" s="147">
        <f aca="true" t="shared" si="75" ref="F127:F133">IF(ISERROR(D127/C127)," ",(D127/C127))*100</f>
        <v>81.44771798788712</v>
      </c>
      <c r="G127" s="163">
        <f>SUM(G128:G130)</f>
        <v>1321490.8900000004</v>
      </c>
      <c r="I127" s="151" t="s">
        <v>969</v>
      </c>
      <c r="J127" s="145">
        <f>J128+J129+J130</f>
        <v>14693</v>
      </c>
      <c r="K127" s="145">
        <f>K128+K129+K130</f>
        <v>13549</v>
      </c>
      <c r="L127" s="145">
        <f>L128+L129+L130</f>
        <v>11035</v>
      </c>
      <c r="M127" s="153">
        <f aca="true" t="shared" si="76" ref="M127:M133">L127/J127*100</f>
        <v>75.10379092084666</v>
      </c>
      <c r="N127" s="153">
        <f aca="true" t="shared" si="77" ref="N127:N133">L127/K127*100</f>
        <v>81.44512510148351</v>
      </c>
      <c r="O127" s="145">
        <f>SUM(O128:O130)</f>
        <v>1322</v>
      </c>
      <c r="Q127" s="145">
        <v>11035</v>
      </c>
      <c r="R127" s="145">
        <v>9713</v>
      </c>
      <c r="S127" s="138">
        <f t="shared" si="40"/>
        <v>1322</v>
      </c>
    </row>
    <row r="128" spans="1:19" ht="12.75" customHeight="1">
      <c r="A128" s="151" t="s">
        <v>970</v>
      </c>
      <c r="B128" s="161">
        <v>7619458</v>
      </c>
      <c r="C128" s="161">
        <v>6924457</v>
      </c>
      <c r="D128" s="161">
        <v>6924457</v>
      </c>
      <c r="E128" s="148">
        <f t="shared" si="74"/>
        <v>90.87860317623641</v>
      </c>
      <c r="F128" s="148">
        <f t="shared" si="75"/>
        <v>100</v>
      </c>
      <c r="G128" s="161">
        <f>D128-'[5]Oktobris'!D128</f>
        <v>710142</v>
      </c>
      <c r="I128" s="151" t="s">
        <v>970</v>
      </c>
      <c r="J128" s="154">
        <f aca="true" t="shared" si="78" ref="J128:L129">ROUND(B128/1000,0)</f>
        <v>7619</v>
      </c>
      <c r="K128" s="154">
        <f t="shared" si="78"/>
        <v>6924</v>
      </c>
      <c r="L128" s="154">
        <f t="shared" si="78"/>
        <v>6924</v>
      </c>
      <c r="M128" s="155">
        <f t="shared" si="76"/>
        <v>90.87806798792492</v>
      </c>
      <c r="N128" s="155">
        <f t="shared" si="77"/>
        <v>100</v>
      </c>
      <c r="O128" s="154">
        <f>L128-'[5]Oktobris'!L128</f>
        <v>710</v>
      </c>
      <c r="Q128" s="154">
        <v>6924</v>
      </c>
      <c r="R128" s="154">
        <v>6214</v>
      </c>
      <c r="S128" s="138">
        <f t="shared" si="40"/>
        <v>710</v>
      </c>
    </row>
    <row r="129" spans="1:19" ht="12.75" customHeight="1">
      <c r="A129" s="151" t="s">
        <v>972</v>
      </c>
      <c r="B129" s="161">
        <v>1360524</v>
      </c>
      <c r="C129" s="161">
        <v>1251018</v>
      </c>
      <c r="D129" s="161">
        <v>1207098.75</v>
      </c>
      <c r="E129" s="148">
        <f t="shared" si="74"/>
        <v>88.72307654991754</v>
      </c>
      <c r="F129" s="148">
        <f t="shared" si="75"/>
        <v>96.48931909852617</v>
      </c>
      <c r="G129" s="161">
        <f>D129-'[5]Oktobris'!D129</f>
        <v>118008.84000000008</v>
      </c>
      <c r="I129" s="151" t="s">
        <v>972</v>
      </c>
      <c r="J129" s="154">
        <f>ROUND(B129/1000,0)-1</f>
        <v>1360</v>
      </c>
      <c r="K129" s="154">
        <f>ROUND(C129/1000,0)</f>
        <v>1251</v>
      </c>
      <c r="L129" s="154">
        <f t="shared" si="78"/>
        <v>1207</v>
      </c>
      <c r="M129" s="155">
        <f t="shared" si="76"/>
        <v>88.75</v>
      </c>
      <c r="N129" s="155">
        <f t="shared" si="77"/>
        <v>96.4828137490008</v>
      </c>
      <c r="O129" s="154">
        <f>L129-'[5]Oktobris'!L129</f>
        <v>118</v>
      </c>
      <c r="Q129" s="154">
        <v>1207</v>
      </c>
      <c r="R129" s="154">
        <v>1089</v>
      </c>
      <c r="S129" s="138">
        <f t="shared" si="40"/>
        <v>118</v>
      </c>
    </row>
    <row r="130" spans="1:256" ht="12.75" customHeight="1">
      <c r="A130" s="151" t="s">
        <v>973</v>
      </c>
      <c r="B130" s="161">
        <v>5712758</v>
      </c>
      <c r="C130" s="161">
        <v>5373248</v>
      </c>
      <c r="D130" s="161">
        <v>2903569.95</v>
      </c>
      <c r="E130" s="148">
        <f t="shared" si="74"/>
        <v>50.8260624728021</v>
      </c>
      <c r="F130" s="148">
        <f t="shared" si="75"/>
        <v>54.03751976458187</v>
      </c>
      <c r="G130" s="161">
        <f>D130-'[5]Oktobris'!D130</f>
        <v>493340.0500000003</v>
      </c>
      <c r="I130" s="151" t="s">
        <v>973</v>
      </c>
      <c r="J130" s="154">
        <f>ROUND(B130/1000,0)+1</f>
        <v>5714</v>
      </c>
      <c r="K130" s="154">
        <f>ROUND(C130/1000,0)+1</f>
        <v>5374</v>
      </c>
      <c r="L130" s="154">
        <f>ROUND(D130/1000,0)</f>
        <v>2904</v>
      </c>
      <c r="M130" s="155">
        <f t="shared" si="76"/>
        <v>50.822541127056354</v>
      </c>
      <c r="N130" s="155">
        <f t="shared" si="77"/>
        <v>54.03796055080014</v>
      </c>
      <c r="O130" s="154">
        <f>L130-'[5]Oktobris'!L130</f>
        <v>494</v>
      </c>
      <c r="Q130" s="154">
        <v>2904</v>
      </c>
      <c r="R130" s="154">
        <v>2410</v>
      </c>
      <c r="S130" s="785">
        <f>Q130-R130</f>
        <v>494</v>
      </c>
      <c r="IV130" s="154">
        <f>ROUND(IN130/1000,0)</f>
        <v>0</v>
      </c>
    </row>
    <row r="131" spans="1:19" ht="12.75" customHeight="1">
      <c r="A131" s="157" t="s">
        <v>974</v>
      </c>
      <c r="B131" s="163">
        <f>SUM(B132:B133)</f>
        <v>14692740</v>
      </c>
      <c r="C131" s="163">
        <f>SUM(C132:C133)</f>
        <v>13548723</v>
      </c>
      <c r="D131" s="163">
        <f>SUM(D132:D133)</f>
        <v>9961505.969999999</v>
      </c>
      <c r="E131" s="148">
        <f t="shared" si="74"/>
        <v>67.79883105533753</v>
      </c>
      <c r="F131" s="148">
        <f t="shared" si="75"/>
        <v>73.52357834756825</v>
      </c>
      <c r="G131" s="163">
        <f>SUM(G132:G133)</f>
        <v>1296101.6999999993</v>
      </c>
      <c r="I131" s="157" t="s">
        <v>974</v>
      </c>
      <c r="J131" s="145">
        <f>J132+J133</f>
        <v>14692</v>
      </c>
      <c r="K131" s="145">
        <f>K132+K133</f>
        <v>13549</v>
      </c>
      <c r="L131" s="145">
        <f>L132+L133</f>
        <v>9962</v>
      </c>
      <c r="M131" s="153">
        <f t="shared" si="76"/>
        <v>67.80560849441873</v>
      </c>
      <c r="N131" s="153">
        <f t="shared" si="77"/>
        <v>73.52572145545797</v>
      </c>
      <c r="O131" s="145">
        <f>SUM(O132:O133)</f>
        <v>1297</v>
      </c>
      <c r="Q131" s="145">
        <v>9962</v>
      </c>
      <c r="R131" s="145">
        <v>8665</v>
      </c>
      <c r="S131" s="138">
        <f t="shared" si="40"/>
        <v>1297</v>
      </c>
    </row>
    <row r="132" spans="1:19" ht="12.75" customHeight="1">
      <c r="A132" s="159" t="s">
        <v>975</v>
      </c>
      <c r="B132" s="161">
        <v>7378456</v>
      </c>
      <c r="C132" s="161">
        <v>6738949</v>
      </c>
      <c r="D132" s="161">
        <v>6389725.22</v>
      </c>
      <c r="E132" s="148">
        <f t="shared" si="74"/>
        <v>86.59976043768506</v>
      </c>
      <c r="F132" s="148">
        <f t="shared" si="75"/>
        <v>94.81783019874463</v>
      </c>
      <c r="G132" s="161">
        <f>D132-'[5]Oktobris'!D132</f>
        <v>713540.0699999994</v>
      </c>
      <c r="I132" s="159" t="s">
        <v>975</v>
      </c>
      <c r="J132" s="154">
        <f aca="true" t="shared" si="79" ref="J132:L133">ROUND(B132/1000,0)</f>
        <v>7378</v>
      </c>
      <c r="K132" s="154">
        <f t="shared" si="79"/>
        <v>6739</v>
      </c>
      <c r="L132" s="154">
        <f>ROUND(D132/1000,0)</f>
        <v>6390</v>
      </c>
      <c r="M132" s="155">
        <f t="shared" si="76"/>
        <v>86.60883708322038</v>
      </c>
      <c r="N132" s="155">
        <f t="shared" si="77"/>
        <v>94.82119008755008</v>
      </c>
      <c r="O132" s="154">
        <f>L132-'[5]Oktobris'!L132</f>
        <v>714</v>
      </c>
      <c r="Q132" s="154">
        <v>6390</v>
      </c>
      <c r="R132" s="154">
        <v>5676</v>
      </c>
      <c r="S132" s="138">
        <f t="shared" si="40"/>
        <v>714</v>
      </c>
    </row>
    <row r="133" spans="1:19" ht="12.75" customHeight="1">
      <c r="A133" s="159" t="s">
        <v>976</v>
      </c>
      <c r="B133" s="161">
        <v>7314284</v>
      </c>
      <c r="C133" s="161">
        <v>6809774</v>
      </c>
      <c r="D133" s="161">
        <v>3571780.75</v>
      </c>
      <c r="E133" s="148">
        <f t="shared" si="74"/>
        <v>48.83295138662923</v>
      </c>
      <c r="F133" s="148">
        <f t="shared" si="75"/>
        <v>52.450797192388464</v>
      </c>
      <c r="G133" s="161">
        <f>D133-'[5]Oktobris'!D133</f>
        <v>582561.6299999999</v>
      </c>
      <c r="I133" s="159" t="s">
        <v>976</v>
      </c>
      <c r="J133" s="154">
        <f t="shared" si="79"/>
        <v>7314</v>
      </c>
      <c r="K133" s="154">
        <f t="shared" si="79"/>
        <v>6810</v>
      </c>
      <c r="L133" s="154">
        <f t="shared" si="79"/>
        <v>3572</v>
      </c>
      <c r="M133" s="155">
        <f t="shared" si="76"/>
        <v>48.83784522832923</v>
      </c>
      <c r="N133" s="155">
        <f t="shared" si="77"/>
        <v>52.45227606461087</v>
      </c>
      <c r="O133" s="154">
        <f>L133-'[5]Oktobris'!L133</f>
        <v>583</v>
      </c>
      <c r="Q133" s="154">
        <v>3572</v>
      </c>
      <c r="R133" s="154">
        <v>2989</v>
      </c>
      <c r="S133" s="138">
        <f t="shared" si="40"/>
        <v>583</v>
      </c>
    </row>
    <row r="134" spans="1:19" ht="12.75" customHeight="1">
      <c r="A134" s="157" t="s">
        <v>1008</v>
      </c>
      <c r="B134" s="163"/>
      <c r="C134" s="163"/>
      <c r="D134" s="163"/>
      <c r="E134" s="163"/>
      <c r="F134" s="163"/>
      <c r="G134" s="163"/>
      <c r="I134" s="157" t="s">
        <v>1009</v>
      </c>
      <c r="J134" s="163"/>
      <c r="K134" s="163"/>
      <c r="L134" s="163"/>
      <c r="M134" s="155"/>
      <c r="N134" s="155"/>
      <c r="O134" s="163"/>
      <c r="Q134" s="163"/>
      <c r="R134" s="163"/>
      <c r="S134" s="138">
        <f t="shared" si="40"/>
        <v>0</v>
      </c>
    </row>
    <row r="135" spans="1:19" ht="12.75" customHeight="1">
      <c r="A135" s="151" t="s">
        <v>969</v>
      </c>
      <c r="B135" s="161">
        <f>SUM(B136:B138)</f>
        <v>20030603</v>
      </c>
      <c r="C135" s="163">
        <f>SUM(C136:C138)</f>
        <v>18471211</v>
      </c>
      <c r="D135" s="163">
        <f>SUM(D136:D138)</f>
        <v>18265346.279999997</v>
      </c>
      <c r="E135" s="147">
        <f aca="true" t="shared" si="80" ref="E135:E141">IF(ISERROR(D135/B135)," ",(D135/B135))*100</f>
        <v>91.1872013039248</v>
      </c>
      <c r="F135" s="147">
        <f aca="true" t="shared" si="81" ref="F135:F141">IF(ISERROR(D135/C135)," ",(D135/C135))*100</f>
        <v>98.88548336110718</v>
      </c>
      <c r="G135" s="163">
        <f>SUM(G136:G138)</f>
        <v>1566736.54</v>
      </c>
      <c r="I135" s="151" t="s">
        <v>969</v>
      </c>
      <c r="J135" s="145">
        <f>J136+J137+J138</f>
        <v>20030</v>
      </c>
      <c r="K135" s="145">
        <f>K136+K137+K138</f>
        <v>18471</v>
      </c>
      <c r="L135" s="145">
        <f>L136+L137+L138</f>
        <v>18265</v>
      </c>
      <c r="M135" s="153">
        <f aca="true" t="shared" si="82" ref="M135:M141">L135/J135*100</f>
        <v>91.18821767348977</v>
      </c>
      <c r="N135" s="153">
        <f aca="true" t="shared" si="83" ref="N135:N141">L135/K135*100</f>
        <v>98.88473823831953</v>
      </c>
      <c r="O135" s="145">
        <f>SUM(O136:O138)</f>
        <v>1566</v>
      </c>
      <c r="Q135" s="145">
        <v>18265</v>
      </c>
      <c r="R135" s="145">
        <v>16699</v>
      </c>
      <c r="S135" s="138">
        <f t="shared" si="40"/>
        <v>1566</v>
      </c>
    </row>
    <row r="136" spans="1:19" ht="12.75" customHeight="1">
      <c r="A136" s="151" t="s">
        <v>970</v>
      </c>
      <c r="B136" s="161">
        <v>17201984</v>
      </c>
      <c r="C136" s="161">
        <v>15826047</v>
      </c>
      <c r="D136" s="161">
        <v>15826047</v>
      </c>
      <c r="E136" s="148">
        <f t="shared" si="80"/>
        <v>92.0012889210919</v>
      </c>
      <c r="F136" s="148">
        <f t="shared" si="81"/>
        <v>100</v>
      </c>
      <c r="G136" s="161">
        <f>D136-'[5]Oktobris'!D136</f>
        <v>1334453</v>
      </c>
      <c r="I136" s="151" t="s">
        <v>970</v>
      </c>
      <c r="J136" s="154">
        <f aca="true" t="shared" si="84" ref="J136:L138">ROUND(B136/1000,0)</f>
        <v>17202</v>
      </c>
      <c r="K136" s="154">
        <f t="shared" si="84"/>
        <v>15826</v>
      </c>
      <c r="L136" s="154">
        <f t="shared" si="84"/>
        <v>15826</v>
      </c>
      <c r="M136" s="155">
        <f t="shared" si="82"/>
        <v>92.00093012440414</v>
      </c>
      <c r="N136" s="155">
        <f t="shared" si="83"/>
        <v>100</v>
      </c>
      <c r="O136" s="154">
        <f>L136-'[5]Oktobris'!L136</f>
        <v>1334</v>
      </c>
      <c r="Q136" s="154">
        <v>15826</v>
      </c>
      <c r="R136" s="154">
        <v>14492</v>
      </c>
      <c r="S136" s="138">
        <f t="shared" si="40"/>
        <v>1334</v>
      </c>
    </row>
    <row r="137" spans="1:19" ht="12.75" customHeight="1">
      <c r="A137" s="151" t="s">
        <v>972</v>
      </c>
      <c r="B137" s="161">
        <v>2567226</v>
      </c>
      <c r="C137" s="161">
        <v>2383771</v>
      </c>
      <c r="D137" s="161">
        <v>2357983.06</v>
      </c>
      <c r="E137" s="148">
        <f t="shared" si="80"/>
        <v>91.84945384629168</v>
      </c>
      <c r="F137" s="148">
        <f t="shared" si="81"/>
        <v>98.9181871916388</v>
      </c>
      <c r="G137" s="161">
        <f>D137-'[5]Oktobris'!D137</f>
        <v>222089.52000000002</v>
      </c>
      <c r="I137" s="151" t="s">
        <v>972</v>
      </c>
      <c r="J137" s="154">
        <f t="shared" si="84"/>
        <v>2567</v>
      </c>
      <c r="K137" s="154">
        <f>ROUND(C137/1000,0)</f>
        <v>2384</v>
      </c>
      <c r="L137" s="154">
        <f t="shared" si="84"/>
        <v>2358</v>
      </c>
      <c r="M137" s="155">
        <f t="shared" si="82"/>
        <v>91.85820023373587</v>
      </c>
      <c r="N137" s="155">
        <f t="shared" si="83"/>
        <v>98.90939597315436</v>
      </c>
      <c r="O137" s="154">
        <f>L137-'[5]Oktobris'!L137</f>
        <v>222</v>
      </c>
      <c r="Q137" s="154">
        <v>2358</v>
      </c>
      <c r="R137" s="154">
        <v>2136</v>
      </c>
      <c r="S137" s="138">
        <f t="shared" si="40"/>
        <v>222</v>
      </c>
    </row>
    <row r="138" spans="1:19" ht="12.75" customHeight="1">
      <c r="A138" s="151" t="s">
        <v>973</v>
      </c>
      <c r="B138" s="161">
        <v>261393</v>
      </c>
      <c r="C138" s="161">
        <v>261393</v>
      </c>
      <c r="D138" s="161">
        <v>81316.22</v>
      </c>
      <c r="E138" s="148">
        <f t="shared" si="80"/>
        <v>31.108797863753047</v>
      </c>
      <c r="F138" s="148">
        <f t="shared" si="81"/>
        <v>31.108797863753047</v>
      </c>
      <c r="G138" s="161">
        <f>D138-'[5]Oktobris'!D138</f>
        <v>10194.020000000004</v>
      </c>
      <c r="I138" s="151" t="s">
        <v>973</v>
      </c>
      <c r="J138" s="154">
        <f t="shared" si="84"/>
        <v>261</v>
      </c>
      <c r="K138" s="154">
        <f t="shared" si="84"/>
        <v>261</v>
      </c>
      <c r="L138" s="154">
        <f t="shared" si="84"/>
        <v>81</v>
      </c>
      <c r="M138" s="155">
        <f t="shared" si="82"/>
        <v>31.03448275862069</v>
      </c>
      <c r="N138" s="155">
        <f t="shared" si="83"/>
        <v>31.03448275862069</v>
      </c>
      <c r="O138" s="154">
        <f>L138-'[5]Oktobris'!L138</f>
        <v>10</v>
      </c>
      <c r="Q138" s="154">
        <v>81</v>
      </c>
      <c r="R138" s="154">
        <v>71</v>
      </c>
      <c r="S138" s="138">
        <f aca="true" t="shared" si="85" ref="S138:S200">Q138-R138</f>
        <v>10</v>
      </c>
    </row>
    <row r="139" spans="1:19" ht="12.75" customHeight="1">
      <c r="A139" s="157" t="s">
        <v>974</v>
      </c>
      <c r="B139" s="163">
        <f>SUM(B140:B141)</f>
        <v>20115989</v>
      </c>
      <c r="C139" s="163">
        <f>SUM(C140:C141)</f>
        <v>18555143</v>
      </c>
      <c r="D139" s="163">
        <f>SUM(D140:D141)</f>
        <v>17953691.919999998</v>
      </c>
      <c r="E139" s="148">
        <f t="shared" si="80"/>
        <v>89.250853736299</v>
      </c>
      <c r="F139" s="148">
        <f t="shared" si="81"/>
        <v>96.75857480591769</v>
      </c>
      <c r="G139" s="163">
        <f>SUM(G140:G141)</f>
        <v>1612731.5299999977</v>
      </c>
      <c r="I139" s="157" t="s">
        <v>974</v>
      </c>
      <c r="J139" s="145">
        <f>J140+J141</f>
        <v>20116</v>
      </c>
      <c r="K139" s="145">
        <f>K140+K141</f>
        <v>18556</v>
      </c>
      <c r="L139" s="145">
        <f>L140+L141</f>
        <v>17953</v>
      </c>
      <c r="M139" s="153">
        <f t="shared" si="82"/>
        <v>89.24736528136806</v>
      </c>
      <c r="N139" s="153">
        <f t="shared" si="83"/>
        <v>96.75037723647337</v>
      </c>
      <c r="O139" s="145">
        <f>SUM(O140:O141)</f>
        <v>1612</v>
      </c>
      <c r="Q139" s="145">
        <v>17953</v>
      </c>
      <c r="R139" s="145">
        <v>16341</v>
      </c>
      <c r="S139" s="138">
        <f t="shared" si="85"/>
        <v>1612</v>
      </c>
    </row>
    <row r="140" spans="1:19" ht="12.75" customHeight="1">
      <c r="A140" s="159" t="s">
        <v>975</v>
      </c>
      <c r="B140" s="161">
        <v>19531258</v>
      </c>
      <c r="C140" s="161">
        <v>17976412</v>
      </c>
      <c r="D140" s="161">
        <v>17437247.9</v>
      </c>
      <c r="E140" s="148">
        <f t="shared" si="80"/>
        <v>89.27867267945567</v>
      </c>
      <c r="F140" s="148">
        <f t="shared" si="81"/>
        <v>97.00071349054527</v>
      </c>
      <c r="G140" s="161">
        <f>D140-'[5]Oktobris'!D140</f>
        <v>1560959.3499999978</v>
      </c>
      <c r="I140" s="159" t="s">
        <v>975</v>
      </c>
      <c r="J140" s="154">
        <f aca="true" t="shared" si="86" ref="J140:L141">ROUND(B140/1000,0)</f>
        <v>19531</v>
      </c>
      <c r="K140" s="154">
        <f>ROUND(C140/1000,0)+1</f>
        <v>17977</v>
      </c>
      <c r="L140" s="154">
        <f t="shared" si="86"/>
        <v>17437</v>
      </c>
      <c r="M140" s="155">
        <f t="shared" si="82"/>
        <v>89.2785827658594</v>
      </c>
      <c r="N140" s="155">
        <f t="shared" si="83"/>
        <v>96.99616176225176</v>
      </c>
      <c r="O140" s="154">
        <f>L140-'[5]Oktobris'!L140</f>
        <v>1561</v>
      </c>
      <c r="Q140" s="154">
        <v>17437</v>
      </c>
      <c r="R140" s="154">
        <v>15876</v>
      </c>
      <c r="S140" s="138">
        <f t="shared" si="85"/>
        <v>1561</v>
      </c>
    </row>
    <row r="141" spans="1:19" ht="12.75" customHeight="1">
      <c r="A141" s="159" t="s">
        <v>976</v>
      </c>
      <c r="B141" s="161">
        <v>584731</v>
      </c>
      <c r="C141" s="161">
        <v>578731</v>
      </c>
      <c r="D141" s="161">
        <v>516444.02</v>
      </c>
      <c r="E141" s="148">
        <f t="shared" si="80"/>
        <v>88.3216419173945</v>
      </c>
      <c r="F141" s="148">
        <f t="shared" si="81"/>
        <v>89.23731751020767</v>
      </c>
      <c r="G141" s="161">
        <f>D141-'[5]Oktobris'!D141</f>
        <v>51772.17999999999</v>
      </c>
      <c r="I141" s="159" t="s">
        <v>976</v>
      </c>
      <c r="J141" s="154">
        <f t="shared" si="86"/>
        <v>585</v>
      </c>
      <c r="K141" s="154">
        <f>ROUND(C141/1000,0)</f>
        <v>579</v>
      </c>
      <c r="L141" s="154">
        <f t="shared" si="86"/>
        <v>516</v>
      </c>
      <c r="M141" s="155">
        <f t="shared" si="82"/>
        <v>88.2051282051282</v>
      </c>
      <c r="N141" s="155">
        <f t="shared" si="83"/>
        <v>89.11917098445595</v>
      </c>
      <c r="O141" s="154">
        <f>L141-'[5]Oktobris'!L141</f>
        <v>51</v>
      </c>
      <c r="Q141" s="154">
        <v>516</v>
      </c>
      <c r="R141" s="154">
        <v>465</v>
      </c>
      <c r="S141" s="138">
        <f t="shared" si="85"/>
        <v>51</v>
      </c>
    </row>
    <row r="142" spans="1:19" ht="12.75" customHeight="1">
      <c r="A142" s="157" t="s">
        <v>1010</v>
      </c>
      <c r="B142" s="161"/>
      <c r="C142" s="161"/>
      <c r="D142" s="161"/>
      <c r="E142" s="161"/>
      <c r="F142" s="161"/>
      <c r="G142" s="161"/>
      <c r="I142" s="157" t="s">
        <v>1011</v>
      </c>
      <c r="J142" s="161"/>
      <c r="K142" s="161"/>
      <c r="L142" s="161"/>
      <c r="M142" s="155"/>
      <c r="N142" s="155"/>
      <c r="O142" s="161"/>
      <c r="Q142" s="161"/>
      <c r="R142" s="161"/>
      <c r="S142" s="138">
        <f t="shared" si="85"/>
        <v>0</v>
      </c>
    </row>
    <row r="143" spans="1:19" ht="12.75" customHeight="1">
      <c r="A143" s="151" t="s">
        <v>969</v>
      </c>
      <c r="B143" s="161">
        <f>SUM(B144:B145)</f>
        <v>13996875</v>
      </c>
      <c r="C143" s="163">
        <f>SUM(C144:C145)</f>
        <v>12886469</v>
      </c>
      <c r="D143" s="163">
        <f>SUM(D144:D145)</f>
        <v>12549767.49</v>
      </c>
      <c r="E143" s="147">
        <f aca="true" t="shared" si="87" ref="E143:E148">IF(ISERROR(D143/B143)," ",(D143/B143))*100</f>
        <v>89.66121002009378</v>
      </c>
      <c r="F143" s="147">
        <f aca="true" t="shared" si="88" ref="F143:F148">IF(ISERROR(D143/C143)," ",(D143/C143))*100</f>
        <v>97.38717013946955</v>
      </c>
      <c r="G143" s="163">
        <f>SUM(G144:G145)</f>
        <v>1233602.5200000005</v>
      </c>
      <c r="I143" s="151" t="s">
        <v>969</v>
      </c>
      <c r="J143" s="145">
        <f>J144+J145</f>
        <v>13997</v>
      </c>
      <c r="K143" s="145">
        <f>K144+K145</f>
        <v>12887</v>
      </c>
      <c r="L143" s="145">
        <f>L144+L145</f>
        <v>12550</v>
      </c>
      <c r="M143" s="153">
        <f aca="true" t="shared" si="89" ref="M143:M148">L143/J143*100</f>
        <v>89.6620704436665</v>
      </c>
      <c r="N143" s="153">
        <f aca="true" t="shared" si="90" ref="N143:N148">L143/K143*100</f>
        <v>97.38496158919841</v>
      </c>
      <c r="O143" s="145">
        <f>SUM(O144:O145)</f>
        <v>1234</v>
      </c>
      <c r="Q143" s="145">
        <v>12550</v>
      </c>
      <c r="R143" s="145">
        <v>11316</v>
      </c>
      <c r="S143" s="138">
        <f t="shared" si="85"/>
        <v>1234</v>
      </c>
    </row>
    <row r="144" spans="1:19" ht="12.75" customHeight="1">
      <c r="A144" s="151" t="s">
        <v>970</v>
      </c>
      <c r="B144" s="161">
        <v>5506527</v>
      </c>
      <c r="C144" s="161">
        <v>4978806</v>
      </c>
      <c r="D144" s="161">
        <v>4978806</v>
      </c>
      <c r="E144" s="148">
        <f t="shared" si="87"/>
        <v>90.41644579242052</v>
      </c>
      <c r="F144" s="148">
        <f t="shared" si="88"/>
        <v>100</v>
      </c>
      <c r="G144" s="161">
        <f>D144-'[5]Oktobris'!D144</f>
        <v>481042</v>
      </c>
      <c r="I144" s="151" t="s">
        <v>970</v>
      </c>
      <c r="J144" s="154">
        <v>5507</v>
      </c>
      <c r="K144" s="154">
        <f>ROUND(C144/1000,0)</f>
        <v>4979</v>
      </c>
      <c r="L144" s="154">
        <f>ROUND(D144/1000,0)</f>
        <v>4979</v>
      </c>
      <c r="M144" s="155">
        <f t="shared" si="89"/>
        <v>90.41220265117124</v>
      </c>
      <c r="N144" s="155">
        <f t="shared" si="90"/>
        <v>100</v>
      </c>
      <c r="O144" s="154">
        <f>L144-'[5]Oktobris'!L144</f>
        <v>481</v>
      </c>
      <c r="Q144" s="154">
        <v>4979</v>
      </c>
      <c r="R144" s="154">
        <v>4498</v>
      </c>
      <c r="S144" s="138">
        <f t="shared" si="85"/>
        <v>481</v>
      </c>
    </row>
    <row r="145" spans="1:19" ht="12.75" customHeight="1">
      <c r="A145" s="151" t="s">
        <v>972</v>
      </c>
      <c r="B145" s="161">
        <v>8490348</v>
      </c>
      <c r="C145" s="161">
        <v>7907663</v>
      </c>
      <c r="D145" s="161">
        <v>7570961.49</v>
      </c>
      <c r="E145" s="148">
        <f t="shared" si="87"/>
        <v>89.1713919146777</v>
      </c>
      <c r="F145" s="148">
        <f t="shared" si="88"/>
        <v>95.74208574644621</v>
      </c>
      <c r="G145" s="161">
        <f>D145-'[5]Oktobris'!D145</f>
        <v>752560.5200000005</v>
      </c>
      <c r="I145" s="151" t="s">
        <v>972</v>
      </c>
      <c r="J145" s="154">
        <f>ROUND(B145/1000,0)</f>
        <v>8490</v>
      </c>
      <c r="K145" s="154">
        <f>ROUND(C145/1000,0)</f>
        <v>7908</v>
      </c>
      <c r="L145" s="154">
        <f>ROUND(D145/1000,0)</f>
        <v>7571</v>
      </c>
      <c r="M145" s="155">
        <f t="shared" si="89"/>
        <v>89.17550058892814</v>
      </c>
      <c r="N145" s="155">
        <f t="shared" si="90"/>
        <v>95.73849266565503</v>
      </c>
      <c r="O145" s="154">
        <f>L145-'[5]Oktobris'!L145</f>
        <v>753</v>
      </c>
      <c r="Q145" s="154">
        <v>7571</v>
      </c>
      <c r="R145" s="154">
        <v>6818</v>
      </c>
      <c r="S145" s="138">
        <f t="shared" si="85"/>
        <v>753</v>
      </c>
    </row>
    <row r="146" spans="1:19" ht="12.75" customHeight="1">
      <c r="A146" s="157" t="s">
        <v>974</v>
      </c>
      <c r="B146" s="163">
        <f>SUM(B147:B148)</f>
        <v>13996875</v>
      </c>
      <c r="C146" s="163">
        <f>SUM(C147:C148)</f>
        <v>12886469</v>
      </c>
      <c r="D146" s="163">
        <f>SUM(D147:D148)</f>
        <v>12322043.99</v>
      </c>
      <c r="E146" s="148">
        <f t="shared" si="87"/>
        <v>88.03425043089975</v>
      </c>
      <c r="F146" s="148">
        <f t="shared" si="88"/>
        <v>95.62001809805308</v>
      </c>
      <c r="G146" s="163">
        <f>SUM(G147:G148)</f>
        <v>1190322.32</v>
      </c>
      <c r="I146" s="157" t="s">
        <v>974</v>
      </c>
      <c r="J146" s="145">
        <f>J147+J148</f>
        <v>13997</v>
      </c>
      <c r="K146" s="145">
        <f>K147+K148</f>
        <v>12887</v>
      </c>
      <c r="L146" s="145">
        <f>L147+L148</f>
        <v>12322</v>
      </c>
      <c r="M146" s="153">
        <f t="shared" si="89"/>
        <v>88.03314996070587</v>
      </c>
      <c r="N146" s="153">
        <f t="shared" si="90"/>
        <v>95.61573678901219</v>
      </c>
      <c r="O146" s="145">
        <f>SUM(O147:O148)</f>
        <v>1191</v>
      </c>
      <c r="Q146" s="145">
        <v>12322</v>
      </c>
      <c r="R146" s="145">
        <v>11131</v>
      </c>
      <c r="S146" s="138">
        <f t="shared" si="85"/>
        <v>1191</v>
      </c>
    </row>
    <row r="147" spans="1:19" ht="12.75" customHeight="1">
      <c r="A147" s="159" t="s">
        <v>975</v>
      </c>
      <c r="B147" s="161">
        <v>13408475</v>
      </c>
      <c r="C147" s="161">
        <v>12315918</v>
      </c>
      <c r="D147" s="161">
        <v>11812617.19</v>
      </c>
      <c r="E147" s="148">
        <f t="shared" si="87"/>
        <v>88.09814084002842</v>
      </c>
      <c r="F147" s="148">
        <f t="shared" si="88"/>
        <v>95.91341213866477</v>
      </c>
      <c r="G147" s="161">
        <f>D147-'[5]Oktobris'!D147</f>
        <v>1129371.08</v>
      </c>
      <c r="I147" s="159" t="s">
        <v>975</v>
      </c>
      <c r="J147" s="154">
        <f>ROUND(B147/1000,0)+1</f>
        <v>13409</v>
      </c>
      <c r="K147" s="154">
        <f>ROUND(C147/1000,0)+1</f>
        <v>12317</v>
      </c>
      <c r="L147" s="154">
        <f aca="true" t="shared" si="91" ref="J147:L148">ROUND(D147/1000,0)</f>
        <v>11813</v>
      </c>
      <c r="M147" s="155">
        <f t="shared" si="89"/>
        <v>88.09754642404354</v>
      </c>
      <c r="N147" s="155">
        <f t="shared" si="90"/>
        <v>95.9080945035317</v>
      </c>
      <c r="O147" s="154">
        <f>L147-'[5]Oktobris'!L147</f>
        <v>1130</v>
      </c>
      <c r="Q147" s="154">
        <v>11813</v>
      </c>
      <c r="R147" s="154">
        <v>10683</v>
      </c>
      <c r="S147" s="138">
        <f t="shared" si="85"/>
        <v>1130</v>
      </c>
    </row>
    <row r="148" spans="1:19" ht="12.75" customHeight="1">
      <c r="A148" s="159" t="s">
        <v>976</v>
      </c>
      <c r="B148" s="161">
        <v>588400</v>
      </c>
      <c r="C148" s="161">
        <v>570551</v>
      </c>
      <c r="D148" s="161">
        <v>509426.8</v>
      </c>
      <c r="E148" s="148">
        <f t="shared" si="87"/>
        <v>86.57831407205983</v>
      </c>
      <c r="F148" s="148">
        <f t="shared" si="88"/>
        <v>89.28681222186974</v>
      </c>
      <c r="G148" s="161">
        <f>D148-'[5]Oktobris'!D148</f>
        <v>60951.23999999999</v>
      </c>
      <c r="I148" s="159" t="s">
        <v>976</v>
      </c>
      <c r="J148" s="154">
        <f t="shared" si="91"/>
        <v>588</v>
      </c>
      <c r="K148" s="154">
        <f>ROUND(C148/1000,0)-1</f>
        <v>570</v>
      </c>
      <c r="L148" s="154">
        <f t="shared" si="91"/>
        <v>509</v>
      </c>
      <c r="M148" s="155">
        <f t="shared" si="89"/>
        <v>86.56462585034014</v>
      </c>
      <c r="N148" s="155">
        <f t="shared" si="90"/>
        <v>89.29824561403508</v>
      </c>
      <c r="O148" s="154">
        <f>L148-'[5]Oktobris'!L148</f>
        <v>61</v>
      </c>
      <c r="Q148" s="154">
        <v>509</v>
      </c>
      <c r="R148" s="154">
        <v>448</v>
      </c>
      <c r="S148" s="138">
        <f t="shared" si="85"/>
        <v>61</v>
      </c>
    </row>
    <row r="149" spans="1:19" ht="12.75" customHeight="1">
      <c r="A149" s="157" t="s">
        <v>1012</v>
      </c>
      <c r="B149" s="161"/>
      <c r="C149" s="161"/>
      <c r="D149" s="161"/>
      <c r="E149" s="161"/>
      <c r="F149" s="161"/>
      <c r="G149" s="161"/>
      <c r="I149" s="157" t="s">
        <v>1013</v>
      </c>
      <c r="J149" s="161"/>
      <c r="K149" s="161"/>
      <c r="L149" s="161"/>
      <c r="M149" s="155"/>
      <c r="N149" s="155"/>
      <c r="O149" s="161"/>
      <c r="Q149" s="161"/>
      <c r="R149" s="161"/>
      <c r="S149" s="138">
        <f t="shared" si="85"/>
        <v>0</v>
      </c>
    </row>
    <row r="150" spans="1:19" ht="12.75" customHeight="1">
      <c r="A150" s="151" t="s">
        <v>969</v>
      </c>
      <c r="B150" s="161">
        <f>SUM(B151:B153)</f>
        <v>1500393</v>
      </c>
      <c r="C150" s="163">
        <f>SUM(C151:C153)</f>
        <v>1324891</v>
      </c>
      <c r="D150" s="163">
        <f>SUM(D151:D153)</f>
        <v>1105212.72</v>
      </c>
      <c r="E150" s="147">
        <f>IF(ISERROR(D150/B150)," ",(D150/B150))*100</f>
        <v>73.66154867424734</v>
      </c>
      <c r="F150" s="147">
        <f>IF(ISERROR(D150/C150)," ",(D150/C150))*100</f>
        <v>83.41914315970143</v>
      </c>
      <c r="G150" s="163">
        <f>SUM(G151:G153)</f>
        <v>103979.32</v>
      </c>
      <c r="I150" s="151" t="s">
        <v>969</v>
      </c>
      <c r="J150" s="145">
        <f>J151+J152+J153</f>
        <v>1501</v>
      </c>
      <c r="K150" s="145">
        <f>K151+K152+K153</f>
        <v>1325</v>
      </c>
      <c r="L150" s="145">
        <f>L151+L152+L153</f>
        <v>1106</v>
      </c>
      <c r="M150" s="153">
        <f>L150/J150*100</f>
        <v>73.68421052631578</v>
      </c>
      <c r="N150" s="153">
        <f>L150/K150*100</f>
        <v>83.47169811320755</v>
      </c>
      <c r="O150" s="145">
        <f>SUM(O151:O153)</f>
        <v>105</v>
      </c>
      <c r="Q150" s="145">
        <v>1106</v>
      </c>
      <c r="R150" s="145">
        <v>1001</v>
      </c>
      <c r="S150" s="138">
        <f t="shared" si="85"/>
        <v>105</v>
      </c>
    </row>
    <row r="151" spans="1:19" ht="12.75" customHeight="1">
      <c r="A151" s="151" t="s">
        <v>970</v>
      </c>
      <c r="B151" s="161">
        <v>1219343</v>
      </c>
      <c r="C151" s="161">
        <v>1104516</v>
      </c>
      <c r="D151" s="161">
        <v>1104516</v>
      </c>
      <c r="E151" s="148">
        <f>IF(ISERROR(D151/B151)," ",(D151/B151))*100</f>
        <v>90.58287946869748</v>
      </c>
      <c r="F151" s="148">
        <f>IF(ISERROR(D151/C151)," ",(D151/C151))*100</f>
        <v>100</v>
      </c>
      <c r="G151" s="161">
        <f>D151-'[5]Oktobris'!D151</f>
        <v>105791</v>
      </c>
      <c r="I151" s="151" t="s">
        <v>970</v>
      </c>
      <c r="J151" s="154">
        <f aca="true" t="shared" si="92" ref="J151:L152">ROUND(B151/1000,0)</f>
        <v>1219</v>
      </c>
      <c r="K151" s="154">
        <f t="shared" si="92"/>
        <v>1105</v>
      </c>
      <c r="L151" s="154">
        <f t="shared" si="92"/>
        <v>1105</v>
      </c>
      <c r="M151" s="155">
        <f>L151/J151*100</f>
        <v>90.64807219031994</v>
      </c>
      <c r="N151" s="155">
        <f>L151/K151*100</f>
        <v>100</v>
      </c>
      <c r="O151" s="154">
        <f>L151-'[5]Oktobris'!L151</f>
        <v>106</v>
      </c>
      <c r="Q151" s="154">
        <v>1105</v>
      </c>
      <c r="R151" s="154">
        <v>999</v>
      </c>
      <c r="S151" s="138">
        <f t="shared" si="85"/>
        <v>106</v>
      </c>
    </row>
    <row r="152" spans="1:19" ht="12.75" customHeight="1">
      <c r="A152" s="151" t="s">
        <v>972</v>
      </c>
      <c r="B152" s="161">
        <v>800</v>
      </c>
      <c r="C152" s="161">
        <v>600</v>
      </c>
      <c r="D152" s="161">
        <v>696.72</v>
      </c>
      <c r="E152" s="148">
        <f>IF(ISERROR(D152/B152)," ",(D152/B152))*100</f>
        <v>87.09</v>
      </c>
      <c r="F152" s="148">
        <f>IF(ISERROR(D152/C152)," ",(D152/C152))*100</f>
        <v>116.12</v>
      </c>
      <c r="G152" s="161">
        <f>D152-'[5]Oktobris'!D152</f>
        <v>-1811.68</v>
      </c>
      <c r="I152" s="151" t="s">
        <v>972</v>
      </c>
      <c r="J152" s="154">
        <f t="shared" si="92"/>
        <v>1</v>
      </c>
      <c r="K152" s="154">
        <f t="shared" si="92"/>
        <v>1</v>
      </c>
      <c r="L152" s="154">
        <f>ROUND(D152/1000,0)</f>
        <v>1</v>
      </c>
      <c r="M152" s="155">
        <f>L152/J152*100</f>
        <v>100</v>
      </c>
      <c r="N152" s="155">
        <f>L152/K152*100</f>
        <v>100</v>
      </c>
      <c r="O152" s="154">
        <f>L152-'[5]Oktobris'!L152</f>
        <v>-1</v>
      </c>
      <c r="Q152" s="154">
        <v>1</v>
      </c>
      <c r="R152" s="154">
        <v>2</v>
      </c>
      <c r="S152" s="138">
        <f t="shared" si="85"/>
        <v>-1</v>
      </c>
    </row>
    <row r="153" spans="1:19" ht="12.75" customHeight="1">
      <c r="A153" s="151" t="s">
        <v>973</v>
      </c>
      <c r="B153" s="161">
        <v>280250</v>
      </c>
      <c r="C153" s="161">
        <v>219775</v>
      </c>
      <c r="D153" s="161"/>
      <c r="E153" s="148"/>
      <c r="F153" s="161"/>
      <c r="G153" s="161"/>
      <c r="I153" s="151" t="s">
        <v>973</v>
      </c>
      <c r="J153" s="154">
        <f>ROUND(B153/1000,0)+1</f>
        <v>281</v>
      </c>
      <c r="K153" s="154">
        <f>ROUND(C153/1000,0)-1</f>
        <v>219</v>
      </c>
      <c r="L153" s="154"/>
      <c r="M153" s="155"/>
      <c r="N153" s="155"/>
      <c r="O153" s="154"/>
      <c r="Q153" s="154"/>
      <c r="R153" s="154"/>
      <c r="S153" s="138">
        <f t="shared" si="85"/>
        <v>0</v>
      </c>
    </row>
    <row r="154" spans="1:19" ht="12.75" customHeight="1">
      <c r="A154" s="157" t="s">
        <v>974</v>
      </c>
      <c r="B154" s="163">
        <f>SUM(B155:B156)</f>
        <v>1500393</v>
      </c>
      <c r="C154" s="163">
        <f>SUM(C155:C156)</f>
        <v>1324891</v>
      </c>
      <c r="D154" s="163">
        <f>SUM(D155:D156)</f>
        <v>1070384.75</v>
      </c>
      <c r="E154" s="148">
        <f>IF(ISERROR(D154/B154)," ",(D154/B154))*100</f>
        <v>71.34029217678301</v>
      </c>
      <c r="F154" s="148">
        <f>IF(ISERROR(D154/C154)," ",(D154/C154))*100</f>
        <v>80.79040087071314</v>
      </c>
      <c r="G154" s="163">
        <f>SUM(G155:G156)</f>
        <v>128690.13999999991</v>
      </c>
      <c r="I154" s="157" t="s">
        <v>974</v>
      </c>
      <c r="J154" s="145">
        <f>J155+J156</f>
        <v>1501</v>
      </c>
      <c r="K154" s="145">
        <f>K155+K156</f>
        <v>1325</v>
      </c>
      <c r="L154" s="145">
        <f>L155+L156</f>
        <v>1070</v>
      </c>
      <c r="M154" s="153">
        <f>L154/J154*100</f>
        <v>71.28580946035976</v>
      </c>
      <c r="N154" s="153">
        <f>L154/K154*100</f>
        <v>80.75471698113208</v>
      </c>
      <c r="O154" s="145">
        <f>SUM(O155:O156)</f>
        <v>128</v>
      </c>
      <c r="Q154" s="145">
        <v>1070</v>
      </c>
      <c r="R154" s="145">
        <v>942</v>
      </c>
      <c r="S154" s="138">
        <f t="shared" si="85"/>
        <v>128</v>
      </c>
    </row>
    <row r="155" spans="1:19" ht="12.75" customHeight="1">
      <c r="A155" s="159" t="s">
        <v>975</v>
      </c>
      <c r="B155" s="161">
        <v>1343893</v>
      </c>
      <c r="C155" s="161">
        <v>1210516</v>
      </c>
      <c r="D155" s="161">
        <v>1049662.69</v>
      </c>
      <c r="E155" s="148">
        <f>IF(ISERROR(D155/B155)," ",(D155/B155))*100</f>
        <v>78.1061207997958</v>
      </c>
      <c r="F155" s="148">
        <f>IF(ISERROR(D155/C155)," ",(D155/C155))*100</f>
        <v>86.71200463273513</v>
      </c>
      <c r="G155" s="161">
        <f>D155-'[5]Oktobris'!D155</f>
        <v>121751.8999999999</v>
      </c>
      <c r="I155" s="159" t="s">
        <v>975</v>
      </c>
      <c r="J155" s="154">
        <f aca="true" t="shared" si="93" ref="J155:L156">ROUND(B155/1000,0)</f>
        <v>1344</v>
      </c>
      <c r="K155" s="154">
        <f>ROUND(C155/1000,0)</f>
        <v>1211</v>
      </c>
      <c r="L155" s="154">
        <f>ROUND(D155/1000,0)-1</f>
        <v>1049</v>
      </c>
      <c r="M155" s="155">
        <f>L155/J155*100</f>
        <v>78.05059523809523</v>
      </c>
      <c r="N155" s="155">
        <f>L155/K155*100</f>
        <v>86.6226259289843</v>
      </c>
      <c r="O155" s="154">
        <f>L155-'[5]Oktobris'!L155</f>
        <v>121</v>
      </c>
      <c r="Q155" s="154">
        <v>1049</v>
      </c>
      <c r="R155" s="154">
        <v>928</v>
      </c>
      <c r="S155" s="138">
        <f t="shared" si="85"/>
        <v>121</v>
      </c>
    </row>
    <row r="156" spans="1:19" ht="12.75" customHeight="1">
      <c r="A156" s="159" t="s">
        <v>976</v>
      </c>
      <c r="B156" s="161">
        <v>156500</v>
      </c>
      <c r="C156" s="161">
        <v>114375</v>
      </c>
      <c r="D156" s="161">
        <v>20722.06</v>
      </c>
      <c r="E156" s="148">
        <f>IF(ISERROR(D156/B156)," ",(D156/B156))*100</f>
        <v>13.240932907348244</v>
      </c>
      <c r="F156" s="148">
        <f>IF(ISERROR(D156/C156)," ",(D156/C156))*100</f>
        <v>18.117648087431697</v>
      </c>
      <c r="G156" s="161">
        <f>D156-'[5]Oktobris'!D156</f>
        <v>6938.240000000002</v>
      </c>
      <c r="I156" s="159" t="s">
        <v>976</v>
      </c>
      <c r="J156" s="154">
        <f>ROUND(B156/1000,0)</f>
        <v>157</v>
      </c>
      <c r="K156" s="154">
        <f t="shared" si="93"/>
        <v>114</v>
      </c>
      <c r="L156" s="154">
        <f t="shared" si="93"/>
        <v>21</v>
      </c>
      <c r="M156" s="155">
        <f>L156/J156*100</f>
        <v>13.375796178343949</v>
      </c>
      <c r="N156" s="155">
        <f>L156/K156*100</f>
        <v>18.421052631578945</v>
      </c>
      <c r="O156" s="154">
        <f>L156-'[5]Oktobris'!L156</f>
        <v>7</v>
      </c>
      <c r="Q156" s="154">
        <v>21</v>
      </c>
      <c r="R156" s="154">
        <v>14</v>
      </c>
      <c r="S156" s="138">
        <f t="shared" si="85"/>
        <v>7</v>
      </c>
    </row>
    <row r="157" spans="1:19" ht="12.75" customHeight="1">
      <c r="A157" s="157" t="s">
        <v>1014</v>
      </c>
      <c r="B157" s="163"/>
      <c r="C157" s="163"/>
      <c r="D157" s="163"/>
      <c r="E157" s="163"/>
      <c r="F157" s="163"/>
      <c r="G157" s="163"/>
      <c r="I157" s="157" t="s">
        <v>1015</v>
      </c>
      <c r="J157" s="163"/>
      <c r="K157" s="163"/>
      <c r="L157" s="163"/>
      <c r="M157" s="155"/>
      <c r="N157" s="155"/>
      <c r="O157" s="163"/>
      <c r="Q157" s="163"/>
      <c r="R157" s="163"/>
      <c r="S157" s="138">
        <f t="shared" si="85"/>
        <v>0</v>
      </c>
    </row>
    <row r="158" spans="1:19" ht="12.75" customHeight="1">
      <c r="A158" s="151" t="s">
        <v>969</v>
      </c>
      <c r="B158" s="161">
        <f>SUM(B159)</f>
        <v>737898</v>
      </c>
      <c r="C158" s="163">
        <f>SUM(C159)</f>
        <v>676782</v>
      </c>
      <c r="D158" s="163">
        <f>SUM(D159:D160)</f>
        <v>676819.14</v>
      </c>
      <c r="E158" s="147">
        <f>IF(ISERROR(D158/B158)," ",(D158/B158))*100</f>
        <v>91.72258767471926</v>
      </c>
      <c r="F158" s="147">
        <f>IF(ISERROR(D158/C158)," ",(D158/C158))*100</f>
        <v>100.00548773460287</v>
      </c>
      <c r="G158" s="163">
        <f>SUM(G159:G160)</f>
        <v>61549.52</v>
      </c>
      <c r="I158" s="151" t="s">
        <v>969</v>
      </c>
      <c r="J158" s="145">
        <f>J159</f>
        <v>738</v>
      </c>
      <c r="K158" s="145">
        <f>K159</f>
        <v>677</v>
      </c>
      <c r="L158" s="145">
        <f>L159</f>
        <v>677</v>
      </c>
      <c r="M158" s="153">
        <f>L158/J158*100</f>
        <v>91.73441734417345</v>
      </c>
      <c r="N158" s="153">
        <f>L158/K158*100</f>
        <v>100</v>
      </c>
      <c r="O158" s="145">
        <f>SUM(O159:O160)</f>
        <v>62</v>
      </c>
      <c r="Q158" s="145">
        <v>677</v>
      </c>
      <c r="R158" s="145">
        <v>615</v>
      </c>
      <c r="S158" s="138">
        <f t="shared" si="85"/>
        <v>62</v>
      </c>
    </row>
    <row r="159" spans="1:19" ht="12">
      <c r="A159" s="151" t="s">
        <v>970</v>
      </c>
      <c r="B159" s="161">
        <v>737898</v>
      </c>
      <c r="C159" s="161">
        <v>676782</v>
      </c>
      <c r="D159" s="161">
        <v>676782</v>
      </c>
      <c r="E159" s="148">
        <f>IF(ISERROR(D159/B159)," ",(D159/B159))*100</f>
        <v>91.71755445874633</v>
      </c>
      <c r="F159" s="148">
        <f>IF(ISERROR(D159/C159)," ",(D159/C159))*100</f>
        <v>100</v>
      </c>
      <c r="G159" s="161">
        <f>D159-'[5]Oktobris'!D159</f>
        <v>61525</v>
      </c>
      <c r="I159" s="151" t="s">
        <v>970</v>
      </c>
      <c r="J159" s="154">
        <f>ROUND(B159/1000,0)</f>
        <v>738</v>
      </c>
      <c r="K159" s="154">
        <f>ROUND(C159/1000,0)</f>
        <v>677</v>
      </c>
      <c r="L159" s="154">
        <f>ROUND(D159/1000,0)</f>
        <v>677</v>
      </c>
      <c r="M159" s="155">
        <f>L159/J159*100</f>
        <v>91.73441734417345</v>
      </c>
      <c r="N159" s="155">
        <f>L159/K159*100</f>
        <v>100</v>
      </c>
      <c r="O159" s="154">
        <f>L159-'[5]Oktobris'!L159</f>
        <v>62</v>
      </c>
      <c r="Q159" s="154">
        <v>677</v>
      </c>
      <c r="R159" s="154">
        <v>615</v>
      </c>
      <c r="S159" s="138">
        <f t="shared" si="85"/>
        <v>62</v>
      </c>
    </row>
    <row r="160" spans="1:19" ht="0.75" customHeight="1" hidden="1">
      <c r="A160" s="151" t="s">
        <v>972</v>
      </c>
      <c r="B160" s="161"/>
      <c r="C160" s="161"/>
      <c r="D160" s="161">
        <v>37.14</v>
      </c>
      <c r="E160" s="148"/>
      <c r="F160" s="148"/>
      <c r="G160" s="161">
        <f>D160-'[5]Oktobris'!D160</f>
        <v>24.520000000000003</v>
      </c>
      <c r="I160" s="151" t="s">
        <v>972</v>
      </c>
      <c r="J160" s="154"/>
      <c r="K160" s="154"/>
      <c r="L160" s="154">
        <f>ROUND(D160/1000,0)</f>
        <v>0</v>
      </c>
      <c r="M160" s="155"/>
      <c r="N160" s="155"/>
      <c r="O160" s="154">
        <f>L160-'[5]Jūlijs'!L160</f>
        <v>0</v>
      </c>
      <c r="Q160" s="154">
        <v>0</v>
      </c>
      <c r="R160" s="154"/>
      <c r="S160" s="138">
        <f t="shared" si="85"/>
        <v>0</v>
      </c>
    </row>
    <row r="161" spans="1:30" ht="12.75" customHeight="1">
      <c r="A161" s="157" t="s">
        <v>974</v>
      </c>
      <c r="B161" s="163">
        <f>SUM(B162)</f>
        <v>737898</v>
      </c>
      <c r="C161" s="163">
        <f>SUM(C162)</f>
        <v>676782</v>
      </c>
      <c r="D161" s="163">
        <f>SUM(D162)</f>
        <v>675797.38</v>
      </c>
      <c r="E161" s="148">
        <f>IF(ISERROR(D161/B161)," ",(D161/B161))*100</f>
        <v>91.58411867222841</v>
      </c>
      <c r="F161" s="148">
        <f>IF(ISERROR(D161/C161)," ",(D161/C161))*100</f>
        <v>99.85451445221652</v>
      </c>
      <c r="G161" s="163">
        <f>SUM(G162)</f>
        <v>62683.21999999997</v>
      </c>
      <c r="H161" s="165"/>
      <c r="I161" s="157" t="s">
        <v>974</v>
      </c>
      <c r="J161" s="145">
        <f>J162+J163</f>
        <v>738</v>
      </c>
      <c r="K161" s="145">
        <f>K162</f>
        <v>677</v>
      </c>
      <c r="L161" s="145">
        <f>L162</f>
        <v>676</v>
      </c>
      <c r="M161" s="153">
        <f>L161/J161*100</f>
        <v>91.59891598915989</v>
      </c>
      <c r="N161" s="153">
        <f>L161/K161*100</f>
        <v>99.85228951255539</v>
      </c>
      <c r="O161" s="145">
        <f>SUM(O162)</f>
        <v>63</v>
      </c>
      <c r="P161" s="165"/>
      <c r="Q161" s="145">
        <v>676</v>
      </c>
      <c r="R161" s="145">
        <v>613</v>
      </c>
      <c r="S161" s="138">
        <f t="shared" si="85"/>
        <v>63</v>
      </c>
      <c r="T161" s="165"/>
      <c r="U161" s="165"/>
      <c r="V161" s="165"/>
      <c r="W161" s="165"/>
      <c r="X161" s="165"/>
      <c r="Y161" s="165"/>
      <c r="Z161" s="165"/>
      <c r="AA161" s="165"/>
      <c r="AB161" s="165"/>
      <c r="AC161" s="165"/>
      <c r="AD161" s="165"/>
    </row>
    <row r="162" spans="1:19" ht="12.75" customHeight="1">
      <c r="A162" s="159" t="s">
        <v>975</v>
      </c>
      <c r="B162" s="161">
        <v>737898</v>
      </c>
      <c r="C162" s="161">
        <v>676782</v>
      </c>
      <c r="D162" s="161">
        <v>675797.38</v>
      </c>
      <c r="E162" s="148">
        <f>IF(ISERROR(D162/B162)," ",(D162/B162))*100</f>
        <v>91.58411867222841</v>
      </c>
      <c r="F162" s="148">
        <f>IF(ISERROR(D162/C162)," ",(D162/C162))*100</f>
        <v>99.85451445221652</v>
      </c>
      <c r="G162" s="161">
        <f>D162-'[5]Oktobris'!D162</f>
        <v>62683.21999999997</v>
      </c>
      <c r="I162" s="159" t="s">
        <v>975</v>
      </c>
      <c r="J162" s="154">
        <f>ROUND(B162/1000,0)</f>
        <v>738</v>
      </c>
      <c r="K162" s="154">
        <f>ROUND(C162/1000,0)</f>
        <v>677</v>
      </c>
      <c r="L162" s="154">
        <f>ROUND(D162/1000,0)</f>
        <v>676</v>
      </c>
      <c r="M162" s="155">
        <f>L162/J162*100</f>
        <v>91.59891598915989</v>
      </c>
      <c r="N162" s="155">
        <f>L162/K162*100</f>
        <v>99.85228951255539</v>
      </c>
      <c r="O162" s="154">
        <f>L162-'[5]Oktobris'!L162</f>
        <v>63</v>
      </c>
      <c r="Q162" s="154">
        <v>676</v>
      </c>
      <c r="R162" s="154">
        <v>613</v>
      </c>
      <c r="S162" s="138">
        <f t="shared" si="85"/>
        <v>63</v>
      </c>
    </row>
    <row r="163" spans="1:19" ht="12.75" customHeight="1">
      <c r="A163" s="157" t="s">
        <v>1016</v>
      </c>
      <c r="B163" s="163"/>
      <c r="C163" s="163"/>
      <c r="D163" s="163"/>
      <c r="E163" s="163"/>
      <c r="F163" s="163"/>
      <c r="G163" s="163"/>
      <c r="I163" s="157" t="s">
        <v>1017</v>
      </c>
      <c r="J163" s="163"/>
      <c r="K163" s="163"/>
      <c r="L163" s="163"/>
      <c r="M163" s="155"/>
      <c r="N163" s="155"/>
      <c r="O163" s="163"/>
      <c r="Q163" s="163"/>
      <c r="R163" s="163"/>
      <c r="S163" s="138">
        <f t="shared" si="85"/>
        <v>0</v>
      </c>
    </row>
    <row r="164" spans="1:19" ht="12.75" customHeight="1">
      <c r="A164" s="151" t="s">
        <v>969</v>
      </c>
      <c r="B164" s="161">
        <f>SUM(B165:B166)</f>
        <v>335805</v>
      </c>
      <c r="C164" s="163">
        <f>SUM(C165:C166)</f>
        <v>300038</v>
      </c>
      <c r="D164" s="163">
        <f>SUM(D165:D166)</f>
        <v>287310.18</v>
      </c>
      <c r="E164" s="147">
        <f aca="true" t="shared" si="94" ref="E164:E169">IF(ISERROR(D164/B164)," ",(D164/B164))*100</f>
        <v>85.55863670880422</v>
      </c>
      <c r="F164" s="147">
        <f aca="true" t="shared" si="95" ref="F164:F169">IF(ISERROR(D164/C164)," ",(D164/C164))*100</f>
        <v>95.75793066211614</v>
      </c>
      <c r="G164" s="163">
        <f>SUM(G165:G166)</f>
        <v>28673.36</v>
      </c>
      <c r="I164" s="151" t="s">
        <v>969</v>
      </c>
      <c r="J164" s="145">
        <f>J165+J166</f>
        <v>337</v>
      </c>
      <c r="K164" s="145">
        <f>K165+K166</f>
        <v>300</v>
      </c>
      <c r="L164" s="145">
        <f>L165+L166</f>
        <v>287</v>
      </c>
      <c r="M164" s="153">
        <f aca="true" t="shared" si="96" ref="M164:M169">L164/J164*100</f>
        <v>85.16320474777447</v>
      </c>
      <c r="N164" s="153">
        <f aca="true" t="shared" si="97" ref="N164:N169">L164/K164*100</f>
        <v>95.66666666666667</v>
      </c>
      <c r="O164" s="145">
        <f>SUM(O165:O166)</f>
        <v>28</v>
      </c>
      <c r="Q164" s="145">
        <v>287</v>
      </c>
      <c r="R164" s="145">
        <v>259</v>
      </c>
      <c r="S164" s="138">
        <f t="shared" si="85"/>
        <v>28</v>
      </c>
    </row>
    <row r="165" spans="1:19" ht="12.75" customHeight="1">
      <c r="A165" s="151" t="s">
        <v>970</v>
      </c>
      <c r="B165" s="161">
        <v>316689</v>
      </c>
      <c r="C165" s="161">
        <v>284038</v>
      </c>
      <c r="D165" s="161">
        <v>284038</v>
      </c>
      <c r="E165" s="148">
        <f t="shared" si="94"/>
        <v>89.6898850291611</v>
      </c>
      <c r="F165" s="148">
        <f t="shared" si="95"/>
        <v>100</v>
      </c>
      <c r="G165" s="161">
        <f>D165-'[5]Oktobris'!D165</f>
        <v>28122</v>
      </c>
      <c r="I165" s="151" t="s">
        <v>970</v>
      </c>
      <c r="J165" s="154">
        <f>ROUND(B165/1000,0)</f>
        <v>317</v>
      </c>
      <c r="K165" s="154">
        <f>ROUND(C165/1000,0)</f>
        <v>284</v>
      </c>
      <c r="L165" s="154">
        <f>ROUND(D165/1000,0)</f>
        <v>284</v>
      </c>
      <c r="M165" s="155">
        <f t="shared" si="96"/>
        <v>89.58990536277602</v>
      </c>
      <c r="N165" s="155">
        <f t="shared" si="97"/>
        <v>100</v>
      </c>
      <c r="O165" s="154">
        <f>L165-'[5]Oktobris'!L165</f>
        <v>28</v>
      </c>
      <c r="Q165" s="154">
        <v>284</v>
      </c>
      <c r="R165" s="154">
        <v>256</v>
      </c>
      <c r="S165" s="138">
        <f t="shared" si="85"/>
        <v>28</v>
      </c>
    </row>
    <row r="166" spans="1:19" ht="12.75" customHeight="1">
      <c r="A166" s="151" t="s">
        <v>972</v>
      </c>
      <c r="B166" s="161">
        <v>19116</v>
      </c>
      <c r="C166" s="161">
        <v>16000</v>
      </c>
      <c r="D166" s="161">
        <v>3272.18</v>
      </c>
      <c r="E166" s="148">
        <f t="shared" si="94"/>
        <v>17.117493199414103</v>
      </c>
      <c r="F166" s="148">
        <f t="shared" si="95"/>
        <v>20.451124999999998</v>
      </c>
      <c r="G166" s="161">
        <f>D166-'[5]Oktobris'!D166</f>
        <v>551.3599999999997</v>
      </c>
      <c r="I166" s="151" t="s">
        <v>972</v>
      </c>
      <c r="J166" s="154">
        <f>ROUND(B166/1000,0)+1</f>
        <v>20</v>
      </c>
      <c r="K166" s="154">
        <f>ROUND(C166/1000,0)</f>
        <v>16</v>
      </c>
      <c r="L166" s="154">
        <f>ROUND(D166/1000,0)</f>
        <v>3</v>
      </c>
      <c r="M166" s="155">
        <f t="shared" si="96"/>
        <v>15</v>
      </c>
      <c r="N166" s="155">
        <f t="shared" si="97"/>
        <v>18.75</v>
      </c>
      <c r="O166" s="154"/>
      <c r="Q166" s="154">
        <v>3</v>
      </c>
      <c r="R166" s="154">
        <v>3</v>
      </c>
      <c r="S166" s="138">
        <f t="shared" si="85"/>
        <v>0</v>
      </c>
    </row>
    <row r="167" spans="1:19" ht="12.75" customHeight="1">
      <c r="A167" s="157" t="s">
        <v>974</v>
      </c>
      <c r="B167" s="163">
        <f>SUM(B168:B169)</f>
        <v>336817</v>
      </c>
      <c r="C167" s="163">
        <f>SUM(C168:C169)</f>
        <v>301050</v>
      </c>
      <c r="D167" s="163">
        <f>SUM(D168:D169)</f>
        <v>283882.76</v>
      </c>
      <c r="E167" s="148">
        <f t="shared" si="94"/>
        <v>84.28397616509857</v>
      </c>
      <c r="F167" s="148">
        <f t="shared" si="95"/>
        <v>94.29754525826274</v>
      </c>
      <c r="G167" s="163">
        <f>SUM(G168:G169)</f>
        <v>29251.530000000028</v>
      </c>
      <c r="I167" s="157" t="s">
        <v>974</v>
      </c>
      <c r="J167" s="145">
        <f>J168+J169</f>
        <v>337</v>
      </c>
      <c r="K167" s="145">
        <f>K168+K169</f>
        <v>300</v>
      </c>
      <c r="L167" s="145">
        <f>L168+L169</f>
        <v>284</v>
      </c>
      <c r="M167" s="153">
        <f t="shared" si="96"/>
        <v>84.27299703264094</v>
      </c>
      <c r="N167" s="153">
        <f t="shared" si="97"/>
        <v>94.66666666666667</v>
      </c>
      <c r="O167" s="145">
        <f>SUM(O168:O169)</f>
        <v>29</v>
      </c>
      <c r="Q167" s="145">
        <v>284</v>
      </c>
      <c r="R167" s="145">
        <v>255</v>
      </c>
      <c r="S167" s="138">
        <f t="shared" si="85"/>
        <v>29</v>
      </c>
    </row>
    <row r="168" spans="1:19" ht="12.75" customHeight="1">
      <c r="A168" s="159" t="s">
        <v>975</v>
      </c>
      <c r="B168" s="161">
        <v>316817</v>
      </c>
      <c r="C168" s="161">
        <v>284050</v>
      </c>
      <c r="D168" s="161">
        <v>266976.89</v>
      </c>
      <c r="E168" s="148">
        <f t="shared" si="94"/>
        <v>84.26848622390844</v>
      </c>
      <c r="F168" s="148">
        <f t="shared" si="95"/>
        <v>93.98939975356451</v>
      </c>
      <c r="G168" s="161">
        <f>D168-'[5]Oktobris'!D168</f>
        <v>27311.530000000028</v>
      </c>
      <c r="I168" s="159" t="s">
        <v>975</v>
      </c>
      <c r="J168" s="154">
        <f aca="true" t="shared" si="98" ref="J168:L169">ROUND(B168/1000,0)</f>
        <v>317</v>
      </c>
      <c r="K168" s="154">
        <f>ROUND(C168/1000,0)-1</f>
        <v>283</v>
      </c>
      <c r="L168" s="154">
        <f t="shared" si="98"/>
        <v>267</v>
      </c>
      <c r="M168" s="155">
        <f t="shared" si="96"/>
        <v>84.22712933753942</v>
      </c>
      <c r="N168" s="155">
        <f t="shared" si="97"/>
        <v>94.34628975265018</v>
      </c>
      <c r="O168" s="154">
        <f>L168-'[5]Oktobris'!L168</f>
        <v>27</v>
      </c>
      <c r="Q168" s="154">
        <v>267</v>
      </c>
      <c r="R168" s="154">
        <v>240</v>
      </c>
      <c r="S168" s="138">
        <f t="shared" si="85"/>
        <v>27</v>
      </c>
    </row>
    <row r="169" spans="1:19" ht="12.75" customHeight="1">
      <c r="A169" s="159" t="s">
        <v>976</v>
      </c>
      <c r="B169" s="161">
        <v>20000</v>
      </c>
      <c r="C169" s="161">
        <v>17000</v>
      </c>
      <c r="D169" s="161">
        <v>16905.87</v>
      </c>
      <c r="E169" s="148">
        <f t="shared" si="94"/>
        <v>84.52935</v>
      </c>
      <c r="F169" s="148">
        <f t="shared" si="95"/>
        <v>99.44629411764706</v>
      </c>
      <c r="G169" s="161">
        <f>D169-'[5]Oktobris'!D169</f>
        <v>1939.9999999999982</v>
      </c>
      <c r="I169" s="159" t="s">
        <v>976</v>
      </c>
      <c r="J169" s="154">
        <f t="shared" si="98"/>
        <v>20</v>
      </c>
      <c r="K169" s="154">
        <f t="shared" si="98"/>
        <v>17</v>
      </c>
      <c r="L169" s="154">
        <f t="shared" si="98"/>
        <v>17</v>
      </c>
      <c r="M169" s="155">
        <f t="shared" si="96"/>
        <v>85</v>
      </c>
      <c r="N169" s="155">
        <f t="shared" si="97"/>
        <v>100</v>
      </c>
      <c r="O169" s="154">
        <f>L169-'[5]Oktobris'!L169</f>
        <v>2</v>
      </c>
      <c r="Q169" s="154">
        <v>17</v>
      </c>
      <c r="R169" s="154">
        <v>15</v>
      </c>
      <c r="S169" s="138">
        <f t="shared" si="85"/>
        <v>2</v>
      </c>
    </row>
    <row r="170" spans="1:19" ht="12.75" customHeight="1">
      <c r="A170" s="157" t="s">
        <v>1018</v>
      </c>
      <c r="B170" s="161"/>
      <c r="C170" s="161"/>
      <c r="D170" s="161"/>
      <c r="E170" s="161"/>
      <c r="F170" s="161"/>
      <c r="G170" s="161"/>
      <c r="I170" s="157" t="s">
        <v>1019</v>
      </c>
      <c r="J170" s="161"/>
      <c r="K170" s="161"/>
      <c r="L170" s="161"/>
      <c r="M170" s="155"/>
      <c r="N170" s="155"/>
      <c r="O170" s="161"/>
      <c r="Q170" s="161"/>
      <c r="R170" s="161"/>
      <c r="S170" s="138">
        <f t="shared" si="85"/>
        <v>0</v>
      </c>
    </row>
    <row r="171" spans="1:19" ht="12.75" customHeight="1">
      <c r="A171" s="151" t="s">
        <v>969</v>
      </c>
      <c r="B171" s="161">
        <f>SUM(B172:B173)</f>
        <v>6428814</v>
      </c>
      <c r="C171" s="163">
        <f>SUM(C172:C173)</f>
        <v>5844345</v>
      </c>
      <c r="D171" s="163">
        <f>SUM(D172:D173)</f>
        <v>5852107.2</v>
      </c>
      <c r="E171" s="147">
        <f aca="true" t="shared" si="99" ref="E171:E176">IF(ISERROR(D171/B171)," ",(D171/B171))*100</f>
        <v>91.02934382609297</v>
      </c>
      <c r="F171" s="147">
        <f aca="true" t="shared" si="100" ref="F171:F176">IF(ISERROR(D171/C171)," ",(D171/C171))*100</f>
        <v>100.13281556786946</v>
      </c>
      <c r="G171" s="163">
        <f>SUM(G172:G173)</f>
        <v>571083.77</v>
      </c>
      <c r="I171" s="151" t="s">
        <v>969</v>
      </c>
      <c r="J171" s="145">
        <f>J172+J173</f>
        <v>6429</v>
      </c>
      <c r="K171" s="145">
        <f>K172+K173</f>
        <v>5844</v>
      </c>
      <c r="L171" s="145">
        <f>L172+L173</f>
        <v>5852</v>
      </c>
      <c r="M171" s="153">
        <f aca="true" t="shared" si="101" ref="M171:M176">L171/J171*100</f>
        <v>91.0250427749261</v>
      </c>
      <c r="N171" s="153">
        <f aca="true" t="shared" si="102" ref="N171:N176">L171/K171*100</f>
        <v>100.13689253935661</v>
      </c>
      <c r="O171" s="145">
        <f>SUM(O172:O173)</f>
        <v>571</v>
      </c>
      <c r="Q171" s="145">
        <v>5852</v>
      </c>
      <c r="R171" s="145">
        <v>5281</v>
      </c>
      <c r="S171" s="138">
        <f t="shared" si="85"/>
        <v>571</v>
      </c>
    </row>
    <row r="172" spans="1:19" ht="12.75" customHeight="1">
      <c r="A172" s="151" t="s">
        <v>970</v>
      </c>
      <c r="B172" s="161">
        <v>6419814</v>
      </c>
      <c r="C172" s="161">
        <v>5836095</v>
      </c>
      <c r="D172" s="161">
        <v>5836095</v>
      </c>
      <c r="E172" s="148">
        <f t="shared" si="99"/>
        <v>90.90754031191558</v>
      </c>
      <c r="F172" s="148">
        <f t="shared" si="100"/>
        <v>100</v>
      </c>
      <c r="G172" s="161">
        <f>D172-'[5]Oktobris'!D172</f>
        <v>570112</v>
      </c>
      <c r="I172" s="151" t="s">
        <v>970</v>
      </c>
      <c r="J172" s="154">
        <f aca="true" t="shared" si="103" ref="J172:L173">ROUND(B172/1000,0)</f>
        <v>6420</v>
      </c>
      <c r="K172" s="154">
        <f t="shared" si="103"/>
        <v>5836</v>
      </c>
      <c r="L172" s="154">
        <f t="shared" si="103"/>
        <v>5836</v>
      </c>
      <c r="M172" s="155">
        <f t="shared" si="101"/>
        <v>90.90342679127725</v>
      </c>
      <c r="N172" s="155">
        <f t="shared" si="102"/>
        <v>100</v>
      </c>
      <c r="O172" s="154">
        <f>L172-'[5]Oktobris'!L172</f>
        <v>570</v>
      </c>
      <c r="Q172" s="154">
        <v>5836</v>
      </c>
      <c r="R172" s="154">
        <v>5266</v>
      </c>
      <c r="S172" s="138">
        <f t="shared" si="85"/>
        <v>570</v>
      </c>
    </row>
    <row r="173" spans="1:19" ht="12.75" customHeight="1">
      <c r="A173" s="151" t="s">
        <v>972</v>
      </c>
      <c r="B173" s="161">
        <v>9000</v>
      </c>
      <c r="C173" s="161">
        <v>8250</v>
      </c>
      <c r="D173" s="161">
        <v>16012.2</v>
      </c>
      <c r="E173" s="148">
        <f t="shared" si="99"/>
        <v>177.91333333333336</v>
      </c>
      <c r="F173" s="148">
        <f t="shared" si="100"/>
        <v>194.08727272727273</v>
      </c>
      <c r="G173" s="161">
        <f>D173-'[5]Oktobris'!D173</f>
        <v>971.7700000000004</v>
      </c>
      <c r="I173" s="151" t="s">
        <v>972</v>
      </c>
      <c r="J173" s="154">
        <f t="shared" si="103"/>
        <v>9</v>
      </c>
      <c r="K173" s="154">
        <f>ROUND(C173/1000,0)</f>
        <v>8</v>
      </c>
      <c r="L173" s="154">
        <f t="shared" si="103"/>
        <v>16</v>
      </c>
      <c r="M173" s="155">
        <f t="shared" si="101"/>
        <v>177.77777777777777</v>
      </c>
      <c r="N173" s="155">
        <f t="shared" si="102"/>
        <v>200</v>
      </c>
      <c r="O173" s="154">
        <f>L173-'[5]Oktobris'!L173</f>
        <v>1</v>
      </c>
      <c r="Q173" s="154">
        <v>16</v>
      </c>
      <c r="R173" s="154">
        <v>15</v>
      </c>
      <c r="S173" s="138">
        <f t="shared" si="85"/>
        <v>1</v>
      </c>
    </row>
    <row r="174" spans="1:19" ht="12.75" customHeight="1">
      <c r="A174" s="157" t="s">
        <v>974</v>
      </c>
      <c r="B174" s="163">
        <f>SUM(B175:B176)</f>
        <v>6428814</v>
      </c>
      <c r="C174" s="163">
        <f>SUM(C175:C176)</f>
        <v>5844345</v>
      </c>
      <c r="D174" s="163">
        <f>SUM(D175:D176)</f>
        <v>5797145.07</v>
      </c>
      <c r="E174" s="148">
        <f t="shared" si="99"/>
        <v>90.17440961894371</v>
      </c>
      <c r="F174" s="148">
        <f t="shared" si="100"/>
        <v>99.19238289320703</v>
      </c>
      <c r="G174" s="163">
        <f>SUM(G175:G176)</f>
        <v>581417.95</v>
      </c>
      <c r="I174" s="157" t="s">
        <v>974</v>
      </c>
      <c r="J174" s="145">
        <f>J175+J176</f>
        <v>6429</v>
      </c>
      <c r="K174" s="145">
        <f>K175+K176</f>
        <v>5844</v>
      </c>
      <c r="L174" s="145">
        <f>L175+L176</f>
        <v>5797</v>
      </c>
      <c r="M174" s="153">
        <f t="shared" si="101"/>
        <v>90.16954425260538</v>
      </c>
      <c r="N174" s="153">
        <f t="shared" si="102"/>
        <v>99.19575633127995</v>
      </c>
      <c r="O174" s="145">
        <f>SUM(O175:O176)</f>
        <v>581</v>
      </c>
      <c r="Q174" s="145">
        <v>5797</v>
      </c>
      <c r="R174" s="145">
        <v>5216</v>
      </c>
      <c r="S174" s="138">
        <f t="shared" si="85"/>
        <v>581</v>
      </c>
    </row>
    <row r="175" spans="1:19" ht="12.75" customHeight="1">
      <c r="A175" s="159" t="s">
        <v>975</v>
      </c>
      <c r="B175" s="161">
        <v>6282854</v>
      </c>
      <c r="C175" s="161">
        <v>5711245</v>
      </c>
      <c r="D175" s="161">
        <v>5698091.96</v>
      </c>
      <c r="E175" s="148">
        <f t="shared" si="99"/>
        <v>90.69273231560052</v>
      </c>
      <c r="F175" s="148">
        <f t="shared" si="100"/>
        <v>99.76969925121405</v>
      </c>
      <c r="G175" s="161">
        <f>D175-'[5]Oktobris'!D175</f>
        <v>565309.46</v>
      </c>
      <c r="I175" s="159" t="s">
        <v>975</v>
      </c>
      <c r="J175" s="154">
        <f aca="true" t="shared" si="104" ref="J175:L176">ROUND(B175/1000,0)</f>
        <v>6283</v>
      </c>
      <c r="K175" s="154">
        <f>ROUND(C175/1000,0)</f>
        <v>5711</v>
      </c>
      <c r="L175" s="154">
        <f t="shared" si="104"/>
        <v>5698</v>
      </c>
      <c r="M175" s="155">
        <f t="shared" si="101"/>
        <v>90.68916122871241</v>
      </c>
      <c r="N175" s="155">
        <f t="shared" si="102"/>
        <v>99.77236911223953</v>
      </c>
      <c r="O175" s="154">
        <f>L175-'[5]Oktobris'!L175</f>
        <v>565</v>
      </c>
      <c r="Q175" s="154">
        <v>5698</v>
      </c>
      <c r="R175" s="154">
        <v>5133</v>
      </c>
      <c r="S175" s="138">
        <f t="shared" si="85"/>
        <v>565</v>
      </c>
    </row>
    <row r="176" spans="1:19" ht="12.75" customHeight="1">
      <c r="A176" s="159" t="s">
        <v>976</v>
      </c>
      <c r="B176" s="161">
        <v>145960</v>
      </c>
      <c r="C176" s="161">
        <v>133100</v>
      </c>
      <c r="D176" s="161">
        <v>99053.11</v>
      </c>
      <c r="E176" s="148">
        <f t="shared" si="99"/>
        <v>67.8631885448068</v>
      </c>
      <c r="F176" s="148">
        <f t="shared" si="100"/>
        <v>74.42006761833208</v>
      </c>
      <c r="G176" s="161">
        <f>D176-'[5]Oktobris'!D176</f>
        <v>16108.490000000005</v>
      </c>
      <c r="I176" s="159" t="s">
        <v>976</v>
      </c>
      <c r="J176" s="154">
        <f t="shared" si="104"/>
        <v>146</v>
      </c>
      <c r="K176" s="154">
        <f t="shared" si="104"/>
        <v>133</v>
      </c>
      <c r="L176" s="154">
        <f t="shared" si="104"/>
        <v>99</v>
      </c>
      <c r="M176" s="155">
        <f t="shared" si="101"/>
        <v>67.8082191780822</v>
      </c>
      <c r="N176" s="155">
        <f t="shared" si="102"/>
        <v>74.43609022556392</v>
      </c>
      <c r="O176" s="154">
        <f>L176-'[5]Oktobris'!L176</f>
        <v>16</v>
      </c>
      <c r="Q176" s="154">
        <v>99</v>
      </c>
      <c r="R176" s="154">
        <v>83</v>
      </c>
      <c r="S176" s="138">
        <f t="shared" si="85"/>
        <v>16</v>
      </c>
    </row>
    <row r="177" spans="1:19" ht="12.75" customHeight="1">
      <c r="A177" s="144" t="s">
        <v>1020</v>
      </c>
      <c r="B177" s="163"/>
      <c r="C177" s="163"/>
      <c r="D177" s="163"/>
      <c r="E177" s="163"/>
      <c r="F177" s="163"/>
      <c r="G177" s="163"/>
      <c r="I177" s="144" t="s">
        <v>1021</v>
      </c>
      <c r="J177" s="163"/>
      <c r="K177" s="163"/>
      <c r="L177" s="163"/>
      <c r="M177" s="155"/>
      <c r="N177" s="155"/>
      <c r="O177" s="163"/>
      <c r="Q177" s="163"/>
      <c r="R177" s="163"/>
      <c r="S177" s="138">
        <f t="shared" si="85"/>
        <v>0</v>
      </c>
    </row>
    <row r="178" spans="1:19" ht="12.75" customHeight="1">
      <c r="A178" s="151" t="s">
        <v>969</v>
      </c>
      <c r="B178" s="161">
        <f>SUM(B179)</f>
        <v>230269</v>
      </c>
      <c r="C178" s="163">
        <f>SUM(C179)</f>
        <v>222328</v>
      </c>
      <c r="D178" s="163">
        <f>SUM(D179)</f>
        <v>222328</v>
      </c>
      <c r="E178" s="147">
        <f>IF(ISERROR(D178/B178)," ",(D178/B178))*100</f>
        <v>96.55142463814062</v>
      </c>
      <c r="F178" s="147">
        <f>IF(ISERROR(D178/C178)," ",(D178/C178))*100</f>
        <v>100</v>
      </c>
      <c r="G178" s="163">
        <f>SUM(G179)</f>
        <v>6841</v>
      </c>
      <c r="I178" s="151" t="s">
        <v>969</v>
      </c>
      <c r="J178" s="145">
        <f>J179</f>
        <v>230</v>
      </c>
      <c r="K178" s="145">
        <f>K179</f>
        <v>222</v>
      </c>
      <c r="L178" s="145">
        <f>L179</f>
        <v>222</v>
      </c>
      <c r="M178" s="153">
        <f>L178/J178*100</f>
        <v>96.52173913043478</v>
      </c>
      <c r="N178" s="153">
        <f>L178/K178*100</f>
        <v>100</v>
      </c>
      <c r="O178" s="145">
        <f>SUM(O179)</f>
        <v>7</v>
      </c>
      <c r="Q178" s="145">
        <v>222</v>
      </c>
      <c r="R178" s="145">
        <v>215</v>
      </c>
      <c r="S178" s="138">
        <f t="shared" si="85"/>
        <v>7</v>
      </c>
    </row>
    <row r="179" spans="1:19" ht="12.75" customHeight="1">
      <c r="A179" s="151" t="s">
        <v>970</v>
      </c>
      <c r="B179" s="161">
        <v>230269</v>
      </c>
      <c r="C179" s="161">
        <v>222328</v>
      </c>
      <c r="D179" s="161">
        <v>222328</v>
      </c>
      <c r="E179" s="148">
        <f>IF(ISERROR(D179/B179)," ",(D179/B179))*100</f>
        <v>96.55142463814062</v>
      </c>
      <c r="F179" s="148">
        <f>IF(ISERROR(D179/C179)," ",(D179/C179))*100</f>
        <v>100</v>
      </c>
      <c r="G179" s="161">
        <f>D179-'[5]Oktobris'!D179</f>
        <v>6841</v>
      </c>
      <c r="I179" s="151" t="s">
        <v>970</v>
      </c>
      <c r="J179" s="154">
        <f>ROUND(B179/1000,0)</f>
        <v>230</v>
      </c>
      <c r="K179" s="154">
        <f>ROUND(C179/1000,0)</f>
        <v>222</v>
      </c>
      <c r="L179" s="154">
        <f>ROUND(D179/1000,0)</f>
        <v>222</v>
      </c>
      <c r="M179" s="155">
        <f>L179/J179*100</f>
        <v>96.52173913043478</v>
      </c>
      <c r="N179" s="155">
        <f>L179/K179*100</f>
        <v>100</v>
      </c>
      <c r="O179" s="154">
        <f>L179-'[5]Oktobris'!L179</f>
        <v>7</v>
      </c>
      <c r="Q179" s="154">
        <v>222</v>
      </c>
      <c r="R179" s="154">
        <v>215</v>
      </c>
      <c r="S179" s="138">
        <f t="shared" si="85"/>
        <v>7</v>
      </c>
    </row>
    <row r="180" spans="1:19" ht="12.75" customHeight="1">
      <c r="A180" s="157" t="s">
        <v>974</v>
      </c>
      <c r="B180" s="163">
        <f>SUM(B181:B182)</f>
        <v>230269</v>
      </c>
      <c r="C180" s="163">
        <f>SUM(C181:C182)</f>
        <v>222328</v>
      </c>
      <c r="D180" s="163">
        <f>SUM(D181:D182)</f>
        <v>185427.27000000002</v>
      </c>
      <c r="E180" s="148">
        <f>IF(ISERROR(D180/B180)," ",(D180/B180))*100</f>
        <v>80.52637133092166</v>
      </c>
      <c r="F180" s="148">
        <f>IF(ISERROR(D180/C180)," ",(D180/C180))*100</f>
        <v>83.40257187578713</v>
      </c>
      <c r="G180" s="163">
        <f>SUM(G181:G182)</f>
        <v>8669.950000000012</v>
      </c>
      <c r="I180" s="157" t="s">
        <v>974</v>
      </c>
      <c r="J180" s="145">
        <f>J181+J182</f>
        <v>230</v>
      </c>
      <c r="K180" s="145">
        <f>K181+K182</f>
        <v>222</v>
      </c>
      <c r="L180" s="145">
        <f>L181+L182</f>
        <v>185</v>
      </c>
      <c r="M180" s="153">
        <f>L180/J180*100</f>
        <v>80.43478260869566</v>
      </c>
      <c r="N180" s="153">
        <f>L180/K180*100</f>
        <v>83.33333333333334</v>
      </c>
      <c r="O180" s="145">
        <f>SUM(O181:O182)</f>
        <v>8</v>
      </c>
      <c r="Q180" s="145">
        <v>185</v>
      </c>
      <c r="R180" s="145">
        <v>177</v>
      </c>
      <c r="S180" s="138">
        <f t="shared" si="85"/>
        <v>8</v>
      </c>
    </row>
    <row r="181" spans="1:19" ht="12.75" customHeight="1">
      <c r="A181" s="159" t="s">
        <v>975</v>
      </c>
      <c r="B181" s="161">
        <v>196269</v>
      </c>
      <c r="C181" s="161">
        <v>188328</v>
      </c>
      <c r="D181" s="161">
        <v>170597.82</v>
      </c>
      <c r="E181" s="148">
        <f>IF(ISERROR(D181/B181)," ",(D181/B181))*100</f>
        <v>86.92041025327485</v>
      </c>
      <c r="F181" s="148">
        <f>IF(ISERROR(D181/C181)," ",(D181/C181))*100</f>
        <v>90.58547852682554</v>
      </c>
      <c r="G181" s="161">
        <f>D181-'[5]Oktobris'!D181</f>
        <v>7606.950000000012</v>
      </c>
      <c r="I181" s="159" t="s">
        <v>975</v>
      </c>
      <c r="J181" s="154">
        <f aca="true" t="shared" si="105" ref="J181:L182">ROUND(B181/1000,0)</f>
        <v>196</v>
      </c>
      <c r="K181" s="154">
        <f t="shared" si="105"/>
        <v>188</v>
      </c>
      <c r="L181" s="154">
        <f>ROUND(D181/1000,0)-1</f>
        <v>170</v>
      </c>
      <c r="M181" s="155">
        <f>L181/J181*100</f>
        <v>86.73469387755102</v>
      </c>
      <c r="N181" s="155">
        <f>L181/K181*100</f>
        <v>90.42553191489363</v>
      </c>
      <c r="O181" s="154">
        <f>L181-'[5]Oktobris'!L181</f>
        <v>7</v>
      </c>
      <c r="Q181" s="154">
        <v>170</v>
      </c>
      <c r="R181" s="154">
        <v>163</v>
      </c>
      <c r="S181" s="138">
        <f t="shared" si="85"/>
        <v>7</v>
      </c>
    </row>
    <row r="182" spans="1:19" ht="12.75" customHeight="1">
      <c r="A182" s="159" t="s">
        <v>976</v>
      </c>
      <c r="B182" s="161">
        <v>34000</v>
      </c>
      <c r="C182" s="161">
        <v>34000</v>
      </c>
      <c r="D182" s="161">
        <v>14829.45</v>
      </c>
      <c r="E182" s="148">
        <f>IF(ISERROR(D182/B182)," ",(D182/B182))*100</f>
        <v>43.61602941176471</v>
      </c>
      <c r="F182" s="148">
        <f>IF(ISERROR(D182/C182)," ",(D182/C182))*100</f>
        <v>43.61602941176471</v>
      </c>
      <c r="G182" s="161">
        <f>D182-'[5]Oktobris'!D182</f>
        <v>1063</v>
      </c>
      <c r="I182" s="159" t="s">
        <v>976</v>
      </c>
      <c r="J182" s="154">
        <f t="shared" si="105"/>
        <v>34</v>
      </c>
      <c r="K182" s="154">
        <f t="shared" si="105"/>
        <v>34</v>
      </c>
      <c r="L182" s="154">
        <f t="shared" si="105"/>
        <v>15</v>
      </c>
      <c r="M182" s="155">
        <f>L182/J182*100</f>
        <v>44.11764705882353</v>
      </c>
      <c r="N182" s="155">
        <f>L182/K182*100</f>
        <v>44.11764705882353</v>
      </c>
      <c r="O182" s="154">
        <f>L182-'[5]Oktobris'!L182</f>
        <v>1</v>
      </c>
      <c r="Q182" s="154">
        <v>15</v>
      </c>
      <c r="R182" s="154">
        <v>14</v>
      </c>
      <c r="S182" s="138">
        <f t="shared" si="85"/>
        <v>1</v>
      </c>
    </row>
    <row r="183" spans="1:19" ht="12.75" customHeight="1">
      <c r="A183" s="162" t="s">
        <v>1022</v>
      </c>
      <c r="B183" s="163"/>
      <c r="C183" s="163"/>
      <c r="D183" s="163"/>
      <c r="E183" s="163"/>
      <c r="F183" s="163"/>
      <c r="G183" s="163"/>
      <c r="I183" s="162" t="s">
        <v>1023</v>
      </c>
      <c r="J183" s="163"/>
      <c r="K183" s="163"/>
      <c r="L183" s="163"/>
      <c r="M183" s="155"/>
      <c r="N183" s="155"/>
      <c r="O183" s="163"/>
      <c r="Q183" s="163"/>
      <c r="R183" s="163"/>
      <c r="S183" s="138">
        <f t="shared" si="85"/>
        <v>0</v>
      </c>
    </row>
    <row r="184" spans="1:19" ht="12.75" customHeight="1">
      <c r="A184" s="151" t="s">
        <v>969</v>
      </c>
      <c r="B184" s="161">
        <f>SUM(B185)</f>
        <v>51951</v>
      </c>
      <c r="C184" s="163">
        <f>SUM(C185)</f>
        <v>46788</v>
      </c>
      <c r="D184" s="163">
        <f>SUM(D185)</f>
        <v>46788</v>
      </c>
      <c r="E184" s="147">
        <f>IF(ISERROR(D184/B184)," ",(D184/B184))*100</f>
        <v>90.06178899347462</v>
      </c>
      <c r="F184" s="147">
        <f>IF(ISERROR(D184/C184)," ",(D184/C184))*100</f>
        <v>100</v>
      </c>
      <c r="G184" s="163">
        <f>SUM(G185)</f>
        <v>4610</v>
      </c>
      <c r="I184" s="151" t="s">
        <v>969</v>
      </c>
      <c r="J184" s="145">
        <f>J185</f>
        <v>52</v>
      </c>
      <c r="K184" s="145">
        <f>K185</f>
        <v>47</v>
      </c>
      <c r="L184" s="145">
        <f>L185</f>
        <v>47</v>
      </c>
      <c r="M184" s="153">
        <f>L184/J184*100</f>
        <v>90.38461538461539</v>
      </c>
      <c r="N184" s="153">
        <f>L184/K184*100</f>
        <v>100</v>
      </c>
      <c r="O184" s="145">
        <f>SUM(O185)</f>
        <v>5</v>
      </c>
      <c r="Q184" s="145">
        <v>47</v>
      </c>
      <c r="R184" s="145">
        <v>42</v>
      </c>
      <c r="S184" s="138">
        <f t="shared" si="85"/>
        <v>5</v>
      </c>
    </row>
    <row r="185" spans="1:19" ht="12.75" customHeight="1">
      <c r="A185" s="151" t="s">
        <v>970</v>
      </c>
      <c r="B185" s="161">
        <v>51951</v>
      </c>
      <c r="C185" s="161">
        <v>46788</v>
      </c>
      <c r="D185" s="161">
        <v>46788</v>
      </c>
      <c r="E185" s="148">
        <f>IF(ISERROR(D185/B185)," ",(D185/B185))*100</f>
        <v>90.06178899347462</v>
      </c>
      <c r="F185" s="148">
        <f>IF(ISERROR(D185/C185)," ",(D185/C185))*100</f>
        <v>100</v>
      </c>
      <c r="G185" s="161">
        <f>D185-'[5]Oktobris'!D185</f>
        <v>4610</v>
      </c>
      <c r="I185" s="151" t="s">
        <v>970</v>
      </c>
      <c r="J185" s="154">
        <f>ROUND(B185/1000,0)</f>
        <v>52</v>
      </c>
      <c r="K185" s="154">
        <f>ROUND(C185/1000,0)</f>
        <v>47</v>
      </c>
      <c r="L185" s="154">
        <f>ROUND(D185/1000,0)</f>
        <v>47</v>
      </c>
      <c r="M185" s="155">
        <f>L185/J185*100</f>
        <v>90.38461538461539</v>
      </c>
      <c r="N185" s="155">
        <f>L185/K185*100</f>
        <v>100</v>
      </c>
      <c r="O185" s="154">
        <f>L185-'[5]Oktobris'!L185</f>
        <v>5</v>
      </c>
      <c r="Q185" s="154">
        <v>47</v>
      </c>
      <c r="R185" s="154">
        <v>42</v>
      </c>
      <c r="S185" s="138">
        <f t="shared" si="85"/>
        <v>5</v>
      </c>
    </row>
    <row r="186" spans="1:19" ht="12.75" customHeight="1">
      <c r="A186" s="157" t="s">
        <v>974</v>
      </c>
      <c r="B186" s="163">
        <f>SUM(B187)</f>
        <v>51951</v>
      </c>
      <c r="C186" s="163">
        <f>SUM(C187)</f>
        <v>46788</v>
      </c>
      <c r="D186" s="163">
        <f>SUM(D187)</f>
        <v>45518.99</v>
      </c>
      <c r="E186" s="148">
        <f>IF(ISERROR(D186/B186)," ",(D186/B186))*100</f>
        <v>87.61908336701892</v>
      </c>
      <c r="F186" s="148">
        <f>IF(ISERROR(D186/C186)," ",(D186/C186))*100</f>
        <v>97.2877447208686</v>
      </c>
      <c r="G186" s="163">
        <f>SUM(G187)</f>
        <v>5342.379999999997</v>
      </c>
      <c r="I186" s="157" t="s">
        <v>974</v>
      </c>
      <c r="J186" s="145">
        <f>J187+J188</f>
        <v>52</v>
      </c>
      <c r="K186" s="145">
        <f>K187</f>
        <v>47</v>
      </c>
      <c r="L186" s="145">
        <f>L187</f>
        <v>46</v>
      </c>
      <c r="M186" s="153">
        <f>L186/J186*100</f>
        <v>88.46153846153845</v>
      </c>
      <c r="N186" s="153">
        <f>L186/K186*100</f>
        <v>97.87234042553192</v>
      </c>
      <c r="O186" s="145">
        <f>SUM(O187)</f>
        <v>6</v>
      </c>
      <c r="Q186" s="145">
        <v>46</v>
      </c>
      <c r="R186" s="145">
        <v>40</v>
      </c>
      <c r="S186" s="138">
        <f t="shared" si="85"/>
        <v>6</v>
      </c>
    </row>
    <row r="187" spans="1:19" ht="12.75" customHeight="1">
      <c r="A187" s="159" t="s">
        <v>975</v>
      </c>
      <c r="B187" s="161">
        <v>51951</v>
      </c>
      <c r="C187" s="161">
        <v>46788</v>
      </c>
      <c r="D187" s="161">
        <v>45518.99</v>
      </c>
      <c r="E187" s="148">
        <f>IF(ISERROR(D187/B187)," ",(D187/B187))*100</f>
        <v>87.61908336701892</v>
      </c>
      <c r="F187" s="148">
        <f>IF(ISERROR(D187/C187)," ",(D187/C187))*100</f>
        <v>97.2877447208686</v>
      </c>
      <c r="G187" s="161">
        <f>D187-'[5]Oktobris'!D187</f>
        <v>5342.379999999997</v>
      </c>
      <c r="I187" s="159" t="s">
        <v>975</v>
      </c>
      <c r="J187" s="154">
        <f>ROUND(B187/1000,0)</f>
        <v>52</v>
      </c>
      <c r="K187" s="154">
        <f>ROUND(C187/1000,0)</f>
        <v>47</v>
      </c>
      <c r="L187" s="154">
        <f>ROUND(D187/1000,0)</f>
        <v>46</v>
      </c>
      <c r="M187" s="155">
        <f>L187/J187*100</f>
        <v>88.46153846153845</v>
      </c>
      <c r="N187" s="155">
        <f>L187/K187*100</f>
        <v>97.87234042553192</v>
      </c>
      <c r="O187" s="154">
        <f>L187-'[5]Oktobris'!L187</f>
        <v>6</v>
      </c>
      <c r="Q187" s="154">
        <v>46</v>
      </c>
      <c r="R187" s="154">
        <v>40</v>
      </c>
      <c r="S187" s="138">
        <f t="shared" si="85"/>
        <v>6</v>
      </c>
    </row>
    <row r="188" spans="1:19" ht="12.75" customHeight="1">
      <c r="A188" s="162" t="s">
        <v>1024</v>
      </c>
      <c r="B188" s="163"/>
      <c r="C188" s="163"/>
      <c r="D188" s="163"/>
      <c r="E188" s="163"/>
      <c r="F188" s="163"/>
      <c r="G188" s="163"/>
      <c r="I188" s="162" t="s">
        <v>1025</v>
      </c>
      <c r="J188" s="163"/>
      <c r="K188" s="163"/>
      <c r="L188" s="163"/>
      <c r="M188" s="155"/>
      <c r="N188" s="155"/>
      <c r="O188" s="163"/>
      <c r="Q188" s="163"/>
      <c r="R188" s="163"/>
      <c r="S188" s="138">
        <f t="shared" si="85"/>
        <v>0</v>
      </c>
    </row>
    <row r="189" spans="1:19" ht="12.75" customHeight="1">
      <c r="A189" s="151" t="s">
        <v>969</v>
      </c>
      <c r="B189" s="161">
        <f>SUM(B190)</f>
        <v>1643907</v>
      </c>
      <c r="C189" s="163">
        <f>SUM(C190)</f>
        <v>1552907</v>
      </c>
      <c r="D189" s="163">
        <f>SUM(D190:D191)</f>
        <v>1552922.4</v>
      </c>
      <c r="E189" s="147">
        <f>IF(ISERROR(D189/B189)," ",(D189/B189))*100</f>
        <v>94.46534384244364</v>
      </c>
      <c r="F189" s="147">
        <f>IF(ISERROR(D189/C189)," ",(D189/C189))*100</f>
        <v>100.00099168849133</v>
      </c>
      <c r="G189" s="163">
        <f>SUM(G190:G191)</f>
        <v>91015.4</v>
      </c>
      <c r="I189" s="151" t="s">
        <v>969</v>
      </c>
      <c r="J189" s="145">
        <f>J190</f>
        <v>1644</v>
      </c>
      <c r="K189" s="145">
        <f>K190</f>
        <v>1553</v>
      </c>
      <c r="L189" s="145">
        <f>L190+L191</f>
        <v>1553</v>
      </c>
      <c r="M189" s="153">
        <f>L189/J189*100</f>
        <v>94.4647201946472</v>
      </c>
      <c r="N189" s="153">
        <f>L189/K189*100</f>
        <v>100</v>
      </c>
      <c r="O189" s="145">
        <f>SUM(O190:O191)</f>
        <v>91</v>
      </c>
      <c r="Q189" s="145">
        <v>1553</v>
      </c>
      <c r="R189" s="145">
        <v>1462</v>
      </c>
      <c r="S189" s="138">
        <f t="shared" si="85"/>
        <v>91</v>
      </c>
    </row>
    <row r="190" spans="1:19" ht="12" customHeight="1">
      <c r="A190" s="151" t="s">
        <v>970</v>
      </c>
      <c r="B190" s="161">
        <v>1643907</v>
      </c>
      <c r="C190" s="161">
        <v>1552907</v>
      </c>
      <c r="D190" s="161">
        <v>1552907</v>
      </c>
      <c r="E190" s="148">
        <f>IF(ISERROR(D190/B190)," ",(D190/B190))*100</f>
        <v>94.46440704979054</v>
      </c>
      <c r="F190" s="148">
        <f>IF(ISERROR(D190/C190)," ",(D190/C190))*100</f>
        <v>100</v>
      </c>
      <c r="G190" s="161">
        <f>D190-'[5]Oktobris'!D190</f>
        <v>91000</v>
      </c>
      <c r="I190" s="151" t="s">
        <v>970</v>
      </c>
      <c r="J190" s="154">
        <f>ROUND(B190/1000,0)</f>
        <v>1644</v>
      </c>
      <c r="K190" s="154">
        <f>ROUND(C190/1000,0)</f>
        <v>1553</v>
      </c>
      <c r="L190" s="154">
        <f>ROUND(D190/1000,0)</f>
        <v>1553</v>
      </c>
      <c r="M190" s="155">
        <f>L190/J190*100</f>
        <v>94.4647201946472</v>
      </c>
      <c r="N190" s="155">
        <f>L190/K190*100</f>
        <v>100</v>
      </c>
      <c r="O190" s="154">
        <f>L190-'[5]Oktobris'!L190</f>
        <v>91</v>
      </c>
      <c r="Q190" s="154">
        <v>1553</v>
      </c>
      <c r="R190" s="154">
        <v>1462</v>
      </c>
      <c r="S190" s="138">
        <f t="shared" si="85"/>
        <v>91</v>
      </c>
    </row>
    <row r="191" spans="1:19" ht="13.5" customHeight="1" hidden="1">
      <c r="A191" s="151" t="s">
        <v>972</v>
      </c>
      <c r="B191" s="161"/>
      <c r="C191" s="161"/>
      <c r="D191" s="161">
        <v>15.4</v>
      </c>
      <c r="E191" s="148"/>
      <c r="F191" s="148"/>
      <c r="G191" s="161">
        <f>D191-'[5]Septembris'!D191</f>
        <v>15.4</v>
      </c>
      <c r="I191" s="151" t="s">
        <v>972</v>
      </c>
      <c r="J191" s="154"/>
      <c r="K191" s="154"/>
      <c r="L191" s="154"/>
      <c r="M191" s="155"/>
      <c r="N191" s="155"/>
      <c r="O191" s="154"/>
      <c r="Q191" s="154"/>
      <c r="R191" s="154"/>
      <c r="S191" s="138">
        <f t="shared" si="85"/>
        <v>0</v>
      </c>
    </row>
    <row r="192" spans="1:19" ht="12.75" customHeight="1">
      <c r="A192" s="157" t="s">
        <v>974</v>
      </c>
      <c r="B192" s="163">
        <f>SUM(B193)</f>
        <v>1643907</v>
      </c>
      <c r="C192" s="163">
        <f>SUM(C193)</f>
        <v>1552907</v>
      </c>
      <c r="D192" s="163">
        <f>SUM(D193)</f>
        <v>1528552.75</v>
      </c>
      <c r="E192" s="148">
        <f>IF(ISERROR(D192/B192)," ",(D192/B192))*100</f>
        <v>92.98292117498131</v>
      </c>
      <c r="F192" s="148">
        <f>IF(ISERROR(D192/C192)," ",(D192/C192))*100</f>
        <v>98.4316993870206</v>
      </c>
      <c r="G192" s="163">
        <f>SUM(G193)</f>
        <v>103799.22999999998</v>
      </c>
      <c r="I192" s="157" t="s">
        <v>974</v>
      </c>
      <c r="J192" s="145">
        <f>J193+J194</f>
        <v>1644</v>
      </c>
      <c r="K192" s="145">
        <f>K193</f>
        <v>1553</v>
      </c>
      <c r="L192" s="145">
        <f>L193</f>
        <v>1529</v>
      </c>
      <c r="M192" s="153">
        <f>L192/J192*100</f>
        <v>93.00486618004867</v>
      </c>
      <c r="N192" s="153">
        <f>L192/K192*100</f>
        <v>98.45460399227302</v>
      </c>
      <c r="O192" s="145">
        <f>SUM(O193)</f>
        <v>104</v>
      </c>
      <c r="Q192" s="145">
        <v>1529</v>
      </c>
      <c r="R192" s="145">
        <v>1425</v>
      </c>
      <c r="S192" s="138">
        <f t="shared" si="85"/>
        <v>104</v>
      </c>
    </row>
    <row r="193" spans="1:19" ht="12.75" customHeight="1">
      <c r="A193" s="159" t="s">
        <v>975</v>
      </c>
      <c r="B193" s="161">
        <v>1643907</v>
      </c>
      <c r="C193" s="161">
        <v>1552907</v>
      </c>
      <c r="D193" s="161">
        <v>1528552.75</v>
      </c>
      <c r="E193" s="148">
        <f>IF(ISERROR(D193/B193)," ",(D193/B193))*100</f>
        <v>92.98292117498131</v>
      </c>
      <c r="F193" s="148">
        <f>IF(ISERROR(D193/C193)," ",(D193/C193))*100</f>
        <v>98.4316993870206</v>
      </c>
      <c r="G193" s="161">
        <f>D193-'[5]Oktobris'!D193</f>
        <v>103799.22999999998</v>
      </c>
      <c r="I193" s="159" t="s">
        <v>975</v>
      </c>
      <c r="J193" s="154">
        <f>ROUND(B193/1000,0)</f>
        <v>1644</v>
      </c>
      <c r="K193" s="154">
        <f>ROUND(C193/1000,0)</f>
        <v>1553</v>
      </c>
      <c r="L193" s="154">
        <f>ROUND(D193/1000,0)</f>
        <v>1529</v>
      </c>
      <c r="M193" s="155">
        <f>L193/J193*100</f>
        <v>93.00486618004867</v>
      </c>
      <c r="N193" s="155">
        <f>L193/K193*100</f>
        <v>98.45460399227302</v>
      </c>
      <c r="O193" s="154">
        <f>L193-'[5]Oktobris'!L193</f>
        <v>104</v>
      </c>
      <c r="Q193" s="154">
        <v>1529</v>
      </c>
      <c r="R193" s="154">
        <v>1425</v>
      </c>
      <c r="S193" s="138">
        <f t="shared" si="85"/>
        <v>104</v>
      </c>
    </row>
    <row r="194" spans="1:19" ht="12.75" customHeight="1">
      <c r="A194" s="157" t="s">
        <v>800</v>
      </c>
      <c r="B194" s="163"/>
      <c r="C194" s="163"/>
      <c r="D194" s="163"/>
      <c r="E194" s="163"/>
      <c r="F194" s="163"/>
      <c r="G194" s="163"/>
      <c r="I194" s="157" t="s">
        <v>800</v>
      </c>
      <c r="J194" s="163"/>
      <c r="K194" s="163"/>
      <c r="L194" s="163"/>
      <c r="M194" s="155"/>
      <c r="N194" s="155"/>
      <c r="O194" s="163"/>
      <c r="Q194" s="163"/>
      <c r="R194" s="163"/>
      <c r="S194" s="138">
        <f t="shared" si="85"/>
        <v>0</v>
      </c>
    </row>
    <row r="195" spans="1:19" ht="12.75" customHeight="1">
      <c r="A195" s="151" t="s">
        <v>969</v>
      </c>
      <c r="B195" s="161">
        <f>SUM(B196:B197)</f>
        <v>6785420</v>
      </c>
      <c r="C195" s="163">
        <f>SUM(C196:C197)</f>
        <v>6228263</v>
      </c>
      <c r="D195" s="163">
        <f>SUM(D196:D197)</f>
        <v>6230513</v>
      </c>
      <c r="E195" s="147">
        <f aca="true" t="shared" si="106" ref="E195:E200">IF(ISERROR(D195/B195)," ",(D195/B195))*100</f>
        <v>91.82206849391784</v>
      </c>
      <c r="F195" s="147">
        <f aca="true" t="shared" si="107" ref="F195:F200">IF(ISERROR(D195/C195)," ",(D195/C195))*100</f>
        <v>100.03612564209314</v>
      </c>
      <c r="G195" s="163">
        <f>SUM(G196:G197)</f>
        <v>551450</v>
      </c>
      <c r="I195" s="151" t="s">
        <v>969</v>
      </c>
      <c r="J195" s="145">
        <f>J196+J197</f>
        <v>6785</v>
      </c>
      <c r="K195" s="145">
        <f>K196+K197</f>
        <v>6228</v>
      </c>
      <c r="L195" s="145">
        <f>L196+L197</f>
        <v>6230</v>
      </c>
      <c r="M195" s="153">
        <f aca="true" t="shared" si="108" ref="M195:M200">L195/J195*100</f>
        <v>91.8201915991157</v>
      </c>
      <c r="N195" s="153">
        <f>L195/K195*100</f>
        <v>100.0321130378934</v>
      </c>
      <c r="O195" s="145">
        <f>SUM(O196:O197)</f>
        <v>551</v>
      </c>
      <c r="Q195" s="145">
        <v>6230</v>
      </c>
      <c r="R195" s="145">
        <v>5679</v>
      </c>
      <c r="S195" s="138">
        <f t="shared" si="85"/>
        <v>551</v>
      </c>
    </row>
    <row r="196" spans="1:19" ht="12.75" customHeight="1">
      <c r="A196" s="151" t="s">
        <v>970</v>
      </c>
      <c r="B196" s="161">
        <v>6783580</v>
      </c>
      <c r="C196" s="161">
        <v>6226423</v>
      </c>
      <c r="D196" s="161">
        <v>6226423</v>
      </c>
      <c r="E196" s="148">
        <f t="shared" si="106"/>
        <v>91.78668195849389</v>
      </c>
      <c r="F196" s="148">
        <f t="shared" si="107"/>
        <v>100</v>
      </c>
      <c r="G196" s="161">
        <f>D196-'[5]Oktobris'!D196</f>
        <v>551450</v>
      </c>
      <c r="I196" s="151" t="s">
        <v>970</v>
      </c>
      <c r="J196" s="154">
        <f>ROUND(B196/1000,0)-1</f>
        <v>6783</v>
      </c>
      <c r="K196" s="154">
        <f>ROUND(C196/1000,0)</f>
        <v>6226</v>
      </c>
      <c r="L196" s="154">
        <f>ROUND(D196/1000,0)</f>
        <v>6226</v>
      </c>
      <c r="M196" s="155">
        <f t="shared" si="108"/>
        <v>91.78829426507446</v>
      </c>
      <c r="N196" s="155">
        <f>L196/K196*100</f>
        <v>100</v>
      </c>
      <c r="O196" s="154">
        <f>L196-'[5]Oktobris'!L196</f>
        <v>551</v>
      </c>
      <c r="Q196" s="154">
        <v>6226</v>
      </c>
      <c r="R196" s="154">
        <v>5675</v>
      </c>
      <c r="S196" s="138">
        <f t="shared" si="85"/>
        <v>551</v>
      </c>
    </row>
    <row r="197" spans="1:19" ht="12.75" customHeight="1">
      <c r="A197" s="151" t="s">
        <v>972</v>
      </c>
      <c r="B197" s="161">
        <v>1840</v>
      </c>
      <c r="C197" s="161">
        <v>1840</v>
      </c>
      <c r="D197" s="161">
        <v>4090</v>
      </c>
      <c r="E197" s="148">
        <f t="shared" si="106"/>
        <v>222.2826086956522</v>
      </c>
      <c r="F197" s="148">
        <f t="shared" si="107"/>
        <v>222.2826086956522</v>
      </c>
      <c r="G197" s="161">
        <f>D197-'[5]Oktobris'!D197</f>
        <v>0</v>
      </c>
      <c r="I197" s="151" t="s">
        <v>972</v>
      </c>
      <c r="J197" s="154">
        <f>ROUND(B197/1000,0)</f>
        <v>2</v>
      </c>
      <c r="K197" s="154">
        <f>ROUND(C197/1000,0)</f>
        <v>2</v>
      </c>
      <c r="L197" s="154">
        <f>ROUND(D197/1000,0)</f>
        <v>4</v>
      </c>
      <c r="M197" s="155">
        <f t="shared" si="108"/>
        <v>200</v>
      </c>
      <c r="N197" s="155"/>
      <c r="O197" s="154"/>
      <c r="Q197" s="154">
        <v>4</v>
      </c>
      <c r="R197" s="154">
        <v>4</v>
      </c>
      <c r="S197" s="138">
        <f t="shared" si="85"/>
        <v>0</v>
      </c>
    </row>
    <row r="198" spans="1:19" ht="12.75" customHeight="1">
      <c r="A198" s="157" t="s">
        <v>974</v>
      </c>
      <c r="B198" s="163">
        <f>SUM(B199:B200)</f>
        <v>6785420</v>
      </c>
      <c r="C198" s="163">
        <f>SUM(C199:C200)</f>
        <v>6228263</v>
      </c>
      <c r="D198" s="163">
        <f>SUM(D199:D200)</f>
        <v>6211294.27</v>
      </c>
      <c r="E198" s="148">
        <f t="shared" si="106"/>
        <v>91.53883282096022</v>
      </c>
      <c r="F198" s="148">
        <f t="shared" si="107"/>
        <v>99.72755277033099</v>
      </c>
      <c r="G198" s="163">
        <f>SUM(G199:G200)</f>
        <v>549221.3299999996</v>
      </c>
      <c r="H198" s="165"/>
      <c r="I198" s="157" t="s">
        <v>974</v>
      </c>
      <c r="J198" s="145">
        <f>J199+J200</f>
        <v>6785</v>
      </c>
      <c r="K198" s="145">
        <f>K199+K200</f>
        <v>6228</v>
      </c>
      <c r="L198" s="145">
        <f>L199+L200</f>
        <v>6211</v>
      </c>
      <c r="M198" s="153">
        <f t="shared" si="108"/>
        <v>91.54016212232867</v>
      </c>
      <c r="N198" s="153">
        <f>L198/K198*100</f>
        <v>99.72703917790624</v>
      </c>
      <c r="O198" s="145">
        <f>SUM(O199:O200)</f>
        <v>549</v>
      </c>
      <c r="Q198" s="145">
        <v>6211</v>
      </c>
      <c r="R198" s="145">
        <v>5662</v>
      </c>
      <c r="S198" s="138">
        <f t="shared" si="85"/>
        <v>549</v>
      </c>
    </row>
    <row r="199" spans="1:19" ht="12.75" customHeight="1">
      <c r="A199" s="159" t="s">
        <v>975</v>
      </c>
      <c r="B199" s="161">
        <v>6593420</v>
      </c>
      <c r="C199" s="161">
        <v>6036263</v>
      </c>
      <c r="D199" s="161">
        <v>6020242.6</v>
      </c>
      <c r="E199" s="148">
        <f t="shared" si="106"/>
        <v>91.30682710945153</v>
      </c>
      <c r="F199" s="148">
        <f t="shared" si="107"/>
        <v>99.73459738251961</v>
      </c>
      <c r="G199" s="161">
        <f>D199-'[5]Oktobris'!D199</f>
        <v>548288.0199999996</v>
      </c>
      <c r="I199" s="159" t="s">
        <v>975</v>
      </c>
      <c r="J199" s="154">
        <f aca="true" t="shared" si="109" ref="J199:L200">ROUND(B199/1000,0)</f>
        <v>6593</v>
      </c>
      <c r="K199" s="154">
        <f t="shared" si="109"/>
        <v>6036</v>
      </c>
      <c r="L199" s="154">
        <f t="shared" si="109"/>
        <v>6020</v>
      </c>
      <c r="M199" s="155">
        <f t="shared" si="108"/>
        <v>91.30896405278325</v>
      </c>
      <c r="N199" s="155">
        <f>L199/K199*100</f>
        <v>99.73492379058979</v>
      </c>
      <c r="O199" s="154">
        <f>L199-'[5]Oktobris'!L199</f>
        <v>548</v>
      </c>
      <c r="Q199" s="154">
        <v>6020</v>
      </c>
      <c r="R199" s="154">
        <v>5472</v>
      </c>
      <c r="S199" s="138">
        <f t="shared" si="85"/>
        <v>548</v>
      </c>
    </row>
    <row r="200" spans="1:19" ht="12.75" customHeight="1">
      <c r="A200" s="159" t="s">
        <v>976</v>
      </c>
      <c r="B200" s="161">
        <v>192000</v>
      </c>
      <c r="C200" s="161">
        <v>192000</v>
      </c>
      <c r="D200" s="161">
        <v>191051.67</v>
      </c>
      <c r="E200" s="148">
        <f t="shared" si="106"/>
        <v>99.506078125</v>
      </c>
      <c r="F200" s="148">
        <f t="shared" si="107"/>
        <v>99.506078125</v>
      </c>
      <c r="G200" s="161">
        <f>D200-'[5]Oktobris'!D200</f>
        <v>933.3100000000268</v>
      </c>
      <c r="I200" s="159" t="s">
        <v>976</v>
      </c>
      <c r="J200" s="154">
        <f t="shared" si="109"/>
        <v>192</v>
      </c>
      <c r="K200" s="154">
        <f t="shared" si="109"/>
        <v>192</v>
      </c>
      <c r="L200" s="154">
        <f t="shared" si="109"/>
        <v>191</v>
      </c>
      <c r="M200" s="155">
        <f t="shared" si="108"/>
        <v>99.47916666666666</v>
      </c>
      <c r="N200" s="155">
        <f>L200/K200*100</f>
        <v>99.47916666666666</v>
      </c>
      <c r="O200" s="154">
        <f>L200-'[5]Oktobris'!L200</f>
        <v>1</v>
      </c>
      <c r="Q200" s="154">
        <v>191</v>
      </c>
      <c r="R200" s="154">
        <v>190</v>
      </c>
      <c r="S200" s="138">
        <f t="shared" si="85"/>
        <v>1</v>
      </c>
    </row>
    <row r="201" spans="1:18" ht="12.75" customHeight="1">
      <c r="A201" s="162" t="s">
        <v>1027</v>
      </c>
      <c r="B201" s="161"/>
      <c r="C201" s="161"/>
      <c r="D201" s="161"/>
      <c r="E201" s="161"/>
      <c r="F201" s="161"/>
      <c r="G201" s="161"/>
      <c r="I201" s="162" t="s">
        <v>1028</v>
      </c>
      <c r="J201" s="161"/>
      <c r="K201" s="161"/>
      <c r="L201" s="161"/>
      <c r="M201" s="155"/>
      <c r="N201" s="155"/>
      <c r="O201" s="161"/>
      <c r="Q201" s="161"/>
      <c r="R201" s="161"/>
    </row>
    <row r="202" spans="1:19" ht="12.75" customHeight="1">
      <c r="A202" s="151" t="s">
        <v>969</v>
      </c>
      <c r="B202" s="161">
        <f>SUM(B203)</f>
        <v>96191</v>
      </c>
      <c r="C202" s="163">
        <f>SUM(C203)</f>
        <v>88175</v>
      </c>
      <c r="D202" s="163">
        <f>SUM(D203)</f>
        <v>88175</v>
      </c>
      <c r="E202" s="147">
        <f>IF(ISERROR(D202/B202)," ",(D202/B202))*100</f>
        <v>91.66658003347507</v>
      </c>
      <c r="F202" s="147">
        <f>IF(ISERROR(D202/C202)," ",(D202/C202))*100</f>
        <v>100</v>
      </c>
      <c r="G202" s="163">
        <f>SUM(G203)</f>
        <v>8016</v>
      </c>
      <c r="I202" s="151" t="s">
        <v>969</v>
      </c>
      <c r="J202" s="145">
        <f>J203</f>
        <v>96</v>
      </c>
      <c r="K202" s="145">
        <f>K203</f>
        <v>88</v>
      </c>
      <c r="L202" s="145">
        <f>L203</f>
        <v>88</v>
      </c>
      <c r="M202" s="153">
        <f>L202/J202*100</f>
        <v>91.66666666666666</v>
      </c>
      <c r="N202" s="153">
        <f>L202/K202*100</f>
        <v>100</v>
      </c>
      <c r="O202" s="145">
        <f>SUM(O203)</f>
        <v>8</v>
      </c>
      <c r="Q202" s="145">
        <v>88</v>
      </c>
      <c r="R202" s="145">
        <v>80</v>
      </c>
      <c r="S202" s="138">
        <f aca="true" t="shared" si="110" ref="S202:S239">Q202-R202</f>
        <v>8</v>
      </c>
    </row>
    <row r="203" spans="1:19" ht="12.75" customHeight="1">
      <c r="A203" s="151" t="s">
        <v>970</v>
      </c>
      <c r="B203" s="161">
        <v>96191</v>
      </c>
      <c r="C203" s="161">
        <v>88175</v>
      </c>
      <c r="D203" s="161">
        <v>88175</v>
      </c>
      <c r="E203" s="148">
        <f>IF(ISERROR(D203/B203)," ",(D203/B203))*100</f>
        <v>91.66658003347507</v>
      </c>
      <c r="F203" s="148">
        <f>IF(ISERROR(D203/C203)," ",(D203/C203))*100</f>
        <v>100</v>
      </c>
      <c r="G203" s="161">
        <f>D203-'[5]Oktobris'!D203</f>
        <v>8016</v>
      </c>
      <c r="I203" s="151" t="s">
        <v>970</v>
      </c>
      <c r="J203" s="154">
        <f>ROUND(B203/1000,0)</f>
        <v>96</v>
      </c>
      <c r="K203" s="154">
        <f>ROUND(C203/1000,0)</f>
        <v>88</v>
      </c>
      <c r="L203" s="154">
        <f>ROUND(D203/1000,0)</f>
        <v>88</v>
      </c>
      <c r="M203" s="155">
        <f>L203/J203*100</f>
        <v>91.66666666666666</v>
      </c>
      <c r="N203" s="155">
        <f>L203/K203*100</f>
        <v>100</v>
      </c>
      <c r="O203" s="154">
        <f>L203-'[5]Oktobris'!L203</f>
        <v>8</v>
      </c>
      <c r="Q203" s="154">
        <v>88</v>
      </c>
      <c r="R203" s="154">
        <v>80</v>
      </c>
      <c r="S203" s="138">
        <f t="shared" si="110"/>
        <v>8</v>
      </c>
    </row>
    <row r="204" spans="1:19" ht="12.75" customHeight="1">
      <c r="A204" s="157" t="s">
        <v>974</v>
      </c>
      <c r="B204" s="163">
        <f>SUM(B205)</f>
        <v>96191</v>
      </c>
      <c r="C204" s="163">
        <f>SUM(C205)</f>
        <v>88175</v>
      </c>
      <c r="D204" s="163">
        <f>SUM(D205)</f>
        <v>88174.65</v>
      </c>
      <c r="E204" s="148">
        <f>IF(ISERROR(D204/B204)," ",(D204/B204))*100</f>
        <v>91.66621617407034</v>
      </c>
      <c r="F204" s="148">
        <f>IF(ISERROR(D204/C204)," ",(D204/C204))*100</f>
        <v>99.99960306209242</v>
      </c>
      <c r="G204" s="163">
        <f>SUM(G205)</f>
        <v>8015.649999999994</v>
      </c>
      <c r="I204" s="157" t="s">
        <v>974</v>
      </c>
      <c r="J204" s="145">
        <f>J205+J206</f>
        <v>96</v>
      </c>
      <c r="K204" s="145">
        <f>K205</f>
        <v>88</v>
      </c>
      <c r="L204" s="145">
        <f>L205</f>
        <v>88</v>
      </c>
      <c r="M204" s="153">
        <f>L204/J204*100</f>
        <v>91.66666666666666</v>
      </c>
      <c r="N204" s="153">
        <f>L204/K204*100</f>
        <v>100</v>
      </c>
      <c r="O204" s="145">
        <f>SUM(O205)</f>
        <v>8</v>
      </c>
      <c r="Q204" s="145">
        <v>88</v>
      </c>
      <c r="R204" s="145">
        <v>80</v>
      </c>
      <c r="S204" s="138">
        <f t="shared" si="110"/>
        <v>8</v>
      </c>
    </row>
    <row r="205" spans="1:19" ht="12.75" customHeight="1">
      <c r="A205" s="159" t="s">
        <v>975</v>
      </c>
      <c r="B205" s="161">
        <v>96191</v>
      </c>
      <c r="C205" s="161">
        <v>88175</v>
      </c>
      <c r="D205" s="161">
        <v>88174.65</v>
      </c>
      <c r="E205" s="148">
        <f>IF(ISERROR(D205/B205)," ",(D205/B205))*100</f>
        <v>91.66621617407034</v>
      </c>
      <c r="F205" s="148">
        <f>IF(ISERROR(D205/C205)," ",(D205/C205))*100</f>
        <v>99.99960306209242</v>
      </c>
      <c r="G205" s="161">
        <f>D205-'[5]Oktobris'!D205</f>
        <v>8015.649999999994</v>
      </c>
      <c r="I205" s="159" t="s">
        <v>975</v>
      </c>
      <c r="J205" s="154">
        <f>ROUND(B205/1000,0)</f>
        <v>96</v>
      </c>
      <c r="K205" s="154">
        <f>ROUND(C205/1000,0)</f>
        <v>88</v>
      </c>
      <c r="L205" s="154">
        <f>ROUND(D205/1000,0)</f>
        <v>88</v>
      </c>
      <c r="M205" s="155">
        <f>L205/J205*100</f>
        <v>91.66666666666666</v>
      </c>
      <c r="N205" s="155">
        <f>L205/K205*100</f>
        <v>100</v>
      </c>
      <c r="O205" s="154">
        <f>L205-'[5]Oktobris'!L205</f>
        <v>8</v>
      </c>
      <c r="Q205" s="154">
        <v>88</v>
      </c>
      <c r="R205" s="154">
        <v>80</v>
      </c>
      <c r="S205" s="138">
        <f t="shared" si="110"/>
        <v>8</v>
      </c>
    </row>
    <row r="206" spans="1:19" ht="37.5" customHeight="1">
      <c r="A206" s="162" t="s">
        <v>1029</v>
      </c>
      <c r="B206" s="161"/>
      <c r="C206" s="161"/>
      <c r="D206" s="161"/>
      <c r="E206" s="161"/>
      <c r="F206" s="161"/>
      <c r="G206" s="161"/>
      <c r="I206" s="162" t="s">
        <v>1030</v>
      </c>
      <c r="J206" s="161"/>
      <c r="K206" s="161"/>
      <c r="L206" s="161"/>
      <c r="M206" s="155"/>
      <c r="N206" s="155"/>
      <c r="O206" s="161"/>
      <c r="Q206" s="161"/>
      <c r="R206" s="161"/>
      <c r="S206" s="138">
        <f t="shared" si="110"/>
        <v>0</v>
      </c>
    </row>
    <row r="207" spans="1:19" ht="12.75" customHeight="1">
      <c r="A207" s="151" t="s">
        <v>969</v>
      </c>
      <c r="B207" s="161">
        <f>SUM(B208:B210)</f>
        <v>4831049</v>
      </c>
      <c r="C207" s="163">
        <f>SUM(C208:C210)</f>
        <v>4317525</v>
      </c>
      <c r="D207" s="163">
        <f>SUM(D208:D210)</f>
        <v>2145250.62</v>
      </c>
      <c r="E207" s="147">
        <f>IF(ISERROR(D207/B207)," ",(D207/B207))*100</f>
        <v>44.40548253598753</v>
      </c>
      <c r="F207" s="147">
        <f>IF(ISERROR(D207/C207)," ",(D207/C207))*100</f>
        <v>49.6870457032675</v>
      </c>
      <c r="G207" s="163">
        <f>SUM(G208:G210)</f>
        <v>212341.50000000012</v>
      </c>
      <c r="I207" s="151" t="s">
        <v>969</v>
      </c>
      <c r="J207" s="145">
        <f>J208+J209+J210</f>
        <v>4831</v>
      </c>
      <c r="K207" s="145">
        <f>K208+K209+K210</f>
        <v>4318</v>
      </c>
      <c r="L207" s="145">
        <f>L208+L209+L210</f>
        <v>2145</v>
      </c>
      <c r="M207" s="153">
        <f>L207/J207*100</f>
        <v>44.400745187331815</v>
      </c>
      <c r="N207" s="153">
        <f>L207/K207*100</f>
        <v>49.675775822139876</v>
      </c>
      <c r="O207" s="145">
        <f>SUM(O208:O210)</f>
        <v>212</v>
      </c>
      <c r="Q207" s="145">
        <v>2145</v>
      </c>
      <c r="R207" s="145">
        <v>1933</v>
      </c>
      <c r="S207" s="138">
        <f t="shared" si="110"/>
        <v>212</v>
      </c>
    </row>
    <row r="208" spans="1:19" ht="12">
      <c r="A208" s="151" t="s">
        <v>970</v>
      </c>
      <c r="B208" s="161">
        <v>1096159</v>
      </c>
      <c r="C208" s="161">
        <v>1068442</v>
      </c>
      <c r="D208" s="161">
        <v>1068442</v>
      </c>
      <c r="E208" s="148">
        <f>IF(ISERROR(D208/B208)," ",(D208/B208))*100</f>
        <v>97.47144346759914</v>
      </c>
      <c r="F208" s="148">
        <f>IF(ISERROR(D208/C208)," ",(D208/C208))*100</f>
        <v>100</v>
      </c>
      <c r="G208" s="161">
        <f>D208-'[5]Oktobris'!D208</f>
        <v>117593</v>
      </c>
      <c r="I208" s="151" t="s">
        <v>970</v>
      </c>
      <c r="J208" s="154">
        <f>ROUND(B208/1000,0)</f>
        <v>1096</v>
      </c>
      <c r="K208" s="154">
        <f>ROUND(C208/1000,0)</f>
        <v>1068</v>
      </c>
      <c r="L208" s="154">
        <f>ROUND(D208/1000,0)</f>
        <v>1068</v>
      </c>
      <c r="M208" s="155">
        <f>L208/J208*100</f>
        <v>97.44525547445255</v>
      </c>
      <c r="N208" s="155">
        <f>L208/K208*100</f>
        <v>100</v>
      </c>
      <c r="O208" s="154">
        <f>L208-'[5]Oktobris'!L208</f>
        <v>117</v>
      </c>
      <c r="Q208" s="154">
        <v>1068</v>
      </c>
      <c r="R208" s="154">
        <v>951</v>
      </c>
      <c r="S208" s="138">
        <f t="shared" si="110"/>
        <v>117</v>
      </c>
    </row>
    <row r="209" spans="1:19" ht="12" customHeight="1" hidden="1">
      <c r="A209" s="151" t="s">
        <v>972</v>
      </c>
      <c r="B209" s="161"/>
      <c r="C209" s="161"/>
      <c r="D209" s="161">
        <v>0</v>
      </c>
      <c r="E209" s="148"/>
      <c r="F209" s="148"/>
      <c r="G209" s="161">
        <f>D209-'[5]Oktobris'!D209</f>
        <v>0</v>
      </c>
      <c r="I209" s="151" t="s">
        <v>972</v>
      </c>
      <c r="J209" s="154"/>
      <c r="K209" s="154"/>
      <c r="L209" s="154">
        <f>ROUND(D209/1000,0)</f>
        <v>0</v>
      </c>
      <c r="M209" s="155"/>
      <c r="N209" s="155"/>
      <c r="O209" s="154">
        <f>L209-'[5]Oktobris'!L209</f>
        <v>0</v>
      </c>
      <c r="Q209" s="154">
        <v>0</v>
      </c>
      <c r="R209" s="154">
        <v>0</v>
      </c>
      <c r="S209" s="138">
        <f t="shared" si="110"/>
        <v>0</v>
      </c>
    </row>
    <row r="210" spans="1:19" ht="12">
      <c r="A210" s="151" t="s">
        <v>973</v>
      </c>
      <c r="B210" s="161">
        <v>3734890</v>
      </c>
      <c r="C210" s="161">
        <v>3249083</v>
      </c>
      <c r="D210" s="161">
        <v>1076808.62</v>
      </c>
      <c r="E210" s="148">
        <f>IF(ISERROR(D210/B210)," ",(D210/B210))*100</f>
        <v>28.831066510660293</v>
      </c>
      <c r="F210" s="148">
        <f>IF(ISERROR(D210/C210)," ",(D210/C210))*100</f>
        <v>33.14192404441499</v>
      </c>
      <c r="G210" s="161">
        <f>D210-'[5]Oktobris'!D210</f>
        <v>94748.50000000012</v>
      </c>
      <c r="I210" s="151" t="s">
        <v>973</v>
      </c>
      <c r="J210" s="154">
        <f>ROUND(B210/1000,0)</f>
        <v>3735</v>
      </c>
      <c r="K210" s="154">
        <f>ROUND(C210/1000,0)+1</f>
        <v>3250</v>
      </c>
      <c r="L210" s="154">
        <f>ROUND(D210/1000,0)</f>
        <v>1077</v>
      </c>
      <c r="M210" s="155">
        <f>L210/J210*100</f>
        <v>28.835341365461847</v>
      </c>
      <c r="N210" s="155">
        <f>L210/K210*100</f>
        <v>33.13846153846154</v>
      </c>
      <c r="O210" s="154">
        <f>L210-'[5]Oktobris'!L210</f>
        <v>95</v>
      </c>
      <c r="Q210" s="154">
        <v>1077</v>
      </c>
      <c r="R210" s="154">
        <v>982</v>
      </c>
      <c r="S210" s="138">
        <f t="shared" si="110"/>
        <v>95</v>
      </c>
    </row>
    <row r="211" spans="1:19" ht="12.75" customHeight="1">
      <c r="A211" s="157" t="s">
        <v>974</v>
      </c>
      <c r="B211" s="163">
        <f>SUM(B212:B213)</f>
        <v>4831049</v>
      </c>
      <c r="C211" s="163">
        <f>SUM(C212:C213)</f>
        <v>4317525</v>
      </c>
      <c r="D211" s="163">
        <f>SUM(D212:D213)</f>
        <v>1777978.21</v>
      </c>
      <c r="E211" s="148">
        <f>IF(ISERROR(D211/B211)," ",(D211/B211))*100</f>
        <v>36.803149999099574</v>
      </c>
      <c r="F211" s="148">
        <f>IF(ISERROR(D211/C211)," ",(D211/C211))*100</f>
        <v>41.18049600176027</v>
      </c>
      <c r="G211" s="163">
        <f>SUM(G212:G213)</f>
        <v>121589.53999999995</v>
      </c>
      <c r="I211" s="157" t="s">
        <v>974</v>
      </c>
      <c r="J211" s="145">
        <f>J212+J213</f>
        <v>4831</v>
      </c>
      <c r="K211" s="145">
        <f>K212+K213</f>
        <v>4318</v>
      </c>
      <c r="L211" s="145">
        <f>L212+L213</f>
        <v>1778</v>
      </c>
      <c r="M211" s="153">
        <f>L211/J211*100</f>
        <v>36.803974332436354</v>
      </c>
      <c r="N211" s="153">
        <f>L211/K211*100</f>
        <v>41.17647058823529</v>
      </c>
      <c r="O211" s="145">
        <f>SUM(O212:O213)</f>
        <v>122</v>
      </c>
      <c r="Q211" s="145">
        <v>1778</v>
      </c>
      <c r="R211" s="145">
        <v>1656</v>
      </c>
      <c r="S211" s="138">
        <f t="shared" si="110"/>
        <v>122</v>
      </c>
    </row>
    <row r="212" spans="1:19" ht="12">
      <c r="A212" s="159" t="s">
        <v>975</v>
      </c>
      <c r="B212" s="161">
        <v>3601299</v>
      </c>
      <c r="C212" s="161">
        <v>3393839</v>
      </c>
      <c r="D212" s="161">
        <v>1772478.21</v>
      </c>
      <c r="E212" s="148">
        <f>IF(ISERROR(D212/B212)," ",(D212/B212))*100</f>
        <v>49.2177464298299</v>
      </c>
      <c r="F212" s="148">
        <f>IF(ISERROR(D212/C212)," ",(D212/C212))*100</f>
        <v>52.22634927584956</v>
      </c>
      <c r="G212" s="161">
        <f>D212-'[5]Oktobris'!D212</f>
        <v>118533.19999999995</v>
      </c>
      <c r="I212" s="159" t="s">
        <v>975</v>
      </c>
      <c r="J212" s="154">
        <f aca="true" t="shared" si="111" ref="J212:L213">ROUND(B212/1000,0)</f>
        <v>3601</v>
      </c>
      <c r="K212" s="154">
        <f t="shared" si="111"/>
        <v>3394</v>
      </c>
      <c r="L212" s="154">
        <f t="shared" si="111"/>
        <v>1772</v>
      </c>
      <c r="M212" s="155">
        <f>L212/J212*100</f>
        <v>49.208553179672315</v>
      </c>
      <c r="N212" s="155">
        <f>L212/K212*100</f>
        <v>52.209781968179136</v>
      </c>
      <c r="O212" s="154">
        <f>L212-'[5]Oktobris'!L212</f>
        <v>118</v>
      </c>
      <c r="Q212" s="154">
        <v>1772</v>
      </c>
      <c r="R212" s="154">
        <v>1654</v>
      </c>
      <c r="S212" s="138">
        <f t="shared" si="110"/>
        <v>118</v>
      </c>
    </row>
    <row r="213" spans="1:19" ht="12">
      <c r="A213" s="159" t="s">
        <v>976</v>
      </c>
      <c r="B213" s="161">
        <v>1229750</v>
      </c>
      <c r="C213" s="161">
        <v>923686</v>
      </c>
      <c r="D213" s="161">
        <v>5500</v>
      </c>
      <c r="E213" s="148">
        <f>IF(ISERROR(D213/B213)," ",(D213/B213))*100</f>
        <v>0.447245375076235</v>
      </c>
      <c r="F213" s="148">
        <f>IF(ISERROR(D213/C213)," ",(D213/C213))*100</f>
        <v>0.5954404418817649</v>
      </c>
      <c r="G213" s="161">
        <f>D213-'[5]Oktobris'!D213</f>
        <v>3056.34</v>
      </c>
      <c r="I213" s="159" t="s">
        <v>976</v>
      </c>
      <c r="J213" s="154">
        <f t="shared" si="111"/>
        <v>1230</v>
      </c>
      <c r="K213" s="154">
        <f>ROUND(C213/1000,0)</f>
        <v>924</v>
      </c>
      <c r="L213" s="154">
        <f t="shared" si="111"/>
        <v>6</v>
      </c>
      <c r="M213" s="155">
        <f>L213/J213*100</f>
        <v>0.4878048780487805</v>
      </c>
      <c r="N213" s="155">
        <f>L213/K213*100</f>
        <v>0.6493506493506493</v>
      </c>
      <c r="O213" s="154">
        <f>L213-'[5]Oktobris'!L213</f>
        <v>4</v>
      </c>
      <c r="Q213" s="154">
        <v>6</v>
      </c>
      <c r="R213" s="154">
        <v>2</v>
      </c>
      <c r="S213" s="138">
        <f t="shared" si="110"/>
        <v>4</v>
      </c>
    </row>
    <row r="214" spans="1:19" ht="25.5" customHeight="1">
      <c r="A214" s="162" t="s">
        <v>1031</v>
      </c>
      <c r="B214" s="163"/>
      <c r="C214" s="163"/>
      <c r="D214" s="163"/>
      <c r="E214" s="163"/>
      <c r="F214" s="163"/>
      <c r="G214" s="163"/>
      <c r="I214" s="162" t="s">
        <v>1032</v>
      </c>
      <c r="J214" s="163"/>
      <c r="K214" s="163"/>
      <c r="L214" s="163"/>
      <c r="M214" s="155"/>
      <c r="N214" s="155"/>
      <c r="O214" s="163"/>
      <c r="Q214" s="163"/>
      <c r="R214" s="163"/>
      <c r="S214" s="138">
        <f t="shared" si="110"/>
        <v>0</v>
      </c>
    </row>
    <row r="215" spans="1:19" ht="12.75" customHeight="1">
      <c r="A215" s="151" t="s">
        <v>969</v>
      </c>
      <c r="B215" s="161">
        <f>SUM(B216:B218)</f>
        <v>2510938</v>
      </c>
      <c r="C215" s="163">
        <f>SUM(C216:C218)</f>
        <v>2221368</v>
      </c>
      <c r="D215" s="163">
        <f>SUM(D216:D218)</f>
        <v>1494639.13</v>
      </c>
      <c r="E215" s="147">
        <f>IF(ISERROR(D215/B215)," ",(D215/B215))*100</f>
        <v>59.52513084751594</v>
      </c>
      <c r="F215" s="147">
        <f>IF(ISERROR(D215/C215)," ",(D215/C215))*100</f>
        <v>67.28462505987302</v>
      </c>
      <c r="G215" s="163">
        <f>SUM(G216:G218)</f>
        <v>125866.5</v>
      </c>
      <c r="I215" s="151" t="s">
        <v>969</v>
      </c>
      <c r="J215" s="145">
        <f>J216+J217+J218</f>
        <v>2511</v>
      </c>
      <c r="K215" s="145">
        <f>K216+K217+K218</f>
        <v>2221</v>
      </c>
      <c r="L215" s="145">
        <f>L216+L217+L218</f>
        <v>1495</v>
      </c>
      <c r="M215" s="153">
        <f>L215/J215*100</f>
        <v>59.538032656312225</v>
      </c>
      <c r="N215" s="153">
        <f>L215/K215*100</f>
        <v>67.31202161188654</v>
      </c>
      <c r="O215" s="145">
        <f>SUM(O216:O218)</f>
        <v>126</v>
      </c>
      <c r="Q215" s="145">
        <v>1495</v>
      </c>
      <c r="R215" s="145">
        <v>1369</v>
      </c>
      <c r="S215" s="138">
        <f t="shared" si="110"/>
        <v>126</v>
      </c>
    </row>
    <row r="216" spans="1:19" ht="10.5" customHeight="1">
      <c r="A216" s="151" t="s">
        <v>970</v>
      </c>
      <c r="B216" s="161">
        <v>1432968</v>
      </c>
      <c r="C216" s="161">
        <v>1175112</v>
      </c>
      <c r="D216" s="161">
        <v>1175112</v>
      </c>
      <c r="E216" s="148">
        <f>IF(ISERROR(D216/B216)," ",(D216/B216))*100</f>
        <v>82.00545999631534</v>
      </c>
      <c r="F216" s="148">
        <f>IF(ISERROR(D216/C216)," ",(D216/C216))*100</f>
        <v>100</v>
      </c>
      <c r="G216" s="161">
        <f>D216-'[5]Oktobris'!D216</f>
        <v>125935</v>
      </c>
      <c r="I216" s="151" t="s">
        <v>970</v>
      </c>
      <c r="J216" s="154">
        <f>ROUND(B216/1000,0)</f>
        <v>1433</v>
      </c>
      <c r="K216" s="154">
        <f>ROUND(C216/1000,0)</f>
        <v>1175</v>
      </c>
      <c r="L216" s="154">
        <f>ROUND(D216/1000,0)</f>
        <v>1175</v>
      </c>
      <c r="M216" s="155">
        <f>L216/J216*100</f>
        <v>81.99581297976273</v>
      </c>
      <c r="N216" s="155">
        <f>L216/K216*100</f>
        <v>100</v>
      </c>
      <c r="O216" s="154">
        <f>L216-'[5]Oktobris'!L216</f>
        <v>126</v>
      </c>
      <c r="Q216" s="154">
        <v>1175</v>
      </c>
      <c r="R216" s="154">
        <v>1049</v>
      </c>
      <c r="S216" s="138">
        <f t="shared" si="110"/>
        <v>126</v>
      </c>
    </row>
    <row r="217" spans="1:19" ht="14.25" customHeight="1" hidden="1">
      <c r="A217" s="151" t="s">
        <v>972</v>
      </c>
      <c r="B217" s="161"/>
      <c r="C217" s="161"/>
      <c r="D217" s="161"/>
      <c r="E217" s="148"/>
      <c r="F217" s="148"/>
      <c r="G217" s="161">
        <f>D217-'[5]Oktobris'!D217</f>
        <v>-68.5</v>
      </c>
      <c r="I217" s="151" t="s">
        <v>972</v>
      </c>
      <c r="J217" s="154"/>
      <c r="K217" s="154"/>
      <c r="L217" s="154"/>
      <c r="M217" s="155"/>
      <c r="N217" s="155"/>
      <c r="O217" s="154">
        <f>L217-'[5]Oktobris'!L217</f>
        <v>0</v>
      </c>
      <c r="Q217" s="154"/>
      <c r="R217" s="154"/>
      <c r="S217" s="138">
        <f t="shared" si="110"/>
        <v>0</v>
      </c>
    </row>
    <row r="218" spans="1:19" ht="12">
      <c r="A218" s="151" t="s">
        <v>973</v>
      </c>
      <c r="B218" s="161">
        <v>1077970</v>
      </c>
      <c r="C218" s="161">
        <v>1046256</v>
      </c>
      <c r="D218" s="161">
        <v>319527.13</v>
      </c>
      <c r="E218" s="148">
        <f>IF(ISERROR(D218/B218)," ",(D218/B218))*100</f>
        <v>29.64156052580313</v>
      </c>
      <c r="F218" s="148">
        <f>IF(ISERROR(E218/C218)," ",(E218/C218))*100</f>
        <v>0.002833107817379602</v>
      </c>
      <c r="G218" s="161">
        <f>D218-'[5]Oktobris'!D218</f>
        <v>0</v>
      </c>
      <c r="I218" s="151" t="s">
        <v>973</v>
      </c>
      <c r="J218" s="154">
        <f>ROUND(B218/1000,0)</f>
        <v>1078</v>
      </c>
      <c r="K218" s="154">
        <f>ROUND(C218/1000,0)</f>
        <v>1046</v>
      </c>
      <c r="L218" s="154">
        <f>ROUND(D218/1000,0)</f>
        <v>320</v>
      </c>
      <c r="M218" s="155">
        <f>L218/J218*100</f>
        <v>29.684601113172544</v>
      </c>
      <c r="N218" s="155">
        <f>L218/K218*100</f>
        <v>30.592734225621417</v>
      </c>
      <c r="O218" s="154"/>
      <c r="Q218" s="154">
        <v>320</v>
      </c>
      <c r="R218" s="154">
        <v>320</v>
      </c>
      <c r="S218" s="138">
        <f t="shared" si="110"/>
        <v>0</v>
      </c>
    </row>
    <row r="219" spans="1:19" ht="12.75" customHeight="1">
      <c r="A219" s="157" t="s">
        <v>974</v>
      </c>
      <c r="B219" s="163">
        <f>SUM(B220:B221)</f>
        <v>2510938</v>
      </c>
      <c r="C219" s="163">
        <f>SUM(C220:C221)</f>
        <v>2221368</v>
      </c>
      <c r="D219" s="163">
        <f>SUM(D220:D221)</f>
        <v>1338583.5299999998</v>
      </c>
      <c r="E219" s="148">
        <f>IF(ISERROR(D219/B219)," ",(D219/B219))*100</f>
        <v>53.31009885548747</v>
      </c>
      <c r="F219" s="148">
        <f>IF(ISERROR(D219/C219)," ",(D219/C219))*100</f>
        <v>60.259422572036684</v>
      </c>
      <c r="G219" s="163">
        <f>SUM(G220:G221)</f>
        <v>118176.15999999989</v>
      </c>
      <c r="I219" s="157" t="s">
        <v>974</v>
      </c>
      <c r="J219" s="145">
        <f>J220+J221</f>
        <v>2511</v>
      </c>
      <c r="K219" s="145">
        <f>K220+K221</f>
        <v>2221</v>
      </c>
      <c r="L219" s="145">
        <f>L220+L221</f>
        <v>1338</v>
      </c>
      <c r="M219" s="153">
        <f>L219/J219*100</f>
        <v>53.28554360812425</v>
      </c>
      <c r="N219" s="153">
        <f>L219/K219*100</f>
        <v>60.24313372354795</v>
      </c>
      <c r="O219" s="145">
        <f>SUM(O220:O221)</f>
        <v>118</v>
      </c>
      <c r="Q219" s="145">
        <v>1338</v>
      </c>
      <c r="R219" s="145">
        <v>1220</v>
      </c>
      <c r="S219" s="138">
        <f t="shared" si="110"/>
        <v>118</v>
      </c>
    </row>
    <row r="220" spans="1:19" ht="12.75" customHeight="1">
      <c r="A220" s="159" t="s">
        <v>975</v>
      </c>
      <c r="B220" s="161">
        <v>2024921</v>
      </c>
      <c r="C220" s="161">
        <v>1894351</v>
      </c>
      <c r="D220" s="161">
        <v>1090135.91</v>
      </c>
      <c r="E220" s="148">
        <f>IF(ISERROR(D220/B220)," ",(D220/B220))*100</f>
        <v>53.83597236632936</v>
      </c>
      <c r="F220" s="148">
        <f>IF(ISERROR(D220/C220)," ",(D220/C220))*100</f>
        <v>57.54666954540103</v>
      </c>
      <c r="G220" s="161">
        <f>D220-'[5]Oktobris'!D220</f>
        <v>92668.36999999988</v>
      </c>
      <c r="I220" s="159" t="s">
        <v>975</v>
      </c>
      <c r="J220" s="154">
        <f aca="true" t="shared" si="112" ref="J220:L221">ROUND(B220/1000,0)</f>
        <v>2025</v>
      </c>
      <c r="K220" s="154">
        <f t="shared" si="112"/>
        <v>1894</v>
      </c>
      <c r="L220" s="154">
        <f t="shared" si="112"/>
        <v>1090</v>
      </c>
      <c r="M220" s="155">
        <f>L220/J220*100</f>
        <v>53.827160493827165</v>
      </c>
      <c r="N220" s="155">
        <f>L220/K220*100</f>
        <v>57.55015839493136</v>
      </c>
      <c r="O220" s="154">
        <f>L220-'[5]Oktobris'!L220</f>
        <v>93</v>
      </c>
      <c r="Q220" s="154">
        <v>1090</v>
      </c>
      <c r="R220" s="154">
        <v>997</v>
      </c>
      <c r="S220" s="138">
        <f t="shared" si="110"/>
        <v>93</v>
      </c>
    </row>
    <row r="221" spans="1:19" ht="12">
      <c r="A221" s="159" t="s">
        <v>976</v>
      </c>
      <c r="B221" s="161">
        <v>486017</v>
      </c>
      <c r="C221" s="161">
        <v>327017</v>
      </c>
      <c r="D221" s="161">
        <v>248447.62</v>
      </c>
      <c r="E221" s="148">
        <f>IF(ISERROR(D221/B221)," ",(D221/B221))*100</f>
        <v>51.11912134760718</v>
      </c>
      <c r="F221" s="148">
        <f>IF(ISERROR(D221/C221)," ",(D221/C221))*100</f>
        <v>75.9739157291517</v>
      </c>
      <c r="G221" s="161">
        <f>D221-'[5]Oktobris'!D221</f>
        <v>25507.790000000008</v>
      </c>
      <c r="I221" s="159" t="s">
        <v>976</v>
      </c>
      <c r="J221" s="154">
        <f t="shared" si="112"/>
        <v>486</v>
      </c>
      <c r="K221" s="154">
        <f t="shared" si="112"/>
        <v>327</v>
      </c>
      <c r="L221" s="154">
        <f t="shared" si="112"/>
        <v>248</v>
      </c>
      <c r="M221" s="155">
        <f>L221/J221*100</f>
        <v>51.028806584362144</v>
      </c>
      <c r="N221" s="155">
        <f>L221/K221*100</f>
        <v>75.84097859327217</v>
      </c>
      <c r="O221" s="154">
        <f>L221-'[5]Oktobris'!L221</f>
        <v>25</v>
      </c>
      <c r="Q221" s="154">
        <v>248</v>
      </c>
      <c r="R221" s="154">
        <v>223</v>
      </c>
      <c r="S221" s="138">
        <f t="shared" si="110"/>
        <v>25</v>
      </c>
    </row>
    <row r="222" spans="1:19" ht="24" hidden="1">
      <c r="A222" s="162" t="s">
        <v>1033</v>
      </c>
      <c r="B222" s="161"/>
      <c r="C222" s="161"/>
      <c r="D222" s="161"/>
      <c r="E222" s="161"/>
      <c r="F222" s="161"/>
      <c r="G222" s="161"/>
      <c r="I222" s="162" t="s">
        <v>1033</v>
      </c>
      <c r="J222" s="161"/>
      <c r="K222" s="161"/>
      <c r="L222" s="161"/>
      <c r="M222" s="155"/>
      <c r="N222" s="155"/>
      <c r="O222" s="154">
        <f>L222-'[5]Septembris'!L222</f>
        <v>0</v>
      </c>
      <c r="Q222" s="161"/>
      <c r="R222" s="161"/>
      <c r="S222" s="138">
        <f t="shared" si="110"/>
        <v>0</v>
      </c>
    </row>
    <row r="223" spans="1:19" ht="12" hidden="1">
      <c r="A223" s="151" t="s">
        <v>969</v>
      </c>
      <c r="B223" s="161">
        <f>SUM(B224)</f>
        <v>0</v>
      </c>
      <c r="C223" s="163">
        <f>SUM(C224:C226)</f>
        <v>0</v>
      </c>
      <c r="D223" s="163">
        <f>SUM(D224:D226)</f>
        <v>0</v>
      </c>
      <c r="E223" s="148"/>
      <c r="F223" s="148"/>
      <c r="G223" s="161">
        <f>SUM(G224)</f>
        <v>0</v>
      </c>
      <c r="I223" s="151" t="s">
        <v>969</v>
      </c>
      <c r="J223" s="145">
        <f>J224</f>
        <v>0</v>
      </c>
      <c r="K223" s="154"/>
      <c r="L223" s="154"/>
      <c r="M223" s="155"/>
      <c r="N223" s="155"/>
      <c r="O223" s="154">
        <f>L223-'[5]Septembris'!L223</f>
        <v>0</v>
      </c>
      <c r="Q223" s="154"/>
      <c r="R223" s="154"/>
      <c r="S223" s="138">
        <f t="shared" si="110"/>
        <v>0</v>
      </c>
    </row>
    <row r="224" spans="1:19" ht="24" hidden="1">
      <c r="A224" s="151" t="s">
        <v>972</v>
      </c>
      <c r="B224" s="161"/>
      <c r="C224" s="149"/>
      <c r="D224" s="161"/>
      <c r="E224" s="148"/>
      <c r="F224" s="148"/>
      <c r="G224" s="161">
        <f>D224</f>
        <v>0</v>
      </c>
      <c r="I224" s="151" t="s">
        <v>972</v>
      </c>
      <c r="J224" s="154">
        <f>ROUND(B224/1000,0)</f>
        <v>0</v>
      </c>
      <c r="K224" s="154"/>
      <c r="L224" s="154"/>
      <c r="M224" s="155"/>
      <c r="N224" s="155"/>
      <c r="O224" s="154">
        <f>L224-'[5]Septembris'!L224</f>
        <v>0</v>
      </c>
      <c r="Q224" s="154"/>
      <c r="R224" s="154"/>
      <c r="S224" s="138">
        <f t="shared" si="110"/>
        <v>0</v>
      </c>
    </row>
    <row r="225" spans="1:19" ht="12" hidden="1">
      <c r="A225" s="157" t="s">
        <v>974</v>
      </c>
      <c r="B225" s="163">
        <f>SUM(B226:B227)</f>
        <v>0</v>
      </c>
      <c r="C225" s="163">
        <f>SUM(C226:C227)</f>
        <v>0</v>
      </c>
      <c r="D225" s="163">
        <f>SUM(D226:D227)</f>
        <v>0</v>
      </c>
      <c r="E225" s="148"/>
      <c r="F225" s="148"/>
      <c r="G225" s="163">
        <f>SUM(G226:G227)</f>
        <v>0</v>
      </c>
      <c r="I225" s="157" t="s">
        <v>974</v>
      </c>
      <c r="J225" s="145">
        <f>J226+J227</f>
        <v>0</v>
      </c>
      <c r="K225" s="145"/>
      <c r="L225" s="145"/>
      <c r="M225" s="155"/>
      <c r="N225" s="155"/>
      <c r="O225" s="154">
        <f>L225-'[5]Septembris'!L225</f>
        <v>0</v>
      </c>
      <c r="Q225" s="145"/>
      <c r="R225" s="145"/>
      <c r="S225" s="138">
        <f t="shared" si="110"/>
        <v>0</v>
      </c>
    </row>
    <row r="226" spans="1:19" ht="12" hidden="1">
      <c r="A226" s="159" t="s">
        <v>975</v>
      </c>
      <c r="B226" s="161"/>
      <c r="C226" s="161"/>
      <c r="D226" s="161"/>
      <c r="E226" s="148"/>
      <c r="F226" s="148"/>
      <c r="G226" s="161">
        <f>D226</f>
        <v>0</v>
      </c>
      <c r="I226" s="159" t="s">
        <v>975</v>
      </c>
      <c r="J226" s="154">
        <f>ROUND(B226/1000,0)</f>
        <v>0</v>
      </c>
      <c r="K226" s="154"/>
      <c r="L226" s="154"/>
      <c r="M226" s="155"/>
      <c r="N226" s="155"/>
      <c r="O226" s="154">
        <f>L226-'[5]Septembris'!L226</f>
        <v>0</v>
      </c>
      <c r="Q226" s="154"/>
      <c r="R226" s="154"/>
      <c r="S226" s="138">
        <f t="shared" si="110"/>
        <v>0</v>
      </c>
    </row>
    <row r="227" spans="1:19" ht="12" hidden="1">
      <c r="A227" s="159" t="s">
        <v>976</v>
      </c>
      <c r="B227" s="161"/>
      <c r="C227" s="161"/>
      <c r="D227" s="161"/>
      <c r="E227" s="148"/>
      <c r="F227" s="148"/>
      <c r="G227" s="161">
        <f>D227</f>
        <v>0</v>
      </c>
      <c r="I227" s="159" t="s">
        <v>976</v>
      </c>
      <c r="J227" s="154">
        <f>ROUND(B227/1000,0)</f>
        <v>0</v>
      </c>
      <c r="K227" s="154"/>
      <c r="L227" s="154"/>
      <c r="M227" s="155"/>
      <c r="N227" s="155"/>
      <c r="O227" s="154">
        <f>L227-'[5]Septembris'!L227</f>
        <v>0</v>
      </c>
      <c r="Q227" s="154"/>
      <c r="R227" s="154"/>
      <c r="S227" s="138">
        <f t="shared" si="110"/>
        <v>0</v>
      </c>
    </row>
    <row r="228" spans="1:19" ht="12" hidden="1">
      <c r="A228" s="117" t="s">
        <v>978</v>
      </c>
      <c r="B228" s="161"/>
      <c r="C228" s="161"/>
      <c r="D228" s="161"/>
      <c r="E228" s="148"/>
      <c r="F228" s="148"/>
      <c r="G228" s="161">
        <f>D228</f>
        <v>0</v>
      </c>
      <c r="I228" s="117" t="s">
        <v>978</v>
      </c>
      <c r="J228" s="154">
        <f>ROUND(B228/1000,0)</f>
        <v>0</v>
      </c>
      <c r="K228" s="154"/>
      <c r="L228" s="154"/>
      <c r="M228" s="155"/>
      <c r="N228" s="155"/>
      <c r="O228" s="154">
        <f>L228-'[5]Septembris'!L228</f>
        <v>0</v>
      </c>
      <c r="Q228" s="154"/>
      <c r="R228" s="154"/>
      <c r="S228" s="138">
        <f t="shared" si="110"/>
        <v>0</v>
      </c>
    </row>
    <row r="229" spans="1:19" ht="12.75" customHeight="1">
      <c r="A229" s="162" t="s">
        <v>1034</v>
      </c>
      <c r="B229" s="161"/>
      <c r="C229" s="161"/>
      <c r="D229" s="161"/>
      <c r="E229" s="161"/>
      <c r="F229" s="161"/>
      <c r="G229" s="161"/>
      <c r="I229" s="162" t="s">
        <v>1035</v>
      </c>
      <c r="J229" s="161"/>
      <c r="K229" s="161"/>
      <c r="L229" s="161"/>
      <c r="M229" s="155"/>
      <c r="N229" s="155"/>
      <c r="O229" s="161"/>
      <c r="Q229" s="161"/>
      <c r="R229" s="161"/>
      <c r="S229" s="138">
        <f t="shared" si="110"/>
        <v>0</v>
      </c>
    </row>
    <row r="230" spans="1:19" ht="12.75" customHeight="1">
      <c r="A230" s="151" t="s">
        <v>969</v>
      </c>
      <c r="B230" s="166">
        <f>SUM(B231)</f>
        <v>112070390</v>
      </c>
      <c r="C230" s="167">
        <f>SUM(C231)</f>
        <v>102889045</v>
      </c>
      <c r="D230" s="167">
        <f>SUM(D231)</f>
        <v>102889045</v>
      </c>
      <c r="E230" s="147">
        <f>IF(ISERROR(D230/B230)," ",(D230/B230))*100</f>
        <v>91.80751936350003</v>
      </c>
      <c r="F230" s="147">
        <f>IF(ISERROR(D230/C230)," ",(D230/C230))*100</f>
        <v>100</v>
      </c>
      <c r="G230" s="167">
        <f>SUM(G231)</f>
        <v>9280054</v>
      </c>
      <c r="I230" s="151" t="s">
        <v>969</v>
      </c>
      <c r="J230" s="145">
        <f>J231</f>
        <v>112070</v>
      </c>
      <c r="K230" s="145">
        <f>K231</f>
        <v>102889</v>
      </c>
      <c r="L230" s="145">
        <f>L231</f>
        <v>102889</v>
      </c>
      <c r="M230" s="153">
        <f>L230/J230*100</f>
        <v>91.80779869724279</v>
      </c>
      <c r="N230" s="153">
        <f>L230/K230*100</f>
        <v>100</v>
      </c>
      <c r="O230" s="167">
        <f>SUM(O231)</f>
        <v>9280</v>
      </c>
      <c r="Q230" s="145">
        <v>102889</v>
      </c>
      <c r="R230" s="145">
        <v>93609</v>
      </c>
      <c r="S230" s="138">
        <f t="shared" si="110"/>
        <v>9280</v>
      </c>
    </row>
    <row r="231" spans="1:19" ht="12.75" customHeight="1">
      <c r="A231" s="151" t="s">
        <v>970</v>
      </c>
      <c r="B231" s="154">
        <v>112070390</v>
      </c>
      <c r="C231" s="154">
        <v>102889045</v>
      </c>
      <c r="D231" s="154">
        <v>102889045</v>
      </c>
      <c r="E231" s="148">
        <f>IF(ISERROR(D231/B231)," ",(D231/B231))*100</f>
        <v>91.80751936350003</v>
      </c>
      <c r="F231" s="148">
        <f>IF(ISERROR(D231/C231)," ",(D231/C231))*100</f>
        <v>100</v>
      </c>
      <c r="G231" s="161">
        <f>D231-'[5]Oktobris'!D231</f>
        <v>9280054</v>
      </c>
      <c r="I231" s="151" t="s">
        <v>970</v>
      </c>
      <c r="J231" s="154">
        <f>ROUND(B231/1000,0)</f>
        <v>112070</v>
      </c>
      <c r="K231" s="154">
        <f>ROUND(C231/1000,0)</f>
        <v>102889</v>
      </c>
      <c r="L231" s="154">
        <f>ROUND(D231/1000,0)</f>
        <v>102889</v>
      </c>
      <c r="M231" s="155">
        <f>L231/J231*100</f>
        <v>91.80779869724279</v>
      </c>
      <c r="N231" s="155">
        <f>L231/K231*100</f>
        <v>100</v>
      </c>
      <c r="O231" s="154">
        <f>L231-'[5]Oktobris'!L231</f>
        <v>9280</v>
      </c>
      <c r="Q231" s="154">
        <v>102889</v>
      </c>
      <c r="R231" s="154">
        <v>93609</v>
      </c>
      <c r="S231" s="138">
        <f t="shared" si="110"/>
        <v>9280</v>
      </c>
    </row>
    <row r="232" spans="1:19" ht="12.75" customHeight="1">
      <c r="A232" s="157" t="s">
        <v>974</v>
      </c>
      <c r="B232" s="163">
        <f>SUM(B233:B234)</f>
        <v>112070390</v>
      </c>
      <c r="C232" s="163">
        <f>SUM(C233:C234)</f>
        <v>102889045</v>
      </c>
      <c r="D232" s="163">
        <f>SUM(D233:D234)</f>
        <v>100674021.37</v>
      </c>
      <c r="E232" s="148">
        <f>IF(ISERROR(D232/B232)," ",(D232/B232))*100</f>
        <v>89.83106186210293</v>
      </c>
      <c r="F232" s="148">
        <f>IF(ISERROR(D232/C232)," ",(D232/C232))*100</f>
        <v>97.84717252453845</v>
      </c>
      <c r="G232" s="163">
        <f>SUM(G233:G234)</f>
        <v>9894365.82</v>
      </c>
      <c r="I232" s="157" t="s">
        <v>974</v>
      </c>
      <c r="J232" s="145">
        <f>J233+J234</f>
        <v>112070</v>
      </c>
      <c r="K232" s="145">
        <f>K233+K234</f>
        <v>102889</v>
      </c>
      <c r="L232" s="145">
        <f>L233+L234</f>
        <v>100674</v>
      </c>
      <c r="M232" s="153">
        <f>L232/J232*100</f>
        <v>89.8313554028732</v>
      </c>
      <c r="N232" s="153">
        <f>L232/K232*100</f>
        <v>97.84719454946594</v>
      </c>
      <c r="O232" s="145">
        <f>SUM(O233:O234)</f>
        <v>9894</v>
      </c>
      <c r="Q232" s="145">
        <v>100674</v>
      </c>
      <c r="R232" s="145">
        <v>90780</v>
      </c>
      <c r="S232" s="138">
        <f t="shared" si="110"/>
        <v>9894</v>
      </c>
    </row>
    <row r="233" spans="1:19" ht="12.75" customHeight="1">
      <c r="A233" s="159" t="s">
        <v>975</v>
      </c>
      <c r="B233" s="161">
        <v>101686316</v>
      </c>
      <c r="C233" s="161">
        <v>92691721</v>
      </c>
      <c r="D233" s="161">
        <v>92502330</v>
      </c>
      <c r="E233" s="148">
        <f>IF(ISERROR(D233/B233)," ",(D233/B233))*100</f>
        <v>90.96831672021631</v>
      </c>
      <c r="F233" s="148">
        <f>IF(ISERROR(D233/C233)," ",(D233/C233))*100</f>
        <v>99.79567646607835</v>
      </c>
      <c r="G233" s="161">
        <f>D233-'[5]Oktobris'!D233</f>
        <v>8968500</v>
      </c>
      <c r="I233" s="159" t="s">
        <v>975</v>
      </c>
      <c r="J233" s="154">
        <f aca="true" t="shared" si="113" ref="J233:L234">ROUND(B233/1000,0)</f>
        <v>101686</v>
      </c>
      <c r="K233" s="154">
        <f t="shared" si="113"/>
        <v>92692</v>
      </c>
      <c r="L233" s="154">
        <f t="shared" si="113"/>
        <v>92502</v>
      </c>
      <c r="M233" s="155">
        <f>L233/J233*100</f>
        <v>90.96827488543163</v>
      </c>
      <c r="N233" s="155">
        <f>L233/K233*100</f>
        <v>99.79502006645666</v>
      </c>
      <c r="O233" s="154">
        <f>L233-'[5]Oktobris'!L233</f>
        <v>8968</v>
      </c>
      <c r="Q233" s="154">
        <v>92502</v>
      </c>
      <c r="R233" s="154">
        <v>83534</v>
      </c>
      <c r="S233" s="138">
        <f t="shared" si="110"/>
        <v>8968</v>
      </c>
    </row>
    <row r="234" spans="1:19" ht="12.75" customHeight="1">
      <c r="A234" s="159" t="s">
        <v>976</v>
      </c>
      <c r="B234" s="161">
        <v>10384074</v>
      </c>
      <c r="C234" s="161">
        <v>10197324</v>
      </c>
      <c r="D234" s="161">
        <v>8171691.37</v>
      </c>
      <c r="E234" s="148">
        <f>IF(ISERROR(D234/B234)," ",(D234/B234))*100</f>
        <v>78.6944639454611</v>
      </c>
      <c r="F234" s="148">
        <f>IF(ISERROR(D234/C234)," ",(D234/C234))*100</f>
        <v>80.13564509669399</v>
      </c>
      <c r="G234" s="161">
        <f>D234-'[5]Oktobris'!D234</f>
        <v>925865.8200000003</v>
      </c>
      <c r="I234" s="159" t="s">
        <v>976</v>
      </c>
      <c r="J234" s="154">
        <f t="shared" si="113"/>
        <v>10384</v>
      </c>
      <c r="K234" s="154">
        <f t="shared" si="113"/>
        <v>10197</v>
      </c>
      <c r="L234" s="154">
        <f t="shared" si="113"/>
        <v>8172</v>
      </c>
      <c r="M234" s="155">
        <f>L234/J234*100</f>
        <v>78.6979969183359</v>
      </c>
      <c r="N234" s="155">
        <f>L234/K234*100</f>
        <v>80.14121800529568</v>
      </c>
      <c r="O234" s="154">
        <f>L234-'[5]Oktobris'!L234</f>
        <v>926</v>
      </c>
      <c r="Q234" s="154">
        <v>8172</v>
      </c>
      <c r="R234" s="154">
        <v>7246</v>
      </c>
      <c r="S234" s="138">
        <f t="shared" si="110"/>
        <v>926</v>
      </c>
    </row>
    <row r="235" spans="1:19" ht="12.75" customHeight="1">
      <c r="A235" s="162" t="s">
        <v>1036</v>
      </c>
      <c r="B235" s="161"/>
      <c r="C235" s="161"/>
      <c r="D235" s="161"/>
      <c r="E235" s="161"/>
      <c r="F235" s="161"/>
      <c r="G235" s="161"/>
      <c r="I235" s="162" t="s">
        <v>1037</v>
      </c>
      <c r="J235" s="161"/>
      <c r="K235" s="161"/>
      <c r="L235" s="161"/>
      <c r="M235" s="155"/>
      <c r="N235" s="155"/>
      <c r="O235" s="161"/>
      <c r="Q235" s="161"/>
      <c r="R235" s="161"/>
      <c r="S235" s="138">
        <f t="shared" si="110"/>
        <v>0</v>
      </c>
    </row>
    <row r="236" spans="1:19" ht="12.75" customHeight="1">
      <c r="A236" s="151" t="s">
        <v>969</v>
      </c>
      <c r="B236" s="161">
        <f>SUM(B237)</f>
        <v>7695832</v>
      </c>
      <c r="C236" s="163">
        <f>SUM(C237)</f>
        <v>7085253</v>
      </c>
      <c r="D236" s="163">
        <f>SUM(D237)</f>
        <v>7085253</v>
      </c>
      <c r="E236" s="147">
        <f>IF(ISERROR(D236/B236)," ",(D236/B236))*100</f>
        <v>92.0661079919624</v>
      </c>
      <c r="F236" s="147">
        <f>IF(ISERROR(D236/C236)," ",(D236/C236))*100</f>
        <v>100</v>
      </c>
      <c r="G236" s="163">
        <f>SUM(G237)</f>
        <v>610580</v>
      </c>
      <c r="I236" s="151" t="s">
        <v>969</v>
      </c>
      <c r="J236" s="145">
        <f>J237</f>
        <v>7696</v>
      </c>
      <c r="K236" s="145">
        <f>K237</f>
        <v>7085</v>
      </c>
      <c r="L236" s="145">
        <f>L237</f>
        <v>7085</v>
      </c>
      <c r="M236" s="153">
        <f>L236/J236*100</f>
        <v>92.0608108108108</v>
      </c>
      <c r="N236" s="153">
        <f>L236/K236*100</f>
        <v>100</v>
      </c>
      <c r="O236" s="145">
        <f>SUM(O237)</f>
        <v>610</v>
      </c>
      <c r="Q236" s="145">
        <v>7085</v>
      </c>
      <c r="R236" s="145">
        <v>6475</v>
      </c>
      <c r="S236" s="138">
        <f t="shared" si="110"/>
        <v>610</v>
      </c>
    </row>
    <row r="237" spans="1:19" ht="12.75" customHeight="1">
      <c r="A237" s="151" t="s">
        <v>970</v>
      </c>
      <c r="B237" s="161">
        <v>7695832</v>
      </c>
      <c r="C237" s="161">
        <v>7085253</v>
      </c>
      <c r="D237" s="161">
        <v>7085253</v>
      </c>
      <c r="E237" s="148">
        <f>IF(ISERROR(D237/B237)," ",(D237/B237))*100</f>
        <v>92.0661079919624</v>
      </c>
      <c r="F237" s="148">
        <f>IF(ISERROR(D237/C237)," ",(D237/C237))*100</f>
        <v>100</v>
      </c>
      <c r="G237" s="161">
        <f>D237-'[5]Oktobris'!D237</f>
        <v>610580</v>
      </c>
      <c r="I237" s="151" t="s">
        <v>970</v>
      </c>
      <c r="J237" s="154">
        <f>ROUND(B237/1000,0)</f>
        <v>7696</v>
      </c>
      <c r="K237" s="154">
        <f>ROUND(C237/1000,0)</f>
        <v>7085</v>
      </c>
      <c r="L237" s="154">
        <f>ROUND(D237/1000,0)</f>
        <v>7085</v>
      </c>
      <c r="M237" s="155">
        <f>L237/J237*100</f>
        <v>92.0608108108108</v>
      </c>
      <c r="N237" s="155">
        <f>L237/K237*100</f>
        <v>100</v>
      </c>
      <c r="O237" s="154">
        <f>L237-'[5]Oktobris'!L237</f>
        <v>610</v>
      </c>
      <c r="Q237" s="154">
        <v>7085</v>
      </c>
      <c r="R237" s="154">
        <v>6475</v>
      </c>
      <c r="S237" s="138">
        <f t="shared" si="110"/>
        <v>610</v>
      </c>
    </row>
    <row r="238" spans="1:19" ht="12.75" customHeight="1">
      <c r="A238" s="157" t="s">
        <v>974</v>
      </c>
      <c r="B238" s="163">
        <f>SUM(B239)</f>
        <v>7695832</v>
      </c>
      <c r="C238" s="163">
        <f>SUM(C239)</f>
        <v>7085253</v>
      </c>
      <c r="D238" s="163">
        <f>SUM(D239)</f>
        <v>6815703.16</v>
      </c>
      <c r="E238" s="148">
        <f>IF(ISERROR(D238/B238)," ",(D238/B238))*100</f>
        <v>88.56356479715254</v>
      </c>
      <c r="F238" s="148">
        <f>IF(ISERROR(D238/C238)," ",(D238/C238))*100</f>
        <v>96.19562152544164</v>
      </c>
      <c r="G238" s="163">
        <f>SUM(G239)</f>
        <v>585026.7599999998</v>
      </c>
      <c r="I238" s="157" t="s">
        <v>974</v>
      </c>
      <c r="J238" s="145">
        <f>J239+J240</f>
        <v>7696</v>
      </c>
      <c r="K238" s="145">
        <f>K239</f>
        <v>7085</v>
      </c>
      <c r="L238" s="145">
        <f>L239</f>
        <v>6816</v>
      </c>
      <c r="M238" s="153">
        <f>L238/J238*100</f>
        <v>88.56548856548856</v>
      </c>
      <c r="N238" s="153">
        <f>L238/K238*100</f>
        <v>96.20324629498941</v>
      </c>
      <c r="O238" s="145">
        <f>SUM(O239)</f>
        <v>585</v>
      </c>
      <c r="Q238" s="145">
        <v>6816</v>
      </c>
      <c r="R238" s="145">
        <v>6231</v>
      </c>
      <c r="S238" s="138">
        <f t="shared" si="110"/>
        <v>585</v>
      </c>
    </row>
    <row r="239" spans="1:19" ht="12.75" customHeight="1">
      <c r="A239" s="159" t="s">
        <v>975</v>
      </c>
      <c r="B239" s="161">
        <v>7695832</v>
      </c>
      <c r="C239" s="161">
        <v>7085253</v>
      </c>
      <c r="D239" s="161">
        <v>6815703.16</v>
      </c>
      <c r="E239" s="148">
        <f>IF(ISERROR(D239/B239)," ",(D239/B239))*100</f>
        <v>88.56356479715254</v>
      </c>
      <c r="F239" s="148">
        <f>IF(ISERROR(D239/C239)," ",(D239/C239))*100</f>
        <v>96.19562152544164</v>
      </c>
      <c r="G239" s="161">
        <f>D239-'[5]Oktobris'!D239</f>
        <v>585026.7599999998</v>
      </c>
      <c r="I239" s="159" t="s">
        <v>975</v>
      </c>
      <c r="J239" s="154">
        <f>ROUND(B239/1000,0)</f>
        <v>7696</v>
      </c>
      <c r="K239" s="154">
        <f>ROUND(C239/1000,0)</f>
        <v>7085</v>
      </c>
      <c r="L239" s="154">
        <f>ROUND(D239/1000,0)</f>
        <v>6816</v>
      </c>
      <c r="M239" s="155">
        <f>L239/J239*100</f>
        <v>88.56548856548856</v>
      </c>
      <c r="N239" s="155">
        <f>L239/K239*100</f>
        <v>96.20324629498941</v>
      </c>
      <c r="O239" s="154">
        <f>L239-'[5]Oktobris'!L239</f>
        <v>585</v>
      </c>
      <c r="Q239" s="154">
        <v>6816</v>
      </c>
      <c r="R239" s="154">
        <v>6231</v>
      </c>
      <c r="S239" s="138">
        <f t="shared" si="110"/>
        <v>585</v>
      </c>
    </row>
    <row r="240" spans="9:14" ht="17.25" customHeight="1">
      <c r="I240" s="203" t="s">
        <v>315</v>
      </c>
      <c r="J240" s="205"/>
      <c r="K240" s="89"/>
      <c r="L240" s="1"/>
      <c r="M240" s="168"/>
      <c r="N240" s="168"/>
    </row>
    <row r="242" ht="17.25" customHeight="1" hidden="1"/>
    <row r="243" spans="1:12" ht="17.25" customHeight="1">
      <c r="A243" s="169"/>
      <c r="B243" s="170"/>
      <c r="C243" s="170"/>
      <c r="D243" s="170"/>
      <c r="I243" s="663" t="s">
        <v>547</v>
      </c>
      <c r="J243" s="664"/>
      <c r="K243" s="664"/>
      <c r="L243" s="170"/>
    </row>
    <row r="245" ht="0.75" customHeight="1" hidden="1"/>
    <row r="246" ht="17.25" customHeight="1" hidden="1"/>
    <row r="247" ht="17.25" customHeight="1">
      <c r="I247" s="138" t="s">
        <v>838</v>
      </c>
    </row>
    <row r="248" ht="17.25" customHeight="1">
      <c r="I248" s="138" t="s">
        <v>316</v>
      </c>
    </row>
  </sheetData>
  <mergeCells count="7">
    <mergeCell ref="A7:F7"/>
    <mergeCell ref="I7:N7"/>
    <mergeCell ref="I3:O3"/>
    <mergeCell ref="A4:F4"/>
    <mergeCell ref="I4:N4"/>
    <mergeCell ref="A5:F5"/>
    <mergeCell ref="I5:N5"/>
  </mergeCells>
  <printOptions/>
  <pageMargins left="0.75" right="0.27" top="1" bottom="1" header="0.5" footer="0.5"/>
  <pageSetup firstPageNumber="8" useFirstPageNumber="1" horizontalDpi="600" verticalDpi="600" orientation="portrait" paperSize="9" scale="97" r:id="rId1"/>
  <headerFooter alignWithMargins="0">
    <oddFooter>&amp;R&amp;9&amp;P</oddFooter>
  </headerFooter>
  <rowBreaks count="3" manualBreakCount="3">
    <brk id="48" max="14" man="1"/>
    <brk id="145" max="14" man="1"/>
    <brk id="196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76"/>
  <sheetViews>
    <sheetView workbookViewId="0" topLeftCell="H41">
      <selection activeCell="I52" sqref="I52"/>
    </sheetView>
  </sheetViews>
  <sheetFormatPr defaultColWidth="9.140625" defaultRowHeight="12.75"/>
  <cols>
    <col min="1" max="1" width="36.28125" style="1" hidden="1" customWidth="1"/>
    <col min="2" max="2" width="11.00390625" style="1" hidden="1" customWidth="1"/>
    <col min="3" max="3" width="13.7109375" style="1" hidden="1" customWidth="1"/>
    <col min="4" max="4" width="10.8515625" style="1" hidden="1" customWidth="1"/>
    <col min="5" max="5" width="7.7109375" style="1" hidden="1" customWidth="1"/>
    <col min="6" max="6" width="9.421875" style="1" hidden="1" customWidth="1"/>
    <col min="7" max="7" width="11.140625" style="1" hidden="1" customWidth="1"/>
    <col min="8" max="8" width="33.28125" style="1" customWidth="1"/>
    <col min="9" max="9" width="7.7109375" style="1" customWidth="1"/>
    <col min="10" max="10" width="8.57421875" style="1" customWidth="1"/>
    <col min="11" max="11" width="9.140625" style="1" customWidth="1"/>
    <col min="12" max="12" width="7.57421875" style="1" customWidth="1"/>
    <col min="13" max="13" width="9.140625" style="1" customWidth="1"/>
    <col min="14" max="14" width="10.421875" style="1" customWidth="1"/>
    <col min="15" max="15" width="0.13671875" style="1" customWidth="1"/>
    <col min="16" max="18" width="9.140625" style="1" hidden="1" customWidth="1"/>
    <col min="19" max="16384" width="9.140625" style="1" customWidth="1"/>
  </cols>
  <sheetData>
    <row r="1" spans="7:13" ht="12">
      <c r="G1" s="1" t="s">
        <v>1040</v>
      </c>
      <c r="M1" s="1" t="s">
        <v>1040</v>
      </c>
    </row>
    <row r="2" spans="2:9" ht="12">
      <c r="B2" s="171" t="s">
        <v>1041</v>
      </c>
      <c r="I2" s="171" t="s">
        <v>1041</v>
      </c>
    </row>
    <row r="4" spans="1:14" ht="12">
      <c r="A4" s="863" t="s">
        <v>1042</v>
      </c>
      <c r="B4" s="863"/>
      <c r="C4" s="863"/>
      <c r="D4" s="863"/>
      <c r="E4" s="863"/>
      <c r="F4" s="863"/>
      <c r="G4" s="863"/>
      <c r="H4" s="863" t="s">
        <v>1042</v>
      </c>
      <c r="I4" s="863"/>
      <c r="J4" s="863"/>
      <c r="K4" s="863"/>
      <c r="L4" s="863"/>
      <c r="M4" s="863"/>
      <c r="N4" s="863"/>
    </row>
    <row r="5" spans="1:13" ht="12">
      <c r="A5" s="857" t="s">
        <v>322</v>
      </c>
      <c r="B5" s="857"/>
      <c r="C5" s="857"/>
      <c r="D5" s="857"/>
      <c r="E5" s="857"/>
      <c r="F5" s="857"/>
      <c r="H5" s="857" t="s">
        <v>322</v>
      </c>
      <c r="I5" s="857"/>
      <c r="J5" s="857"/>
      <c r="K5" s="857"/>
      <c r="L5" s="857"/>
      <c r="M5" s="857"/>
    </row>
    <row r="6" spans="1:13" ht="12">
      <c r="A6" s="89"/>
      <c r="B6" s="89"/>
      <c r="C6" s="89"/>
      <c r="D6" s="89"/>
      <c r="E6" s="89"/>
      <c r="F6" s="89"/>
      <c r="H6" s="89"/>
      <c r="I6" s="89"/>
      <c r="J6" s="89"/>
      <c r="K6" s="89"/>
      <c r="L6" s="89"/>
      <c r="M6" s="89"/>
    </row>
    <row r="7" spans="6:14" ht="12">
      <c r="F7" s="862" t="s">
        <v>842</v>
      </c>
      <c r="G7" s="862"/>
      <c r="M7" s="862" t="s">
        <v>842</v>
      </c>
      <c r="N7" s="862"/>
    </row>
    <row r="8" spans="1:14" ht="84">
      <c r="A8" s="235" t="s">
        <v>928</v>
      </c>
      <c r="B8" s="235" t="s">
        <v>843</v>
      </c>
      <c r="C8" s="235" t="s">
        <v>1043</v>
      </c>
      <c r="D8" s="235" t="s">
        <v>844</v>
      </c>
      <c r="E8" s="235" t="s">
        <v>1044</v>
      </c>
      <c r="F8" s="235" t="s">
        <v>1045</v>
      </c>
      <c r="G8" s="235" t="s">
        <v>1046</v>
      </c>
      <c r="H8" s="235" t="s">
        <v>928</v>
      </c>
      <c r="I8" s="235" t="s">
        <v>843</v>
      </c>
      <c r="J8" s="235" t="s">
        <v>1043</v>
      </c>
      <c r="K8" s="235" t="s">
        <v>844</v>
      </c>
      <c r="L8" s="235" t="s">
        <v>1044</v>
      </c>
      <c r="M8" s="235" t="s">
        <v>1045</v>
      </c>
      <c r="N8" s="235" t="s">
        <v>312</v>
      </c>
    </row>
    <row r="9" spans="1:14" ht="12">
      <c r="A9" s="235">
        <v>1</v>
      </c>
      <c r="B9" s="235">
        <v>2</v>
      </c>
      <c r="C9" s="235">
        <v>3</v>
      </c>
      <c r="D9" s="235">
        <v>4</v>
      </c>
      <c r="E9" s="786">
        <v>5</v>
      </c>
      <c r="F9" s="235">
        <v>6</v>
      </c>
      <c r="G9" s="235">
        <v>7</v>
      </c>
      <c r="H9" s="235">
        <v>1</v>
      </c>
      <c r="I9" s="235">
        <v>2</v>
      </c>
      <c r="J9" s="235">
        <v>3</v>
      </c>
      <c r="K9" s="235">
        <v>4</v>
      </c>
      <c r="L9" s="786">
        <v>5</v>
      </c>
      <c r="M9" s="235">
        <v>6</v>
      </c>
      <c r="N9" s="235">
        <v>7</v>
      </c>
    </row>
    <row r="10" spans="1:18" ht="12">
      <c r="A10" s="173" t="s">
        <v>1047</v>
      </c>
      <c r="B10" s="174">
        <v>796473921</v>
      </c>
      <c r="C10" s="113" t="s">
        <v>744</v>
      </c>
      <c r="D10" s="174">
        <v>688768003</v>
      </c>
      <c r="E10" s="175" t="s">
        <v>744</v>
      </c>
      <c r="F10" s="175" t="s">
        <v>744</v>
      </c>
      <c r="G10" s="174">
        <v>59027807</v>
      </c>
      <c r="H10" s="173" t="s">
        <v>323</v>
      </c>
      <c r="I10" s="174">
        <f>ROUND(B10/1000,0)-1</f>
        <v>796473</v>
      </c>
      <c r="J10" s="113"/>
      <c r="K10" s="174">
        <f>ROUND(D10/1000,0)</f>
        <v>688768</v>
      </c>
      <c r="L10" s="175"/>
      <c r="M10" s="175"/>
      <c r="N10" s="174">
        <f>ROUND(G10/1000,0)</f>
        <v>59028</v>
      </c>
      <c r="P10" s="570">
        <f>K10</f>
        <v>688768</v>
      </c>
      <c r="Q10" s="1">
        <v>629740</v>
      </c>
      <c r="R10" s="570">
        <f aca="true" t="shared" si="0" ref="R10:R56">P10-Q10</f>
        <v>59028</v>
      </c>
    </row>
    <row r="11" spans="1:18" ht="12">
      <c r="A11" s="178" t="s">
        <v>1048</v>
      </c>
      <c r="B11" s="179">
        <v>832688403</v>
      </c>
      <c r="C11" s="179">
        <f>C12+C13+C14+C15</f>
        <v>753732701</v>
      </c>
      <c r="D11" s="179">
        <f>D12+D13+D14+D15</f>
        <v>727057710.91</v>
      </c>
      <c r="E11" s="180">
        <f aca="true" t="shared" si="1" ref="E11:E19">IF(ISERROR(D11/B11)," ",(D11/B11))*100</f>
        <v>87.31449943226842</v>
      </c>
      <c r="F11" s="181">
        <f aca="true" t="shared" si="2" ref="F11:F19">IF(ISERROR(D11/C11)," ",(D11/C11))*100</f>
        <v>96.46094828383994</v>
      </c>
      <c r="G11" s="179">
        <f>SUM(G12:G15)</f>
        <v>65912399.900000006</v>
      </c>
      <c r="H11" s="178" t="s">
        <v>1048</v>
      </c>
      <c r="I11" s="174">
        <f aca="true" t="shared" si="3" ref="I11:K19">ROUND(B11/1000,0)</f>
        <v>832688</v>
      </c>
      <c r="J11" s="174">
        <f>J12+J13+J14+J15</f>
        <v>753733</v>
      </c>
      <c r="K11" s="174">
        <f>K12+K13+K14+K15</f>
        <v>727058</v>
      </c>
      <c r="L11" s="191">
        <f aca="true" t="shared" si="4" ref="L11:L19">IF(ISERROR(K11/I11)," ",(K11/I11))*100</f>
        <v>87.31457640797034</v>
      </c>
      <c r="M11" s="191">
        <f aca="true" t="shared" si="5" ref="M11:M19">IF(ISERROR(K11/J11)," ",(K11/J11))*100</f>
        <v>96.46094837296496</v>
      </c>
      <c r="N11" s="174">
        <f>SUM(N12:N15)</f>
        <v>65913</v>
      </c>
      <c r="P11" s="570">
        <f aca="true" t="shared" si="6" ref="P11:P56">K11</f>
        <v>727058</v>
      </c>
      <c r="Q11" s="1">
        <v>661145</v>
      </c>
      <c r="R11" s="570">
        <f t="shared" si="0"/>
        <v>65913</v>
      </c>
    </row>
    <row r="12" spans="1:18" ht="12">
      <c r="A12" s="182" t="s">
        <v>1049</v>
      </c>
      <c r="B12" s="179">
        <v>711819838</v>
      </c>
      <c r="C12" s="179">
        <v>651530531</v>
      </c>
      <c r="D12" s="179">
        <v>651530531</v>
      </c>
      <c r="E12" s="180">
        <f t="shared" si="1"/>
        <v>91.53025754811853</v>
      </c>
      <c r="F12" s="181">
        <f t="shared" si="2"/>
        <v>100</v>
      </c>
      <c r="G12" s="179">
        <f>D12-'[14]oktobris'!D12</f>
        <v>59714331</v>
      </c>
      <c r="H12" s="182" t="s">
        <v>1049</v>
      </c>
      <c r="I12" s="179">
        <f t="shared" si="3"/>
        <v>711820</v>
      </c>
      <c r="J12" s="179">
        <f>ROUND(C12/1000,0)-1</f>
        <v>651530</v>
      </c>
      <c r="K12" s="179">
        <f>ROUND(D12/1000,0)-1</f>
        <v>651530</v>
      </c>
      <c r="L12" s="806">
        <f t="shared" si="4"/>
        <v>91.53016211963698</v>
      </c>
      <c r="M12" s="806">
        <f t="shared" si="5"/>
        <v>100</v>
      </c>
      <c r="N12" s="179">
        <f>K12-'[14]oktobris'!K12</f>
        <v>59714</v>
      </c>
      <c r="P12" s="570">
        <f t="shared" si="6"/>
        <v>651530</v>
      </c>
      <c r="Q12" s="1">
        <v>591816</v>
      </c>
      <c r="R12" s="570">
        <f t="shared" si="0"/>
        <v>59714</v>
      </c>
    </row>
    <row r="13" spans="1:18" ht="12">
      <c r="A13" s="182" t="s">
        <v>1050</v>
      </c>
      <c r="B13" s="179">
        <v>3405024</v>
      </c>
      <c r="C13" s="179">
        <v>3062650</v>
      </c>
      <c r="D13" s="179">
        <v>2117537.75</v>
      </c>
      <c r="E13" s="180">
        <f t="shared" si="1"/>
        <v>62.188629213773524</v>
      </c>
      <c r="F13" s="181">
        <f t="shared" si="2"/>
        <v>69.14070331249081</v>
      </c>
      <c r="G13" s="179">
        <f>D13-'[14]oktobris'!D13</f>
        <v>185018.03000000003</v>
      </c>
      <c r="H13" s="182" t="s">
        <v>1050</v>
      </c>
      <c r="I13" s="179">
        <f t="shared" si="3"/>
        <v>3405</v>
      </c>
      <c r="J13" s="179">
        <f t="shared" si="3"/>
        <v>3063</v>
      </c>
      <c r="K13" s="179">
        <f t="shared" si="3"/>
        <v>2118</v>
      </c>
      <c r="L13" s="806">
        <f t="shared" si="4"/>
        <v>62.20264317180617</v>
      </c>
      <c r="M13" s="806">
        <f t="shared" si="5"/>
        <v>69.1478942213516</v>
      </c>
      <c r="N13" s="179">
        <f>K13-'[14]oktobris'!K13</f>
        <v>186</v>
      </c>
      <c r="P13" s="570">
        <f t="shared" si="6"/>
        <v>2118</v>
      </c>
      <c r="Q13" s="1">
        <v>1932</v>
      </c>
      <c r="R13" s="570">
        <f t="shared" si="0"/>
        <v>186</v>
      </c>
    </row>
    <row r="14" spans="1:18" ht="24">
      <c r="A14" s="182" t="s">
        <v>1051</v>
      </c>
      <c r="B14" s="179">
        <v>65086359</v>
      </c>
      <c r="C14" s="179">
        <v>59542804</v>
      </c>
      <c r="D14" s="179">
        <v>56544240.1</v>
      </c>
      <c r="E14" s="180">
        <f t="shared" si="1"/>
        <v>86.87571553971854</v>
      </c>
      <c r="F14" s="181">
        <f t="shared" si="2"/>
        <v>94.96401966558378</v>
      </c>
      <c r="G14" s="179">
        <f>D14-'[14]oktobris'!D14</f>
        <v>4618375.840000004</v>
      </c>
      <c r="H14" s="182" t="s">
        <v>1051</v>
      </c>
      <c r="I14" s="179">
        <f t="shared" si="3"/>
        <v>65086</v>
      </c>
      <c r="J14" s="179">
        <f t="shared" si="3"/>
        <v>59543</v>
      </c>
      <c r="K14" s="179">
        <f>ROUND(D14/1000,0)+1</f>
        <v>56545</v>
      </c>
      <c r="L14" s="806">
        <f t="shared" si="4"/>
        <v>86.8773622591648</v>
      </c>
      <c r="M14" s="806">
        <f t="shared" si="5"/>
        <v>94.9649832893875</v>
      </c>
      <c r="N14" s="179">
        <f>K14-'[14]oktobris'!K14</f>
        <v>4619</v>
      </c>
      <c r="P14" s="570">
        <f t="shared" si="6"/>
        <v>56545</v>
      </c>
      <c r="Q14" s="1">
        <v>51926</v>
      </c>
      <c r="R14" s="570">
        <f t="shared" si="0"/>
        <v>4619</v>
      </c>
    </row>
    <row r="15" spans="1:18" ht="12">
      <c r="A15" s="178" t="s">
        <v>1052</v>
      </c>
      <c r="B15" s="179">
        <v>52377182</v>
      </c>
      <c r="C15" s="179">
        <v>39596716</v>
      </c>
      <c r="D15" s="179">
        <v>16865402.06</v>
      </c>
      <c r="E15" s="180">
        <f t="shared" si="1"/>
        <v>32.199903499963014</v>
      </c>
      <c r="F15" s="181">
        <f t="shared" si="2"/>
        <v>42.59293134309421</v>
      </c>
      <c r="G15" s="179">
        <f>D15-'[14]oktobris'!D15</f>
        <v>1394675.0299999993</v>
      </c>
      <c r="H15" s="178" t="s">
        <v>1052</v>
      </c>
      <c r="I15" s="179">
        <f t="shared" si="3"/>
        <v>52377</v>
      </c>
      <c r="J15" s="179">
        <f t="shared" si="3"/>
        <v>39597</v>
      </c>
      <c r="K15" s="179">
        <f t="shared" si="3"/>
        <v>16865</v>
      </c>
      <c r="L15" s="806">
        <f t="shared" si="4"/>
        <v>32.199247761422</v>
      </c>
      <c r="M15" s="806">
        <f t="shared" si="5"/>
        <v>42.591610475541074</v>
      </c>
      <c r="N15" s="179">
        <f>K15-'[14]oktobris'!K15</f>
        <v>1394</v>
      </c>
      <c r="P15" s="570">
        <f t="shared" si="6"/>
        <v>16865</v>
      </c>
      <c r="Q15" s="1">
        <v>15471</v>
      </c>
      <c r="R15" s="570">
        <f t="shared" si="0"/>
        <v>1394</v>
      </c>
    </row>
    <row r="16" spans="1:18" ht="12">
      <c r="A16" s="173" t="s">
        <v>1053</v>
      </c>
      <c r="B16" s="174">
        <v>833192037</v>
      </c>
      <c r="C16" s="174">
        <f>C17+C41</f>
        <v>754232693</v>
      </c>
      <c r="D16" s="174">
        <f>D17+D41</f>
        <v>700500444.96</v>
      </c>
      <c r="E16" s="180">
        <f t="shared" si="1"/>
        <v>84.0743086650503</v>
      </c>
      <c r="F16" s="181">
        <f t="shared" si="2"/>
        <v>92.87590573324565</v>
      </c>
      <c r="G16" s="179">
        <f>D16-'[14]oktobris'!D16</f>
        <v>64743263.72000003</v>
      </c>
      <c r="H16" s="173" t="s">
        <v>324</v>
      </c>
      <c r="I16" s="174">
        <f t="shared" si="3"/>
        <v>833192</v>
      </c>
      <c r="J16" s="174">
        <f>ROUND(C16/1000,0)</f>
        <v>754233</v>
      </c>
      <c r="K16" s="174">
        <f>K17+K41</f>
        <v>700500</v>
      </c>
      <c r="L16" s="807">
        <f t="shared" si="4"/>
        <v>84.07425899432543</v>
      </c>
      <c r="M16" s="807">
        <f t="shared" si="5"/>
        <v>92.87580893437439</v>
      </c>
      <c r="N16" s="179">
        <f>K16-'[14]oktobris'!K16</f>
        <v>64743</v>
      </c>
      <c r="P16" s="570">
        <f t="shared" si="6"/>
        <v>700500</v>
      </c>
      <c r="Q16" s="1">
        <v>635757</v>
      </c>
      <c r="R16" s="570">
        <f t="shared" si="0"/>
        <v>64743</v>
      </c>
    </row>
    <row r="17" spans="1:18" ht="12">
      <c r="A17" s="184" t="s">
        <v>1054</v>
      </c>
      <c r="B17" s="174">
        <v>755550068</v>
      </c>
      <c r="C17" s="174">
        <f>C18+C22+C26</f>
        <v>682601524</v>
      </c>
      <c r="D17" s="174">
        <f>D18+D22+D26</f>
        <v>649497398.35</v>
      </c>
      <c r="E17" s="180">
        <f t="shared" si="1"/>
        <v>85.96351530604322</v>
      </c>
      <c r="F17" s="181">
        <f t="shared" si="2"/>
        <v>95.15030006730545</v>
      </c>
      <c r="G17" s="179">
        <f>D17-'[14]oktobris'!D17</f>
        <v>59595902.72000003</v>
      </c>
      <c r="H17" s="184" t="s">
        <v>1054</v>
      </c>
      <c r="I17" s="174">
        <f t="shared" si="3"/>
        <v>755550</v>
      </c>
      <c r="J17" s="174">
        <f>J18+J22+J26</f>
        <v>682602</v>
      </c>
      <c r="K17" s="174">
        <f>K18+K22+K26</f>
        <v>649497</v>
      </c>
      <c r="L17" s="807">
        <f t="shared" si="4"/>
        <v>85.96347031963471</v>
      </c>
      <c r="M17" s="807">
        <f t="shared" si="5"/>
        <v>95.15017535840798</v>
      </c>
      <c r="N17" s="179">
        <f>K17-'[14]oktobris'!K17</f>
        <v>59596</v>
      </c>
      <c r="P17" s="570">
        <f t="shared" si="6"/>
        <v>649497</v>
      </c>
      <c r="Q17" s="1">
        <v>589901</v>
      </c>
      <c r="R17" s="570">
        <f t="shared" si="0"/>
        <v>59596</v>
      </c>
    </row>
    <row r="18" spans="1:18" ht="12">
      <c r="A18" s="185" t="s">
        <v>1055</v>
      </c>
      <c r="B18" s="174">
        <v>379916673</v>
      </c>
      <c r="C18" s="174">
        <f>C19+C21</f>
        <v>345536846</v>
      </c>
      <c r="D18" s="174">
        <f>D19+D20+D21</f>
        <v>324397999.2</v>
      </c>
      <c r="E18" s="180">
        <f t="shared" si="1"/>
        <v>85.38661823878417</v>
      </c>
      <c r="F18" s="181">
        <f t="shared" si="2"/>
        <v>93.88231760383667</v>
      </c>
      <c r="G18" s="179">
        <f>D18-'[14]oktobris'!D18</f>
        <v>32114963.879999995</v>
      </c>
      <c r="H18" s="185" t="s">
        <v>1055</v>
      </c>
      <c r="I18" s="174">
        <f t="shared" si="3"/>
        <v>379917</v>
      </c>
      <c r="J18" s="174">
        <f>J19+J21</f>
        <v>345537</v>
      </c>
      <c r="K18" s="174">
        <f>K19+K20+K21</f>
        <v>324398</v>
      </c>
      <c r="L18" s="807">
        <f t="shared" si="4"/>
        <v>85.38654495587194</v>
      </c>
      <c r="M18" s="807">
        <f t="shared" si="5"/>
        <v>93.88227599359837</v>
      </c>
      <c r="N18" s="179">
        <f>K18-'[14]oktobris'!K18</f>
        <v>32115</v>
      </c>
      <c r="P18" s="570">
        <f t="shared" si="6"/>
        <v>324398</v>
      </c>
      <c r="Q18" s="1">
        <v>292283</v>
      </c>
      <c r="R18" s="570">
        <f t="shared" si="0"/>
        <v>32115</v>
      </c>
    </row>
    <row r="19" spans="1:18" ht="12">
      <c r="A19" s="186" t="s">
        <v>1056</v>
      </c>
      <c r="B19" s="179">
        <v>173539339</v>
      </c>
      <c r="C19" s="179">
        <v>158048506</v>
      </c>
      <c r="D19" s="179">
        <v>152313742.41</v>
      </c>
      <c r="E19" s="180">
        <f t="shared" si="1"/>
        <v>87.76899997873105</v>
      </c>
      <c r="F19" s="181">
        <f t="shared" si="2"/>
        <v>96.37151673550144</v>
      </c>
      <c r="G19" s="179">
        <f>D19-'[14]oktobris'!D19</f>
        <v>14704791.280000001</v>
      </c>
      <c r="H19" s="186" t="s">
        <v>1056</v>
      </c>
      <c r="I19" s="179">
        <f t="shared" si="3"/>
        <v>173539</v>
      </c>
      <c r="J19" s="179">
        <f>ROUND(C19/1000,0)</f>
        <v>158049</v>
      </c>
      <c r="K19" s="179">
        <f>ROUND(D19/1000,0)</f>
        <v>152314</v>
      </c>
      <c r="L19" s="806">
        <f t="shared" si="4"/>
        <v>87.769319864699</v>
      </c>
      <c r="M19" s="806">
        <f t="shared" si="5"/>
        <v>96.37137849654222</v>
      </c>
      <c r="N19" s="179">
        <f>K19-'[14]oktobris'!K19</f>
        <v>14705</v>
      </c>
      <c r="P19" s="570">
        <f t="shared" si="6"/>
        <v>152314</v>
      </c>
      <c r="Q19" s="1">
        <v>137609</v>
      </c>
      <c r="R19" s="570">
        <f t="shared" si="0"/>
        <v>14705</v>
      </c>
    </row>
    <row r="20" spans="1:18" ht="24">
      <c r="A20" s="182" t="s">
        <v>1057</v>
      </c>
      <c r="B20" s="187" t="s">
        <v>744</v>
      </c>
      <c r="C20" s="187" t="s">
        <v>744</v>
      </c>
      <c r="D20" s="179">
        <v>37630606.44</v>
      </c>
      <c r="E20" s="188" t="s">
        <v>744</v>
      </c>
      <c r="F20" s="188" t="s">
        <v>744</v>
      </c>
      <c r="G20" s="179">
        <f>D20-'[14]oktobris'!D20</f>
        <v>3447069.599999994</v>
      </c>
      <c r="H20" s="182" t="s">
        <v>1057</v>
      </c>
      <c r="I20" s="187"/>
      <c r="J20" s="187"/>
      <c r="K20" s="179">
        <f>ROUND(D20/1000,0)</f>
        <v>37631</v>
      </c>
      <c r="L20" s="188"/>
      <c r="M20" s="806"/>
      <c r="N20" s="179">
        <f>K20-'[14]oktobris'!K20</f>
        <v>3447</v>
      </c>
      <c r="P20" s="570">
        <f t="shared" si="6"/>
        <v>37631</v>
      </c>
      <c r="Q20" s="1">
        <v>34184</v>
      </c>
      <c r="R20" s="570">
        <f t="shared" si="0"/>
        <v>3447</v>
      </c>
    </row>
    <row r="21" spans="1:18" ht="12">
      <c r="A21" s="67" t="s">
        <v>1058</v>
      </c>
      <c r="B21" s="187" t="s">
        <v>744</v>
      </c>
      <c r="C21" s="179">
        <v>187488340</v>
      </c>
      <c r="D21" s="179">
        <v>134453650.35</v>
      </c>
      <c r="E21" s="188" t="s">
        <v>744</v>
      </c>
      <c r="F21" s="181">
        <f>IF(ISERROR(D21/C21)," ",(D21/C21))*100</f>
        <v>71.71307311697358</v>
      </c>
      <c r="G21" s="179">
        <f>D21-'[14]oktobris'!D21</f>
        <v>13963102.999999985</v>
      </c>
      <c r="H21" s="67" t="s">
        <v>1058</v>
      </c>
      <c r="I21" s="187"/>
      <c r="J21" s="179">
        <f>ROUND(C21/1000,0)</f>
        <v>187488</v>
      </c>
      <c r="K21" s="179">
        <f>ROUND(D21/1000,0)-1</f>
        <v>134453</v>
      </c>
      <c r="L21" s="188"/>
      <c r="M21" s="806">
        <f>IF(ISERROR(K21/J21)," ",(K21/J21))*100</f>
        <v>71.7128562894692</v>
      </c>
      <c r="N21" s="179">
        <f>K21-'[14]oktobris'!K21</f>
        <v>13963</v>
      </c>
      <c r="P21" s="570">
        <f t="shared" si="6"/>
        <v>134453</v>
      </c>
      <c r="Q21" s="1">
        <v>120490</v>
      </c>
      <c r="R21" s="570">
        <f t="shared" si="0"/>
        <v>13963</v>
      </c>
    </row>
    <row r="22" spans="1:18" ht="24">
      <c r="A22" s="59" t="s">
        <v>1059</v>
      </c>
      <c r="B22" s="174">
        <v>44065415</v>
      </c>
      <c r="C22" s="174">
        <v>40266046</v>
      </c>
      <c r="D22" s="174">
        <f>D23+D24+D25</f>
        <v>38659822.99</v>
      </c>
      <c r="E22" s="191">
        <f>IF(ISERROR(D22/B22)," ",(D22/B22))*100</f>
        <v>87.73280131368331</v>
      </c>
      <c r="F22" s="192">
        <f>IF(ISERROR(D22/C22)," ",(D22/C22))*100</f>
        <v>96.01097408471644</v>
      </c>
      <c r="G22" s="179">
        <f>D22-'[14]oktobris'!D22</f>
        <v>3024646.3599999994</v>
      </c>
      <c r="H22" s="59" t="s">
        <v>1059</v>
      </c>
      <c r="I22" s="174">
        <f>ROUND(B22/1000,0)</f>
        <v>44065</v>
      </c>
      <c r="J22" s="174">
        <f>ROUND(C22/1000,0)</f>
        <v>40266</v>
      </c>
      <c r="K22" s="174">
        <f>K23+K24+K25</f>
        <v>38660</v>
      </c>
      <c r="L22" s="807">
        <f>IF(ISERROR(K22/I22)," ",(K22/I22))*100</f>
        <v>87.73402927493476</v>
      </c>
      <c r="M22" s="807">
        <f>IF(ISERROR(K22/J22)," ",(K22/J22))*100</f>
        <v>96.01152336959221</v>
      </c>
      <c r="N22" s="179">
        <f>K22-'[14]oktobris'!K22</f>
        <v>3025</v>
      </c>
      <c r="P22" s="570">
        <f t="shared" si="6"/>
        <v>38660</v>
      </c>
      <c r="Q22" s="1">
        <v>35635</v>
      </c>
      <c r="R22" s="570">
        <f t="shared" si="0"/>
        <v>3025</v>
      </c>
    </row>
    <row r="23" spans="1:18" ht="24">
      <c r="A23" s="182" t="s">
        <v>0</v>
      </c>
      <c r="B23" s="187" t="s">
        <v>744</v>
      </c>
      <c r="C23" s="187" t="s">
        <v>744</v>
      </c>
      <c r="D23" s="179">
        <v>20398873.35</v>
      </c>
      <c r="E23" s="188" t="s">
        <v>744</v>
      </c>
      <c r="F23" s="188" t="s">
        <v>744</v>
      </c>
      <c r="G23" s="179">
        <f>D23-'[14]oktobris'!D23</f>
        <v>2170372.5600000024</v>
      </c>
      <c r="H23" s="182" t="s">
        <v>0</v>
      </c>
      <c r="I23" s="187"/>
      <c r="J23" s="187"/>
      <c r="K23" s="179">
        <f>ROUND(D23/1000,0)</f>
        <v>20399</v>
      </c>
      <c r="L23" s="188"/>
      <c r="M23" s="188"/>
      <c r="N23" s="179">
        <f>K23-'[14]oktobris'!K23</f>
        <v>2170</v>
      </c>
      <c r="P23" s="570">
        <f t="shared" si="6"/>
        <v>20399</v>
      </c>
      <c r="Q23" s="1">
        <v>18229</v>
      </c>
      <c r="R23" s="570">
        <f t="shared" si="0"/>
        <v>2170</v>
      </c>
    </row>
    <row r="24" spans="1:18" ht="24">
      <c r="A24" s="182" t="s">
        <v>1</v>
      </c>
      <c r="B24" s="187" t="s">
        <v>744</v>
      </c>
      <c r="C24" s="187" t="s">
        <v>744</v>
      </c>
      <c r="D24" s="179">
        <v>18126674.33</v>
      </c>
      <c r="E24" s="188" t="s">
        <v>744</v>
      </c>
      <c r="F24" s="188" t="s">
        <v>744</v>
      </c>
      <c r="G24" s="179">
        <f>D24-'[14]oktobris'!D24</f>
        <v>854273.799999997</v>
      </c>
      <c r="H24" s="182" t="s">
        <v>1</v>
      </c>
      <c r="I24" s="187"/>
      <c r="J24" s="187"/>
      <c r="K24" s="179">
        <f>ROUND(D24/1000,0)</f>
        <v>18127</v>
      </c>
      <c r="L24" s="188"/>
      <c r="M24" s="188"/>
      <c r="N24" s="179">
        <f>K24-'[14]oktobris'!K24</f>
        <v>855</v>
      </c>
      <c r="P24" s="570">
        <f t="shared" si="6"/>
        <v>18127</v>
      </c>
      <c r="Q24" s="1">
        <v>17272</v>
      </c>
      <c r="R24" s="570">
        <f t="shared" si="0"/>
        <v>855</v>
      </c>
    </row>
    <row r="25" spans="1:18" ht="24">
      <c r="A25" s="182" t="s">
        <v>2</v>
      </c>
      <c r="B25" s="187" t="s">
        <v>744</v>
      </c>
      <c r="C25" s="187" t="s">
        <v>744</v>
      </c>
      <c r="D25" s="179">
        <v>134275.31</v>
      </c>
      <c r="E25" s="188" t="s">
        <v>744</v>
      </c>
      <c r="F25" s="188" t="s">
        <v>744</v>
      </c>
      <c r="G25" s="179">
        <f>D25-'[14]oktobris'!D25</f>
        <v>0</v>
      </c>
      <c r="H25" s="182" t="s">
        <v>2</v>
      </c>
      <c r="I25" s="187"/>
      <c r="J25" s="187"/>
      <c r="K25" s="179">
        <f>ROUND(D25/1000,0)</f>
        <v>134</v>
      </c>
      <c r="L25" s="188"/>
      <c r="M25" s="188"/>
      <c r="N25" s="179">
        <f>K25-'[14]oktobris'!K25</f>
        <v>0</v>
      </c>
      <c r="P25" s="570">
        <f t="shared" si="6"/>
        <v>134</v>
      </c>
      <c r="Q25" s="1">
        <v>134</v>
      </c>
      <c r="R25" s="570">
        <f t="shared" si="0"/>
        <v>0</v>
      </c>
    </row>
    <row r="26" spans="1:18" ht="12">
      <c r="A26" s="193" t="s">
        <v>3</v>
      </c>
      <c r="B26" s="174">
        <v>331567980</v>
      </c>
      <c r="C26" s="174">
        <v>296798632</v>
      </c>
      <c r="D26" s="174">
        <f>D27+D28+D29+D30+D32+D37+D38</f>
        <v>286439576.16</v>
      </c>
      <c r="E26" s="191">
        <f>IF(ISERROR(D26/B26)," ",(D26/B26))*100</f>
        <v>86.38939627403104</v>
      </c>
      <c r="F26" s="192">
        <f>IF(ISERROR(D26/C26)," ",(D26/C26))*100</f>
        <v>96.509735988271</v>
      </c>
      <c r="G26" s="179">
        <f>D26-'[14]oktobris'!D26</f>
        <v>24456292.48000002</v>
      </c>
      <c r="H26" s="193" t="s">
        <v>3</v>
      </c>
      <c r="I26" s="174">
        <f>ROUND(B26/1000,0)</f>
        <v>331568</v>
      </c>
      <c r="J26" s="174">
        <f>ROUND(C26/1000,0)</f>
        <v>296799</v>
      </c>
      <c r="K26" s="174">
        <f>K27+K28+K29+K30+K32+K37+K38</f>
        <v>286439</v>
      </c>
      <c r="L26" s="191">
        <f>IF(ISERROR(K26/I26)," ",(K26/I26))*100</f>
        <v>86.38921729479323</v>
      </c>
      <c r="M26" s="192">
        <f>IF(ISERROR(K26/J26)," ",(K26/J26))*100</f>
        <v>96.50942220155729</v>
      </c>
      <c r="N26" s="179">
        <f>K26-'[14]oktobris'!K26</f>
        <v>24456</v>
      </c>
      <c r="P26" s="570">
        <f t="shared" si="6"/>
        <v>286439</v>
      </c>
      <c r="Q26" s="1">
        <v>261983</v>
      </c>
      <c r="R26" s="570">
        <f t="shared" si="0"/>
        <v>24456</v>
      </c>
    </row>
    <row r="27" spans="1:18" ht="12">
      <c r="A27" s="186" t="s">
        <v>4</v>
      </c>
      <c r="B27" s="187" t="s">
        <v>744</v>
      </c>
      <c r="C27" s="187" t="s">
        <v>744</v>
      </c>
      <c r="D27" s="179">
        <v>23635951.16</v>
      </c>
      <c r="E27" s="188" t="s">
        <v>744</v>
      </c>
      <c r="F27" s="188" t="s">
        <v>744</v>
      </c>
      <c r="G27" s="179">
        <f>D27-'[14]oktobris'!D27</f>
        <v>1515121.539999999</v>
      </c>
      <c r="H27" s="186" t="s">
        <v>4</v>
      </c>
      <c r="I27" s="187"/>
      <c r="J27" s="187"/>
      <c r="K27" s="179">
        <f>ROUND(D27/1000,0)</f>
        <v>23636</v>
      </c>
      <c r="L27" s="188"/>
      <c r="M27" s="188"/>
      <c r="N27" s="179">
        <f>K27-'[14]oktobris'!K27</f>
        <v>1515</v>
      </c>
      <c r="P27" s="570">
        <f t="shared" si="6"/>
        <v>23636</v>
      </c>
      <c r="Q27" s="1">
        <v>22121</v>
      </c>
      <c r="R27" s="570">
        <f t="shared" si="0"/>
        <v>1515</v>
      </c>
    </row>
    <row r="28" spans="1:18" ht="12">
      <c r="A28" s="182" t="s">
        <v>5</v>
      </c>
      <c r="B28" s="187" t="s">
        <v>744</v>
      </c>
      <c r="C28" s="187" t="s">
        <v>744</v>
      </c>
      <c r="D28" s="179">
        <v>92512330</v>
      </c>
      <c r="E28" s="188" t="s">
        <v>744</v>
      </c>
      <c r="F28" s="188" t="s">
        <v>744</v>
      </c>
      <c r="G28" s="179">
        <f>D28-'[14]oktobris'!D28</f>
        <v>8978500</v>
      </c>
      <c r="H28" s="182" t="s">
        <v>5</v>
      </c>
      <c r="I28" s="187"/>
      <c r="J28" s="187"/>
      <c r="K28" s="179">
        <f>ROUND(D28/1000,0)</f>
        <v>92512</v>
      </c>
      <c r="L28" s="188"/>
      <c r="M28" s="188"/>
      <c r="N28" s="179">
        <f>K28-'[14]oktobris'!K28</f>
        <v>8977</v>
      </c>
      <c r="P28" s="570">
        <f t="shared" si="6"/>
        <v>92512</v>
      </c>
      <c r="Q28" s="1">
        <v>83535</v>
      </c>
      <c r="R28" s="570">
        <f t="shared" si="0"/>
        <v>8977</v>
      </c>
    </row>
    <row r="29" spans="1:18" ht="12">
      <c r="A29" s="182" t="s">
        <v>6</v>
      </c>
      <c r="B29" s="187" t="s">
        <v>744</v>
      </c>
      <c r="C29" s="187" t="s">
        <v>744</v>
      </c>
      <c r="D29" s="179">
        <v>6623881</v>
      </c>
      <c r="E29" s="188" t="s">
        <v>744</v>
      </c>
      <c r="F29" s="188" t="s">
        <v>744</v>
      </c>
      <c r="G29" s="179">
        <f>D29-'[14]oktobris'!D29</f>
        <v>549747</v>
      </c>
      <c r="H29" s="182" t="s">
        <v>6</v>
      </c>
      <c r="I29" s="187"/>
      <c r="J29" s="187"/>
      <c r="K29" s="179">
        <f>ROUND(D29/1000,0)</f>
        <v>6624</v>
      </c>
      <c r="L29" s="188"/>
      <c r="M29" s="188"/>
      <c r="N29" s="179">
        <f>K29-'[14]oktobris'!K29</f>
        <v>550</v>
      </c>
      <c r="P29" s="570">
        <f t="shared" si="6"/>
        <v>6624</v>
      </c>
      <c r="Q29" s="1">
        <v>6074</v>
      </c>
      <c r="R29" s="570">
        <f t="shared" si="0"/>
        <v>550</v>
      </c>
    </row>
    <row r="30" spans="1:18" ht="12">
      <c r="A30" s="182" t="s">
        <v>7</v>
      </c>
      <c r="B30" s="179">
        <v>31084222</v>
      </c>
      <c r="C30" s="179">
        <v>28745990</v>
      </c>
      <c r="D30" s="179">
        <v>27529478.89</v>
      </c>
      <c r="E30" s="188" t="s">
        <v>744</v>
      </c>
      <c r="F30" s="181">
        <f>IF(ISERROR(D30/C30)," ",(D30/C30))*100</f>
        <v>95.76806674600527</v>
      </c>
      <c r="G30" s="179">
        <f>D30-'[14]oktobris'!D30</f>
        <v>2334044.9299999997</v>
      </c>
      <c r="H30" s="182" t="s">
        <v>7</v>
      </c>
      <c r="I30" s="179">
        <f>ROUND(B30/1000,0)</f>
        <v>31084</v>
      </c>
      <c r="J30" s="179">
        <f>ROUND(C30/1000,0)</f>
        <v>28746</v>
      </c>
      <c r="K30" s="179">
        <f>ROUND(D30/1000,0)</f>
        <v>27529</v>
      </c>
      <c r="L30" s="806">
        <f>IF(ISERROR(K30/I30)," ",(K30/I30))*100</f>
        <v>88.56324797323381</v>
      </c>
      <c r="M30" s="181">
        <f>IF(ISERROR(K30/J30)," ",(K30/J30))*100</f>
        <v>95.76636749460793</v>
      </c>
      <c r="N30" s="179">
        <f>K30-'[14]oktobris'!K30</f>
        <v>2334</v>
      </c>
      <c r="P30" s="570">
        <f t="shared" si="6"/>
        <v>27529</v>
      </c>
      <c r="Q30" s="1">
        <v>25195</v>
      </c>
      <c r="R30" s="570">
        <f t="shared" si="0"/>
        <v>2334</v>
      </c>
    </row>
    <row r="31" spans="1:18" ht="12">
      <c r="A31" s="182" t="s">
        <v>8</v>
      </c>
      <c r="B31" s="179"/>
      <c r="C31" s="179"/>
      <c r="D31" s="179"/>
      <c r="E31" s="188"/>
      <c r="F31" s="181"/>
      <c r="G31" s="179">
        <f>D31-'[14]oktobris'!D31</f>
        <v>-16.5</v>
      </c>
      <c r="H31" s="182" t="s">
        <v>8</v>
      </c>
      <c r="I31" s="179"/>
      <c r="J31" s="179"/>
      <c r="K31" s="179"/>
      <c r="L31" s="808"/>
      <c r="M31" s="181"/>
      <c r="N31" s="179">
        <f>K31-'[14]oktobris'!K31</f>
        <v>0</v>
      </c>
      <c r="P31" s="570">
        <f t="shared" si="6"/>
        <v>0</v>
      </c>
      <c r="R31" s="570">
        <f t="shared" si="0"/>
        <v>0</v>
      </c>
    </row>
    <row r="32" spans="1:18" ht="12">
      <c r="A32" s="182" t="s">
        <v>9</v>
      </c>
      <c r="B32" s="179">
        <v>77524226</v>
      </c>
      <c r="C32" s="179">
        <v>70522232</v>
      </c>
      <c r="D32" s="179">
        <v>70022469.81</v>
      </c>
      <c r="E32" s="188" t="s">
        <v>744</v>
      </c>
      <c r="F32" s="181">
        <f>IF(ISERROR(D32/C32)," ",(D32/C32))*100</f>
        <v>99.29134093487002</v>
      </c>
      <c r="G32" s="179">
        <f>D32-'[14]oktobris'!D32</f>
        <v>6514150.590000004</v>
      </c>
      <c r="H32" s="182" t="s">
        <v>9</v>
      </c>
      <c r="I32" s="179">
        <f>ROUND(B32/1000,0)</f>
        <v>77524</v>
      </c>
      <c r="J32" s="179">
        <f>ROUND(C32/1000,0)</f>
        <v>70522</v>
      </c>
      <c r="K32" s="179">
        <f>ROUND(D32/1000,0)</f>
        <v>70022</v>
      </c>
      <c r="L32" s="806">
        <f>IF(ISERROR(K32/I32)," ",(K32/I32))*100</f>
        <v>90.32299674939374</v>
      </c>
      <c r="M32" s="181">
        <f>IF(ISERROR(K32/J32)," ",(K32/J32))*100</f>
        <v>99.29100138963727</v>
      </c>
      <c r="N32" s="179">
        <f>K32-'[14]oktobris'!K32</f>
        <v>6514</v>
      </c>
      <c r="P32" s="570">
        <f t="shared" si="6"/>
        <v>70022</v>
      </c>
      <c r="Q32" s="1">
        <v>63508</v>
      </c>
      <c r="R32" s="570">
        <f t="shared" si="0"/>
        <v>6514</v>
      </c>
    </row>
    <row r="33" spans="1:18" ht="12">
      <c r="A33" s="194" t="s">
        <v>10</v>
      </c>
      <c r="B33" s="187" t="s">
        <v>744</v>
      </c>
      <c r="C33" s="187" t="s">
        <v>744</v>
      </c>
      <c r="D33" s="179">
        <v>2033299.68</v>
      </c>
      <c r="E33" s="188" t="s">
        <v>744</v>
      </c>
      <c r="F33" s="188" t="s">
        <v>744</v>
      </c>
      <c r="G33" s="179">
        <f>D33-'[14]oktobris'!D33</f>
        <v>192912.92999999993</v>
      </c>
      <c r="H33" s="194" t="s">
        <v>916</v>
      </c>
      <c r="I33" s="187"/>
      <c r="J33" s="187"/>
      <c r="K33" s="179">
        <f aca="true" t="shared" si="7" ref="K33:K39">ROUND(D33/1000,0)</f>
        <v>2033</v>
      </c>
      <c r="L33" s="188"/>
      <c r="M33" s="188"/>
      <c r="N33" s="179">
        <f>K33-'[14]oktobris'!K33</f>
        <v>193</v>
      </c>
      <c r="P33" s="570">
        <f t="shared" si="6"/>
        <v>2033</v>
      </c>
      <c r="Q33" s="1">
        <v>1840</v>
      </c>
      <c r="R33" s="570">
        <f t="shared" si="0"/>
        <v>193</v>
      </c>
    </row>
    <row r="34" spans="1:18" ht="12">
      <c r="A34" s="195" t="s">
        <v>11</v>
      </c>
      <c r="B34" s="187" t="s">
        <v>744</v>
      </c>
      <c r="C34" s="187" t="s">
        <v>744</v>
      </c>
      <c r="D34" s="179">
        <v>51376333.88</v>
      </c>
      <c r="E34" s="188" t="s">
        <v>744</v>
      </c>
      <c r="F34" s="188" t="s">
        <v>744</v>
      </c>
      <c r="G34" s="179">
        <f>D34-'[14]oktobris'!D34</f>
        <v>4718671.760000005</v>
      </c>
      <c r="H34" s="200" t="s">
        <v>917</v>
      </c>
      <c r="I34" s="187"/>
      <c r="J34" s="187"/>
      <c r="K34" s="179">
        <f t="shared" si="7"/>
        <v>51376</v>
      </c>
      <c r="L34" s="188"/>
      <c r="M34" s="188"/>
      <c r="N34" s="179">
        <f>K34-'[14]oktobris'!K34</f>
        <v>4718</v>
      </c>
      <c r="P34" s="570">
        <f t="shared" si="6"/>
        <v>51376</v>
      </c>
      <c r="Q34" s="1">
        <v>46658</v>
      </c>
      <c r="R34" s="570">
        <f t="shared" si="0"/>
        <v>4718</v>
      </c>
    </row>
    <row r="35" spans="1:18" ht="12">
      <c r="A35" s="195" t="s">
        <v>12</v>
      </c>
      <c r="B35" s="187" t="s">
        <v>744</v>
      </c>
      <c r="C35" s="187" t="s">
        <v>744</v>
      </c>
      <c r="D35" s="179">
        <v>6390527.03</v>
      </c>
      <c r="E35" s="188" t="s">
        <v>744</v>
      </c>
      <c r="F35" s="188" t="s">
        <v>744</v>
      </c>
      <c r="G35" s="179">
        <f>D35-'[14]oktobris'!D35</f>
        <v>674791.4900000002</v>
      </c>
      <c r="H35" s="195" t="s">
        <v>918</v>
      </c>
      <c r="I35" s="187"/>
      <c r="J35" s="187"/>
      <c r="K35" s="179">
        <f t="shared" si="7"/>
        <v>6391</v>
      </c>
      <c r="L35" s="188"/>
      <c r="M35" s="188"/>
      <c r="N35" s="179">
        <f>K35-'[14]oktobris'!K35</f>
        <v>675</v>
      </c>
      <c r="P35" s="570">
        <f t="shared" si="6"/>
        <v>6391</v>
      </c>
      <c r="Q35" s="1">
        <v>5716</v>
      </c>
      <c r="R35" s="570">
        <f t="shared" si="0"/>
        <v>675</v>
      </c>
    </row>
    <row r="36" spans="1:18" ht="12">
      <c r="A36" s="195" t="s">
        <v>13</v>
      </c>
      <c r="B36" s="187" t="s">
        <v>744</v>
      </c>
      <c r="C36" s="187" t="s">
        <v>744</v>
      </c>
      <c r="D36" s="179">
        <v>10222309.22</v>
      </c>
      <c r="E36" s="188" t="s">
        <v>744</v>
      </c>
      <c r="F36" s="188" t="s">
        <v>744</v>
      </c>
      <c r="G36" s="179">
        <f>D36-'[14]oktobris'!D36</f>
        <v>927774.4100000001</v>
      </c>
      <c r="H36" s="195" t="s">
        <v>919</v>
      </c>
      <c r="I36" s="187"/>
      <c r="J36" s="187"/>
      <c r="K36" s="179">
        <f t="shared" si="7"/>
        <v>10222</v>
      </c>
      <c r="L36" s="188"/>
      <c r="M36" s="188"/>
      <c r="N36" s="179">
        <f>K36-'[14]oktobris'!K36</f>
        <v>928</v>
      </c>
      <c r="P36" s="570">
        <f t="shared" si="6"/>
        <v>10222</v>
      </c>
      <c r="Q36" s="1">
        <v>9294</v>
      </c>
      <c r="R36" s="570">
        <f t="shared" si="0"/>
        <v>928</v>
      </c>
    </row>
    <row r="37" spans="1:18" ht="24">
      <c r="A37" s="182" t="s">
        <v>14</v>
      </c>
      <c r="B37" s="179">
        <v>8093966</v>
      </c>
      <c r="C37" s="179">
        <v>7533810</v>
      </c>
      <c r="D37" s="179">
        <v>6600517.3</v>
      </c>
      <c r="E37" s="180">
        <f>IF(ISERROR(D37/B37)," ",(D37/B37))*100</f>
        <v>81.54861658672645</v>
      </c>
      <c r="F37" s="181">
        <f>IF(ISERROR(D37/C37)," ",(D37/C37))*100</f>
        <v>87.6119426956613</v>
      </c>
      <c r="G37" s="179">
        <f>D37-'[14]oktobris'!D37</f>
        <v>290513.4199999999</v>
      </c>
      <c r="H37" s="182" t="s">
        <v>14</v>
      </c>
      <c r="I37" s="179">
        <f>ROUND(B37/1000,0)</f>
        <v>8094</v>
      </c>
      <c r="J37" s="179">
        <f>ROUND(C37/1000,0)</f>
        <v>7534</v>
      </c>
      <c r="K37" s="179">
        <f t="shared" si="7"/>
        <v>6601</v>
      </c>
      <c r="L37" s="180">
        <f>IF(ISERROR(K37/I37)," ",(K37/I37))*100</f>
        <v>81.55423770694341</v>
      </c>
      <c r="M37" s="181">
        <f>IF(ISERROR(K37/J37)," ",(K37/J37))*100</f>
        <v>87.61614016458721</v>
      </c>
      <c r="N37" s="179">
        <f>K37-'[14]oktobris'!K37</f>
        <v>291</v>
      </c>
      <c r="P37" s="570">
        <f t="shared" si="6"/>
        <v>6601</v>
      </c>
      <c r="Q37" s="1">
        <v>6310</v>
      </c>
      <c r="R37" s="570">
        <f t="shared" si="0"/>
        <v>291</v>
      </c>
    </row>
    <row r="38" spans="1:18" ht="12">
      <c r="A38" s="196" t="s">
        <v>15</v>
      </c>
      <c r="B38" s="187" t="s">
        <v>744</v>
      </c>
      <c r="C38" s="179">
        <v>189996600</v>
      </c>
      <c r="D38" s="179">
        <v>59514948</v>
      </c>
      <c r="E38" s="188" t="s">
        <v>744</v>
      </c>
      <c r="F38" s="181">
        <f>IF(ISERROR(D38/C38)," ",(D38/C38))*100</f>
        <v>31.32421738073208</v>
      </c>
      <c r="G38" s="179">
        <f>D38-'[14]oktobris'!D38</f>
        <v>4274215</v>
      </c>
      <c r="H38" s="196" t="s">
        <v>15</v>
      </c>
      <c r="I38" s="187"/>
      <c r="J38" s="179">
        <f>ROUND(C38/1000,0)</f>
        <v>189997</v>
      </c>
      <c r="K38" s="179">
        <f t="shared" si="7"/>
        <v>59515</v>
      </c>
      <c r="L38" s="188"/>
      <c r="M38" s="181">
        <f>IF(ISERROR(K38/J38)," ",(K38/J38))*100</f>
        <v>31.324178802823205</v>
      </c>
      <c r="N38" s="179">
        <f>K38-'[14]oktobris'!K38</f>
        <v>4275</v>
      </c>
      <c r="P38" s="570">
        <f t="shared" si="6"/>
        <v>59515</v>
      </c>
      <c r="Q38" s="1">
        <v>55240</v>
      </c>
      <c r="R38" s="570">
        <f t="shared" si="0"/>
        <v>4275</v>
      </c>
    </row>
    <row r="39" spans="1:18" ht="12">
      <c r="A39" s="195" t="s">
        <v>16</v>
      </c>
      <c r="B39" s="187" t="s">
        <v>744</v>
      </c>
      <c r="C39" s="187" t="s">
        <v>744</v>
      </c>
      <c r="D39" s="179">
        <v>59514948</v>
      </c>
      <c r="E39" s="188" t="s">
        <v>744</v>
      </c>
      <c r="F39" s="188" t="s">
        <v>744</v>
      </c>
      <c r="G39" s="179">
        <f>D39-'[14]oktobris'!D39</f>
        <v>4274215</v>
      </c>
      <c r="H39" s="195" t="s">
        <v>16</v>
      </c>
      <c r="I39" s="187"/>
      <c r="J39" s="187"/>
      <c r="K39" s="179">
        <f t="shared" si="7"/>
        <v>59515</v>
      </c>
      <c r="L39" s="188"/>
      <c r="M39" s="188"/>
      <c r="N39" s="179">
        <f>K39-'[14]oktobris'!K39</f>
        <v>4275</v>
      </c>
      <c r="P39" s="570">
        <f t="shared" si="6"/>
        <v>59515</v>
      </c>
      <c r="Q39" s="1">
        <v>55239</v>
      </c>
      <c r="R39" s="570">
        <f t="shared" si="0"/>
        <v>4276</v>
      </c>
    </row>
    <row r="40" spans="1:18" ht="12">
      <c r="A40" s="196" t="s">
        <v>17</v>
      </c>
      <c r="B40" s="187" t="s">
        <v>744</v>
      </c>
      <c r="C40" s="187" t="s">
        <v>744</v>
      </c>
      <c r="D40" s="187"/>
      <c r="E40" s="188" t="s">
        <v>744</v>
      </c>
      <c r="F40" s="188" t="s">
        <v>744</v>
      </c>
      <c r="G40" s="179">
        <f>D40-'[14]oktobris'!D40</f>
        <v>0</v>
      </c>
      <c r="H40" s="196" t="s">
        <v>17</v>
      </c>
      <c r="I40" s="187"/>
      <c r="J40" s="187"/>
      <c r="K40" s="187"/>
      <c r="L40" s="188"/>
      <c r="M40" s="188"/>
      <c r="N40" s="179">
        <f>K40-'[14]oktobris'!K40</f>
        <v>0</v>
      </c>
      <c r="P40" s="570">
        <f t="shared" si="6"/>
        <v>0</v>
      </c>
      <c r="R40" s="570">
        <f t="shared" si="0"/>
        <v>0</v>
      </c>
    </row>
    <row r="41" spans="1:18" ht="12">
      <c r="A41" s="197" t="s">
        <v>18</v>
      </c>
      <c r="B41" s="174">
        <v>77641969</v>
      </c>
      <c r="C41" s="174">
        <f>C42+C43</f>
        <v>71631169</v>
      </c>
      <c r="D41" s="174">
        <f>D42+D43</f>
        <v>51003046.61</v>
      </c>
      <c r="E41" s="191">
        <f>IF(ISERROR(D41/B41)," ",(D41/B41))*100</f>
        <v>65.69004787861576</v>
      </c>
      <c r="F41" s="198">
        <f>IF(ISERROR(D41/C41)," ",(D41/C41))*100</f>
        <v>71.2023094443705</v>
      </c>
      <c r="G41" s="179">
        <f>D41-'[14]oktobris'!D41</f>
        <v>5147361</v>
      </c>
      <c r="H41" s="197" t="s">
        <v>18</v>
      </c>
      <c r="I41" s="174">
        <f aca="true" t="shared" si="8" ref="I41:J43">ROUND(B41/1000,0)</f>
        <v>77642</v>
      </c>
      <c r="J41" s="174">
        <f t="shared" si="8"/>
        <v>71631</v>
      </c>
      <c r="K41" s="174">
        <f>K42+K43</f>
        <v>51003</v>
      </c>
      <c r="L41" s="192">
        <f>IF(ISERROR(K41/I41)," ",(K41/I41))*100</f>
        <v>65.68996161871152</v>
      </c>
      <c r="M41" s="192">
        <f>IF(ISERROR(K41/J41)," ",(K41/J41))*100</f>
        <v>71.20241236336223</v>
      </c>
      <c r="N41" s="179">
        <f>K41-'[14]oktobris'!K41</f>
        <v>5147</v>
      </c>
      <c r="P41" s="570">
        <f t="shared" si="6"/>
        <v>51003</v>
      </c>
      <c r="Q41" s="1">
        <v>45856</v>
      </c>
      <c r="R41" s="570">
        <f t="shared" si="0"/>
        <v>5147</v>
      </c>
    </row>
    <row r="42" spans="1:18" ht="12">
      <c r="A42" s="199" t="s">
        <v>19</v>
      </c>
      <c r="B42" s="179">
        <v>20123909</v>
      </c>
      <c r="C42" s="179">
        <v>18837551</v>
      </c>
      <c r="D42" s="179">
        <v>13638609.38</v>
      </c>
      <c r="E42" s="180">
        <f>IF(ISERROR(D42/B42)," ",(D42/B42))*100</f>
        <v>67.77316166555912</v>
      </c>
      <c r="F42" s="188">
        <f>IF(ISERROR(D42/C42)," ",(D42/C42))*100</f>
        <v>72.40118091783799</v>
      </c>
      <c r="G42" s="179">
        <f>D42-'[14]oktobris'!D42</f>
        <v>1463153.4700000007</v>
      </c>
      <c r="H42" s="199" t="s">
        <v>19</v>
      </c>
      <c r="I42" s="179">
        <f t="shared" si="8"/>
        <v>20124</v>
      </c>
      <c r="J42" s="179">
        <f t="shared" si="8"/>
        <v>18838</v>
      </c>
      <c r="K42" s="179">
        <f>ROUND(D42/1000,0)</f>
        <v>13639</v>
      </c>
      <c r="L42" s="181">
        <f>IF(ISERROR(K42/I42)," ",(K42/I42))*100</f>
        <v>67.77479626316835</v>
      </c>
      <c r="M42" s="181">
        <f>IF(ISERROR(K42/J42)," ",(K42/J42))*100</f>
        <v>72.401528824716</v>
      </c>
      <c r="N42" s="179">
        <f>K42-'[14]oktobris'!K42</f>
        <v>1463</v>
      </c>
      <c r="P42" s="570">
        <f t="shared" si="6"/>
        <v>13639</v>
      </c>
      <c r="Q42" s="1">
        <v>12176</v>
      </c>
      <c r="R42" s="570">
        <f t="shared" si="0"/>
        <v>1463</v>
      </c>
    </row>
    <row r="43" spans="1:18" ht="12">
      <c r="A43" s="182" t="s">
        <v>20</v>
      </c>
      <c r="B43" s="179">
        <v>57518060</v>
      </c>
      <c r="C43" s="179">
        <v>52793618</v>
      </c>
      <c r="D43" s="179">
        <v>37364437.23</v>
      </c>
      <c r="E43" s="180">
        <f>IF(ISERROR(D43/B43)," ",(D43/B43))*100</f>
        <v>64.96122649129681</v>
      </c>
      <c r="F43" s="188">
        <f>IF(ISERROR(D43/C43)," ",(D43/C43))*100</f>
        <v>70.77453420600952</v>
      </c>
      <c r="G43" s="179">
        <f>D43-'[14]oktobris'!D43</f>
        <v>3684207.5299999937</v>
      </c>
      <c r="H43" s="182" t="s">
        <v>20</v>
      </c>
      <c r="I43" s="179">
        <f t="shared" si="8"/>
        <v>57518</v>
      </c>
      <c r="J43" s="179">
        <f t="shared" si="8"/>
        <v>52794</v>
      </c>
      <c r="K43" s="179">
        <f>ROUND(D43/1000,0)</f>
        <v>37364</v>
      </c>
      <c r="L43" s="181">
        <f>IF(ISERROR(K43/I43)," ",(K43/I43))*100</f>
        <v>64.96053409367502</v>
      </c>
      <c r="M43" s="181">
        <f>IF(ISERROR(K43/J43)," ",(K43/J43))*100</f>
        <v>70.77319392355191</v>
      </c>
      <c r="N43" s="179">
        <f>K43-'[14]oktobris'!K43</f>
        <v>3684</v>
      </c>
      <c r="P43" s="570">
        <f t="shared" si="6"/>
        <v>37364</v>
      </c>
      <c r="Q43" s="1">
        <v>33680</v>
      </c>
      <c r="R43" s="570">
        <f t="shared" si="0"/>
        <v>3684</v>
      </c>
    </row>
    <row r="44" spans="1:18" ht="12">
      <c r="A44" s="200" t="s">
        <v>21</v>
      </c>
      <c r="B44" s="187" t="s">
        <v>744</v>
      </c>
      <c r="C44" s="187" t="s">
        <v>744</v>
      </c>
      <c r="D44" s="179">
        <v>751400</v>
      </c>
      <c r="E44" s="188" t="s">
        <v>744</v>
      </c>
      <c r="F44" s="188" t="s">
        <v>744</v>
      </c>
      <c r="G44" s="179">
        <f>D44-'[14]oktobris'!D44</f>
        <v>7500</v>
      </c>
      <c r="H44" s="200" t="s">
        <v>21</v>
      </c>
      <c r="I44" s="187"/>
      <c r="J44" s="179"/>
      <c r="K44" s="179">
        <f>ROUND(D44/1000,0)</f>
        <v>751</v>
      </c>
      <c r="L44" s="188"/>
      <c r="M44" s="188"/>
      <c r="N44" s="179">
        <f>K44-'[14]oktobris'!K44</f>
        <v>6</v>
      </c>
      <c r="P44" s="570">
        <f t="shared" si="6"/>
        <v>751</v>
      </c>
      <c r="Q44" s="1">
        <v>744</v>
      </c>
      <c r="R44" s="570">
        <f t="shared" si="0"/>
        <v>7</v>
      </c>
    </row>
    <row r="45" spans="1:18" ht="12">
      <c r="A45" s="200" t="s">
        <v>22</v>
      </c>
      <c r="B45" s="187" t="s">
        <v>744</v>
      </c>
      <c r="C45" s="187" t="s">
        <v>744</v>
      </c>
      <c r="D45" s="179">
        <v>8171691</v>
      </c>
      <c r="E45" s="188" t="s">
        <v>744</v>
      </c>
      <c r="F45" s="188" t="s">
        <v>744</v>
      </c>
      <c r="G45" s="179">
        <f>D45-'[14]oktobris'!D45</f>
        <v>925865</v>
      </c>
      <c r="H45" s="200" t="s">
        <v>22</v>
      </c>
      <c r="I45" s="187"/>
      <c r="J45" s="179"/>
      <c r="K45" s="179">
        <f aca="true" t="shared" si="9" ref="K45:K50">ROUND(D45/1000,0)</f>
        <v>8172</v>
      </c>
      <c r="L45" s="188"/>
      <c r="M45" s="188"/>
      <c r="N45" s="179">
        <f>K45-'[14]oktobris'!K45</f>
        <v>926</v>
      </c>
      <c r="P45" s="570">
        <f t="shared" si="6"/>
        <v>8172</v>
      </c>
      <c r="Q45" s="1">
        <v>7246</v>
      </c>
      <c r="R45" s="570">
        <f t="shared" si="0"/>
        <v>926</v>
      </c>
    </row>
    <row r="46" spans="1:18" ht="24">
      <c r="A46" s="173" t="s">
        <v>23</v>
      </c>
      <c r="B46" s="174">
        <v>48031380</v>
      </c>
      <c r="C46" s="113" t="s">
        <v>268</v>
      </c>
      <c r="D46" s="174">
        <v>33523570</v>
      </c>
      <c r="E46" s="180">
        <f>IF(ISERROR(D46/B46)," ",(D46/B46))*100</f>
        <v>69.79514225908146</v>
      </c>
      <c r="F46" s="188"/>
      <c r="G46" s="179">
        <f>D46-'[14]oktobris'!D46</f>
        <v>2473533</v>
      </c>
      <c r="H46" s="173" t="s">
        <v>23</v>
      </c>
      <c r="I46" s="174">
        <f>ROUND(B46/1000,0)</f>
        <v>48031</v>
      </c>
      <c r="J46" s="174"/>
      <c r="K46" s="174">
        <f>ROUND(D46/1000,0)-1</f>
        <v>33523</v>
      </c>
      <c r="L46" s="191">
        <f>IF(ISERROR(K46/I46)," ",(K46/I46))*100</f>
        <v>69.7945077137682</v>
      </c>
      <c r="M46" s="198"/>
      <c r="N46" s="179">
        <f>K46-'[14]oktobris'!K46</f>
        <v>2473</v>
      </c>
      <c r="P46" s="570">
        <f t="shared" si="6"/>
        <v>33523</v>
      </c>
      <c r="Q46" s="1">
        <v>31050</v>
      </c>
      <c r="R46" s="570">
        <f t="shared" si="0"/>
        <v>2473</v>
      </c>
    </row>
    <row r="47" spans="1:18" ht="12">
      <c r="A47" s="186" t="s">
        <v>24</v>
      </c>
      <c r="B47" s="187" t="s">
        <v>744</v>
      </c>
      <c r="C47" s="187" t="s">
        <v>744</v>
      </c>
      <c r="D47" s="179">
        <v>69749489</v>
      </c>
      <c r="E47" s="188" t="s">
        <v>744</v>
      </c>
      <c r="F47" s="188" t="s">
        <v>744</v>
      </c>
      <c r="G47" s="179">
        <f>D47-'[14]oktobris'!D47</f>
        <v>7309473</v>
      </c>
      <c r="H47" s="186" t="s">
        <v>24</v>
      </c>
      <c r="I47" s="187"/>
      <c r="J47" s="187"/>
      <c r="K47" s="179">
        <f t="shared" si="9"/>
        <v>69749</v>
      </c>
      <c r="L47" s="188"/>
      <c r="M47" s="188"/>
      <c r="N47" s="179">
        <f>K47-'[14]oktobris'!K47</f>
        <v>7309</v>
      </c>
      <c r="P47" s="570">
        <f t="shared" si="6"/>
        <v>69749</v>
      </c>
      <c r="Q47" s="1">
        <v>62440</v>
      </c>
      <c r="R47" s="570">
        <f t="shared" si="0"/>
        <v>7309</v>
      </c>
    </row>
    <row r="48" spans="1:18" ht="12">
      <c r="A48" s="201" t="s">
        <v>25</v>
      </c>
      <c r="B48" s="187" t="s">
        <v>744</v>
      </c>
      <c r="C48" s="187" t="s">
        <v>744</v>
      </c>
      <c r="D48" s="179">
        <v>39610129</v>
      </c>
      <c r="E48" s="188" t="s">
        <v>744</v>
      </c>
      <c r="F48" s="188" t="s">
        <v>744</v>
      </c>
      <c r="G48" s="179">
        <f>D48-'[14]oktobris'!D48</f>
        <v>3829499</v>
      </c>
      <c r="H48" s="201" t="s">
        <v>25</v>
      </c>
      <c r="I48" s="187"/>
      <c r="J48" s="187"/>
      <c r="K48" s="179">
        <f t="shared" si="9"/>
        <v>39610</v>
      </c>
      <c r="L48" s="188"/>
      <c r="M48" s="188"/>
      <c r="N48" s="179">
        <f>K48-'[14]oktobris'!K48</f>
        <v>3829</v>
      </c>
      <c r="P48" s="570">
        <f t="shared" si="6"/>
        <v>39610</v>
      </c>
      <c r="Q48" s="1">
        <v>35781</v>
      </c>
      <c r="R48" s="570">
        <f t="shared" si="0"/>
        <v>3829</v>
      </c>
    </row>
    <row r="49" spans="1:18" ht="12">
      <c r="A49" s="196" t="s">
        <v>26</v>
      </c>
      <c r="B49" s="187" t="s">
        <v>744</v>
      </c>
      <c r="C49" s="187" t="s">
        <v>744</v>
      </c>
      <c r="D49" s="179">
        <v>36225919</v>
      </c>
      <c r="E49" s="188" t="s">
        <v>744</v>
      </c>
      <c r="F49" s="188" t="s">
        <v>744</v>
      </c>
      <c r="G49" s="179">
        <f>D49-'[14]oktobris'!D49</f>
        <v>4835940</v>
      </c>
      <c r="H49" s="196" t="s">
        <v>26</v>
      </c>
      <c r="I49" s="187"/>
      <c r="J49" s="187"/>
      <c r="K49" s="179">
        <f t="shared" si="9"/>
        <v>36226</v>
      </c>
      <c r="L49" s="188"/>
      <c r="M49" s="188"/>
      <c r="N49" s="179">
        <f>K49-'[14]oktobris'!K49</f>
        <v>4836</v>
      </c>
      <c r="P49" s="570">
        <f t="shared" si="6"/>
        <v>36226</v>
      </c>
      <c r="Q49" s="1">
        <v>31390</v>
      </c>
      <c r="R49" s="570">
        <f t="shared" si="0"/>
        <v>4836</v>
      </c>
    </row>
    <row r="50" spans="1:18" ht="12">
      <c r="A50" s="201" t="s">
        <v>27</v>
      </c>
      <c r="B50" s="187" t="s">
        <v>744</v>
      </c>
      <c r="C50" s="187" t="s">
        <v>744</v>
      </c>
      <c r="D50" s="179">
        <v>9091353</v>
      </c>
      <c r="E50" s="188" t="s">
        <v>744</v>
      </c>
      <c r="F50" s="188" t="s">
        <v>744</v>
      </c>
      <c r="G50" s="179">
        <f>D50-'[14]oktobris'!D50</f>
        <v>2222746</v>
      </c>
      <c r="H50" s="201" t="s">
        <v>27</v>
      </c>
      <c r="I50" s="187"/>
      <c r="J50" s="187"/>
      <c r="K50" s="179">
        <f t="shared" si="9"/>
        <v>9091</v>
      </c>
      <c r="L50" s="188"/>
      <c r="M50" s="188"/>
      <c r="N50" s="179">
        <f>K50-'[14]oktobris'!K50</f>
        <v>2222</v>
      </c>
      <c r="P50" s="570">
        <f t="shared" si="6"/>
        <v>9091</v>
      </c>
      <c r="Q50" s="1">
        <v>6869</v>
      </c>
      <c r="R50" s="570">
        <f t="shared" si="0"/>
        <v>2222</v>
      </c>
    </row>
    <row r="51" spans="1:18" ht="12">
      <c r="A51" s="186" t="s">
        <v>28</v>
      </c>
      <c r="B51" s="179">
        <v>-84749496</v>
      </c>
      <c r="C51" s="187" t="s">
        <v>744</v>
      </c>
      <c r="D51" s="179">
        <v>-45256012</v>
      </c>
      <c r="E51" s="188" t="s">
        <v>744</v>
      </c>
      <c r="F51" s="188" t="s">
        <v>744</v>
      </c>
      <c r="G51" s="179">
        <f>D51-'[14]oktobris'!D51</f>
        <v>-8188990</v>
      </c>
      <c r="H51" s="186" t="s">
        <v>28</v>
      </c>
      <c r="I51" s="179">
        <f>ROUND(B51/1000,0)-1</f>
        <v>-84750</v>
      </c>
      <c r="J51" s="187"/>
      <c r="K51" s="179">
        <f>ROUND(D51/1000,0)+1</f>
        <v>-45255</v>
      </c>
      <c r="L51" s="188">
        <f>IF(ISERROR(K51/I51)," ",(K51/I51))*100</f>
        <v>53.39823008849558</v>
      </c>
      <c r="M51" s="188"/>
      <c r="N51" s="179">
        <f>K51-'[14]oktobris'!K51</f>
        <v>-8188</v>
      </c>
      <c r="P51" s="570">
        <f t="shared" si="6"/>
        <v>-45255</v>
      </c>
      <c r="Q51" s="1">
        <v>-37067</v>
      </c>
      <c r="R51" s="570">
        <f t="shared" si="0"/>
        <v>-8188</v>
      </c>
    </row>
    <row r="52" spans="1:18" ht="12">
      <c r="A52" s="107" t="s">
        <v>29</v>
      </c>
      <c r="B52" s="179">
        <v>84749496</v>
      </c>
      <c r="C52" s="187" t="s">
        <v>744</v>
      </c>
      <c r="D52" s="179">
        <v>45256012</v>
      </c>
      <c r="E52" s="188" t="s">
        <v>744</v>
      </c>
      <c r="F52" s="188" t="s">
        <v>744</v>
      </c>
      <c r="G52" s="179">
        <f>D52-'[14]oktobris'!D52</f>
        <v>8188990</v>
      </c>
      <c r="H52" s="107" t="s">
        <v>29</v>
      </c>
      <c r="I52" s="179">
        <f>ROUND(B52/1000,0)+1</f>
        <v>84750</v>
      </c>
      <c r="J52" s="187"/>
      <c r="K52" s="179">
        <f>SUM(K53:K56)</f>
        <v>45255</v>
      </c>
      <c r="L52" s="188">
        <f>IF(ISERROR(K52/I52)," ",(K52/I52))*100</f>
        <v>53.39823008849558</v>
      </c>
      <c r="M52" s="188"/>
      <c r="N52" s="179">
        <f>K52-'[14]oktobris'!K52</f>
        <v>8188</v>
      </c>
      <c r="P52" s="570">
        <f t="shared" si="6"/>
        <v>45255</v>
      </c>
      <c r="Q52" s="1">
        <v>37067</v>
      </c>
      <c r="R52" s="570">
        <f t="shared" si="0"/>
        <v>8188</v>
      </c>
    </row>
    <row r="53" spans="1:18" ht="24">
      <c r="A53" s="202" t="s">
        <v>30</v>
      </c>
      <c r="B53" s="179">
        <v>17266744</v>
      </c>
      <c r="C53" s="187" t="s">
        <v>744</v>
      </c>
      <c r="D53" s="179">
        <v>15637800</v>
      </c>
      <c r="E53" s="188" t="s">
        <v>744</v>
      </c>
      <c r="F53" s="188" t="s">
        <v>744</v>
      </c>
      <c r="G53" s="179">
        <f>D53-'[14]oktobris'!D53</f>
        <v>1087500</v>
      </c>
      <c r="H53" s="202" t="s">
        <v>30</v>
      </c>
      <c r="I53" s="179">
        <f>ROUND(B53/1000,0)</f>
        <v>17267</v>
      </c>
      <c r="J53" s="187"/>
      <c r="K53" s="179">
        <f>ROUND(D53/1000,0)</f>
        <v>15638</v>
      </c>
      <c r="L53" s="188">
        <f>IF(ISERROR(K53/I53)," ",(K53/I53))*100</f>
        <v>90.56581919267967</v>
      </c>
      <c r="M53" s="188"/>
      <c r="N53" s="179">
        <f>K53-'[14]oktobris'!K53</f>
        <v>1088</v>
      </c>
      <c r="P53" s="570">
        <f t="shared" si="6"/>
        <v>15638</v>
      </c>
      <c r="Q53" s="1">
        <v>14550</v>
      </c>
      <c r="R53" s="570">
        <f t="shared" si="0"/>
        <v>1088</v>
      </c>
    </row>
    <row r="54" spans="1:18" ht="24">
      <c r="A54" s="202" t="s">
        <v>34</v>
      </c>
      <c r="B54" s="179">
        <v>800000</v>
      </c>
      <c r="C54" s="187" t="s">
        <v>744</v>
      </c>
      <c r="D54" s="179">
        <v>882575.19</v>
      </c>
      <c r="E54" s="188" t="s">
        <v>744</v>
      </c>
      <c r="F54" s="188" t="s">
        <v>744</v>
      </c>
      <c r="G54" s="179">
        <f>D54-'[14]oktobris'!D54</f>
        <v>0</v>
      </c>
      <c r="H54" s="202" t="s">
        <v>34</v>
      </c>
      <c r="I54" s="179">
        <f>ROUND(B54/1000,0)</f>
        <v>800</v>
      </c>
      <c r="J54" s="187"/>
      <c r="K54" s="179">
        <f>ROUND(D54/1000,0)</f>
        <v>883</v>
      </c>
      <c r="L54" s="188">
        <f>IF(ISERROR(K54/I54)," ",(K54/I54))*100</f>
        <v>110.375</v>
      </c>
      <c r="M54" s="188"/>
      <c r="N54" s="179">
        <f>K54-'[14]oktobris'!K54</f>
        <v>0</v>
      </c>
      <c r="P54" s="570">
        <f t="shared" si="6"/>
        <v>883</v>
      </c>
      <c r="Q54" s="1">
        <v>883</v>
      </c>
      <c r="R54" s="570">
        <f t="shared" si="0"/>
        <v>0</v>
      </c>
    </row>
    <row r="55" spans="1:18" ht="12">
      <c r="A55" s="117" t="s">
        <v>31</v>
      </c>
      <c r="B55" s="179">
        <v>66179118</v>
      </c>
      <c r="C55" s="187" t="s">
        <v>744</v>
      </c>
      <c r="D55" s="187">
        <v>28235645</v>
      </c>
      <c r="E55" s="188" t="s">
        <v>744</v>
      </c>
      <c r="F55" s="188" t="s">
        <v>744</v>
      </c>
      <c r="G55" s="179">
        <f>D55-'[14]oktobris'!D55</f>
        <v>7094397</v>
      </c>
      <c r="H55" s="117" t="s">
        <v>548</v>
      </c>
      <c r="I55" s="179">
        <f>ROUND(B55/1000,0)</f>
        <v>66179</v>
      </c>
      <c r="J55" s="187"/>
      <c r="K55" s="179">
        <f>ROUND(D55/1000,0)-2</f>
        <v>28234</v>
      </c>
      <c r="L55" s="188">
        <f>IF(ISERROR(K55/I55)," ",(K55/I55))*100</f>
        <v>42.663080433370105</v>
      </c>
      <c r="M55" s="188"/>
      <c r="N55" s="179">
        <f>K55-'[14]oktobris'!K55</f>
        <v>7093</v>
      </c>
      <c r="P55" s="570">
        <f t="shared" si="6"/>
        <v>28234</v>
      </c>
      <c r="Q55" s="1">
        <v>21141</v>
      </c>
      <c r="R55" s="570">
        <f t="shared" si="0"/>
        <v>7093</v>
      </c>
    </row>
    <row r="56" spans="1:18" ht="48">
      <c r="A56" s="7" t="s">
        <v>801</v>
      </c>
      <c r="B56" s="1">
        <v>503634</v>
      </c>
      <c r="C56" s="1">
        <v>499992</v>
      </c>
      <c r="D56" s="89">
        <v>499992</v>
      </c>
      <c r="E56" s="787"/>
      <c r="F56" s="448"/>
      <c r="G56" s="179">
        <f>D56-'[14]oktobris'!D56</f>
        <v>7093</v>
      </c>
      <c r="H56" s="67" t="s">
        <v>549</v>
      </c>
      <c r="I56" s="66">
        <f>ROUND(B56/1000,0)</f>
        <v>504</v>
      </c>
      <c r="J56" s="179">
        <f>ROUND(C56/1000,0)</f>
        <v>500</v>
      </c>
      <c r="K56" s="179">
        <f>ROUND(D56/1000,0)</f>
        <v>500</v>
      </c>
      <c r="L56" s="66"/>
      <c r="M56" s="66"/>
      <c r="N56" s="179">
        <f>K56-'[14]oktobris'!K56</f>
        <v>7</v>
      </c>
      <c r="P56" s="570">
        <f t="shared" si="6"/>
        <v>500</v>
      </c>
      <c r="Q56" s="1">
        <v>493</v>
      </c>
      <c r="R56" s="570">
        <f t="shared" si="0"/>
        <v>7</v>
      </c>
    </row>
    <row r="58" spans="1:13" ht="12.75">
      <c r="A58" s="86" t="s">
        <v>32</v>
      </c>
      <c r="B58" s="89"/>
      <c r="C58" s="89"/>
      <c r="F58" s="89" t="s">
        <v>959</v>
      </c>
      <c r="H58" s="203" t="s">
        <v>315</v>
      </c>
      <c r="I58" s="205"/>
      <c r="J58" s="89"/>
      <c r="M58" s="89"/>
    </row>
    <row r="59" spans="8:9" ht="12.75">
      <c r="H59" s="203"/>
      <c r="I59" s="205"/>
    </row>
    <row r="65" spans="8:12" ht="12">
      <c r="H65" s="1" t="s">
        <v>32</v>
      </c>
      <c r="L65" s="1" t="s">
        <v>959</v>
      </c>
    </row>
    <row r="66" spans="2:5" ht="12">
      <c r="B66" s="89"/>
      <c r="C66" s="89"/>
      <c r="E66" s="89"/>
    </row>
    <row r="70" ht="12">
      <c r="H70" s="1" t="s">
        <v>960</v>
      </c>
    </row>
    <row r="71" ht="12">
      <c r="H71" s="1" t="s">
        <v>316</v>
      </c>
    </row>
    <row r="75" ht="12">
      <c r="A75" s="1" t="s">
        <v>838</v>
      </c>
    </row>
    <row r="76" ht="12">
      <c r="A76" s="86" t="s">
        <v>33</v>
      </c>
    </row>
  </sheetData>
  <mergeCells count="6">
    <mergeCell ref="F7:G7"/>
    <mergeCell ref="M7:N7"/>
    <mergeCell ref="A4:G4"/>
    <mergeCell ref="H4:N4"/>
    <mergeCell ref="A5:F5"/>
    <mergeCell ref="H5:M5"/>
  </mergeCells>
  <printOptions horizontalCentered="1"/>
  <pageMargins left="0.9448818897637796" right="0.2755905511811024" top="0.984251968503937" bottom="0.984251968503937" header="0.5118110236220472" footer="0.5118110236220472"/>
  <pageSetup firstPageNumber="13" useFirstPageNumber="1" horizontalDpi="600" verticalDpi="600" orientation="portrait" paperSize="9" scale="85" r:id="rId1"/>
  <headerFooter alignWithMargins="0">
    <oddFooter>&amp;R&amp;9&amp;P</oddFooter>
  </headerFooter>
  <rowBreaks count="1" manualBreakCount="1">
    <brk id="51" min="7" max="13" man="1"/>
  </rowBreaks>
  <colBreaks count="1" manualBreakCount="1">
    <brk id="6" max="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107"/>
  <sheetViews>
    <sheetView workbookViewId="0" topLeftCell="H1">
      <selection activeCell="H6" sqref="H6"/>
    </sheetView>
  </sheetViews>
  <sheetFormatPr defaultColWidth="9.140625" defaultRowHeight="12.75"/>
  <cols>
    <col min="1" max="1" width="45.00390625" style="49" hidden="1" customWidth="1"/>
    <col min="2" max="2" width="9.28125" style="49" hidden="1" customWidth="1"/>
    <col min="3" max="3" width="13.140625" style="49" hidden="1" customWidth="1"/>
    <col min="4" max="4" width="12.140625" style="49" hidden="1" customWidth="1"/>
    <col min="5" max="5" width="10.28125" style="49" hidden="1" customWidth="1"/>
    <col min="6" max="6" width="12.140625" style="49" hidden="1" customWidth="1"/>
    <col min="7" max="7" width="7.8515625" style="49" hidden="1" customWidth="1"/>
    <col min="8" max="8" width="46.8515625" style="49" customWidth="1"/>
    <col min="9" max="9" width="9.8515625" style="49" customWidth="1"/>
    <col min="10" max="10" width="12.421875" style="49" customWidth="1"/>
    <col min="11" max="11" width="7.57421875" style="49" customWidth="1"/>
    <col min="12" max="12" width="7.140625" style="49" customWidth="1"/>
    <col min="13" max="13" width="10.7109375" style="49" customWidth="1"/>
    <col min="14" max="15" width="7.8515625" style="49" customWidth="1"/>
    <col min="16" max="16" width="16.421875" style="49" customWidth="1"/>
    <col min="17" max="17" width="14.00390625" style="0" customWidth="1"/>
    <col min="18" max="18" width="17.421875" style="0" customWidth="1"/>
  </cols>
  <sheetData>
    <row r="1" spans="5:13" ht="12.75">
      <c r="E1" s="86" t="s">
        <v>35</v>
      </c>
      <c r="H1" s="203"/>
      <c r="I1" s="203"/>
      <c r="J1" s="203"/>
      <c r="K1" s="203"/>
      <c r="L1" s="204" t="s">
        <v>35</v>
      </c>
      <c r="M1" s="203"/>
    </row>
    <row r="2" spans="1:13" ht="15">
      <c r="A2" s="865" t="s">
        <v>926</v>
      </c>
      <c r="B2" s="865"/>
      <c r="C2" s="865"/>
      <c r="D2" s="865"/>
      <c r="E2" s="865"/>
      <c r="H2" s="864" t="s">
        <v>926</v>
      </c>
      <c r="I2" s="864"/>
      <c r="J2" s="864"/>
      <c r="K2" s="864"/>
      <c r="L2" s="864"/>
      <c r="M2" s="203"/>
    </row>
    <row r="3" spans="8:13" ht="12.75">
      <c r="H3" s="203"/>
      <c r="I3" s="203"/>
      <c r="J3" s="203"/>
      <c r="K3" s="203"/>
      <c r="L3" s="203"/>
      <c r="M3" s="203"/>
    </row>
    <row r="4" spans="1:13" ht="15.75">
      <c r="A4" s="856" t="s">
        <v>36</v>
      </c>
      <c r="B4" s="856"/>
      <c r="C4" s="856"/>
      <c r="D4" s="856"/>
      <c r="E4" s="856"/>
      <c r="H4" s="866" t="s">
        <v>36</v>
      </c>
      <c r="I4" s="866"/>
      <c r="J4" s="866"/>
      <c r="K4" s="866"/>
      <c r="L4" s="866"/>
      <c r="M4" s="203"/>
    </row>
    <row r="5" spans="1:13" ht="15.75">
      <c r="A5" s="856" t="s">
        <v>37</v>
      </c>
      <c r="B5" s="856"/>
      <c r="C5" s="856"/>
      <c r="D5" s="856"/>
      <c r="E5" s="856"/>
      <c r="H5" s="864" t="s">
        <v>325</v>
      </c>
      <c r="I5" s="864"/>
      <c r="J5" s="864"/>
      <c r="K5" s="864"/>
      <c r="L5" s="864"/>
      <c r="M5" s="203"/>
    </row>
    <row r="6" spans="8:13" ht="12.75">
      <c r="H6" s="203"/>
      <c r="I6" s="203"/>
      <c r="J6" s="203"/>
      <c r="K6" s="203"/>
      <c r="L6" s="203"/>
      <c r="M6" s="203"/>
    </row>
    <row r="7" spans="6:13" ht="12.75">
      <c r="F7" s="41" t="s">
        <v>38</v>
      </c>
      <c r="H7" s="203"/>
      <c r="I7" s="203"/>
      <c r="J7" s="203"/>
      <c r="K7" s="203"/>
      <c r="L7" s="204" t="s">
        <v>38</v>
      </c>
      <c r="M7" s="203"/>
    </row>
    <row r="8" spans="1:16" ht="63.75">
      <c r="A8" s="8" t="s">
        <v>738</v>
      </c>
      <c r="B8" s="9" t="s">
        <v>39</v>
      </c>
      <c r="C8" s="9" t="s">
        <v>843</v>
      </c>
      <c r="D8" s="9" t="s">
        <v>844</v>
      </c>
      <c r="E8" s="9" t="s">
        <v>40</v>
      </c>
      <c r="F8" s="9" t="s">
        <v>1046</v>
      </c>
      <c r="G8" s="1"/>
      <c r="H8" s="206" t="s">
        <v>738</v>
      </c>
      <c r="I8" s="207" t="s">
        <v>39</v>
      </c>
      <c r="J8" s="207" t="s">
        <v>843</v>
      </c>
      <c r="K8" s="207" t="s">
        <v>844</v>
      </c>
      <c r="L8" s="207" t="s">
        <v>41</v>
      </c>
      <c r="M8" s="207" t="s">
        <v>319</v>
      </c>
      <c r="N8" s="1"/>
      <c r="O8" s="1"/>
      <c r="P8" s="1"/>
    </row>
    <row r="9" spans="1:13" ht="12.75">
      <c r="A9" s="8">
        <v>1</v>
      </c>
      <c r="B9" s="8">
        <v>2</v>
      </c>
      <c r="C9" s="9">
        <v>3</v>
      </c>
      <c r="D9" s="9">
        <v>4</v>
      </c>
      <c r="E9" s="9">
        <v>5</v>
      </c>
      <c r="F9" s="60"/>
      <c r="H9" s="206">
        <v>1</v>
      </c>
      <c r="I9" s="206">
        <v>2</v>
      </c>
      <c r="J9" s="207">
        <v>3</v>
      </c>
      <c r="K9" s="207">
        <v>4</v>
      </c>
      <c r="L9" s="207">
        <v>5</v>
      </c>
      <c r="M9" s="208"/>
    </row>
    <row r="10" spans="1:18" ht="12.75">
      <c r="A10" s="98" t="s">
        <v>42</v>
      </c>
      <c r="B10" s="209"/>
      <c r="C10" s="210">
        <f>SUM(C11:C24)</f>
        <v>881223417</v>
      </c>
      <c r="D10" s="210">
        <f>SUM(D11:D24)</f>
        <v>734024014.96</v>
      </c>
      <c r="E10" s="211">
        <f aca="true" t="shared" si="0" ref="E10:E25">IF(ISERROR(D10/C10)," ",(D10/C10))*100</f>
        <v>83.29601787692849</v>
      </c>
      <c r="F10" s="210">
        <f>SUM(F11:F24)</f>
        <v>67216796.72000003</v>
      </c>
      <c r="H10" s="212" t="s">
        <v>326</v>
      </c>
      <c r="I10" s="213"/>
      <c r="J10" s="176">
        <f aca="true" t="shared" si="1" ref="J10:K25">ROUND(C10/1000,0)</f>
        <v>881223</v>
      </c>
      <c r="K10" s="210">
        <f>SUM(K11:K24)</f>
        <v>734023</v>
      </c>
      <c r="L10" s="214">
        <f aca="true" t="shared" si="2" ref="L10:L25">E10</f>
        <v>83.29601787692849</v>
      </c>
      <c r="M10" s="176">
        <f>M11+M12+M13+M14+M15+M16+M17+M18+M19+M20+M21+M22+M23+M24</f>
        <v>67216</v>
      </c>
      <c r="P10" s="210">
        <f>K10</f>
        <v>734023</v>
      </c>
      <c r="Q10" s="210">
        <v>666807</v>
      </c>
      <c r="R10" s="788">
        <f aca="true" t="shared" si="3" ref="R10:R25">P10-Q10</f>
        <v>67216</v>
      </c>
    </row>
    <row r="11" spans="1:18" ht="12.75">
      <c r="A11" s="215" t="s">
        <v>43</v>
      </c>
      <c r="B11" s="216">
        <v>1</v>
      </c>
      <c r="C11" s="217">
        <f>91396898+436308</f>
        <v>91833206</v>
      </c>
      <c r="D11" s="217">
        <f>72653304.9+37805.28</f>
        <v>72691110.18</v>
      </c>
      <c r="E11" s="211">
        <f t="shared" si="0"/>
        <v>79.15558363496534</v>
      </c>
      <c r="F11" s="217">
        <f>D11-'[15]oktobris'!D11</f>
        <v>7113995.330000006</v>
      </c>
      <c r="H11" s="218" t="s">
        <v>43</v>
      </c>
      <c r="I11" s="219">
        <v>1</v>
      </c>
      <c r="J11" s="183">
        <f t="shared" si="1"/>
        <v>91833</v>
      </c>
      <c r="K11" s="183">
        <f t="shared" si="1"/>
        <v>72691</v>
      </c>
      <c r="L11" s="190">
        <f t="shared" si="2"/>
        <v>79.15558363496534</v>
      </c>
      <c r="M11" s="217">
        <f>K11-'[15]oktobris'!K11</f>
        <v>7114</v>
      </c>
      <c r="P11" s="210">
        <f aca="true" t="shared" si="4" ref="P11:P25">K11</f>
        <v>72691</v>
      </c>
      <c r="Q11" s="183">
        <v>65577</v>
      </c>
      <c r="R11" s="788">
        <f t="shared" si="3"/>
        <v>7114</v>
      </c>
    </row>
    <row r="12" spans="1:18" ht="12.75">
      <c r="A12" s="60" t="s">
        <v>44</v>
      </c>
      <c r="B12" s="216"/>
      <c r="C12" s="217">
        <v>47948937</v>
      </c>
      <c r="D12" s="217">
        <v>42594793.92</v>
      </c>
      <c r="E12" s="211">
        <f t="shared" si="0"/>
        <v>88.83365635405015</v>
      </c>
      <c r="F12" s="217">
        <f>D12-'[15]oktobris'!D12</f>
        <v>4461212.539999999</v>
      </c>
      <c r="H12" s="208" t="s">
        <v>44</v>
      </c>
      <c r="I12" s="219">
        <v>2</v>
      </c>
      <c r="J12" s="183">
        <f t="shared" si="1"/>
        <v>47949</v>
      </c>
      <c r="K12" s="183">
        <f t="shared" si="1"/>
        <v>42595</v>
      </c>
      <c r="L12" s="190">
        <f t="shared" si="2"/>
        <v>88.83365635405015</v>
      </c>
      <c r="M12" s="217">
        <f>K12-'[15]oktobris'!K12</f>
        <v>4461</v>
      </c>
      <c r="P12" s="210">
        <f t="shared" si="4"/>
        <v>42595</v>
      </c>
      <c r="Q12" s="183">
        <v>38134</v>
      </c>
      <c r="R12" s="788">
        <f t="shared" si="3"/>
        <v>4461</v>
      </c>
    </row>
    <row r="13" spans="1:18" ht="12.75">
      <c r="A13" s="69" t="s">
        <v>45</v>
      </c>
      <c r="B13" s="216">
        <v>3</v>
      </c>
      <c r="C13" s="217">
        <f>115700651+196355</f>
        <v>115897006</v>
      </c>
      <c r="D13" s="217">
        <v>100603452.77</v>
      </c>
      <c r="E13" s="211">
        <f t="shared" si="0"/>
        <v>86.8041860977841</v>
      </c>
      <c r="F13" s="217">
        <f>D13-'[15]oktobris'!D13</f>
        <v>9427913.899999991</v>
      </c>
      <c r="H13" s="189" t="s">
        <v>45</v>
      </c>
      <c r="I13" s="219">
        <v>3</v>
      </c>
      <c r="J13" s="183">
        <f t="shared" si="1"/>
        <v>115897</v>
      </c>
      <c r="K13" s="183">
        <f t="shared" si="1"/>
        <v>100603</v>
      </c>
      <c r="L13" s="190">
        <f t="shared" si="2"/>
        <v>86.8041860977841</v>
      </c>
      <c r="M13" s="217">
        <f>K13-'[15]oktobris'!K13</f>
        <v>9427</v>
      </c>
      <c r="P13" s="210">
        <f t="shared" si="4"/>
        <v>100603</v>
      </c>
      <c r="Q13" s="183">
        <v>91176</v>
      </c>
      <c r="R13" s="788">
        <f t="shared" si="3"/>
        <v>9427</v>
      </c>
    </row>
    <row r="14" spans="1:18" ht="12.75">
      <c r="A14" s="60" t="s">
        <v>46</v>
      </c>
      <c r="B14" s="216">
        <v>4</v>
      </c>
      <c r="C14" s="217">
        <v>98696459</v>
      </c>
      <c r="D14" s="217">
        <v>84470700.98</v>
      </c>
      <c r="E14" s="211">
        <f t="shared" si="0"/>
        <v>85.58635419736792</v>
      </c>
      <c r="F14" s="217">
        <f>D14-'[15]oktobris'!D14</f>
        <v>8209476.680000007</v>
      </c>
      <c r="H14" s="208" t="s">
        <v>46</v>
      </c>
      <c r="I14" s="219">
        <v>4</v>
      </c>
      <c r="J14" s="183">
        <f t="shared" si="1"/>
        <v>98696</v>
      </c>
      <c r="K14" s="183">
        <f t="shared" si="1"/>
        <v>84471</v>
      </c>
      <c r="L14" s="190">
        <f t="shared" si="2"/>
        <v>85.58635419736792</v>
      </c>
      <c r="M14" s="217">
        <f>K14-'[15]oktobris'!K14</f>
        <v>8210</v>
      </c>
      <c r="P14" s="210">
        <f t="shared" si="4"/>
        <v>84471</v>
      </c>
      <c r="Q14" s="183">
        <v>76261</v>
      </c>
      <c r="R14" s="788">
        <f t="shared" si="3"/>
        <v>8210</v>
      </c>
    </row>
    <row r="15" spans="1:18" ht="12.75">
      <c r="A15" s="60" t="s">
        <v>47</v>
      </c>
      <c r="B15" s="216">
        <v>5</v>
      </c>
      <c r="C15" s="217">
        <v>69600475</v>
      </c>
      <c r="D15" s="217">
        <v>63539834.51</v>
      </c>
      <c r="E15" s="211">
        <f t="shared" si="0"/>
        <v>91.2922426319648</v>
      </c>
      <c r="F15" s="217">
        <f>D15-'[15]oktobris'!D15</f>
        <v>4875485.1000000015</v>
      </c>
      <c r="H15" s="208" t="s">
        <v>47</v>
      </c>
      <c r="I15" s="219">
        <v>5</v>
      </c>
      <c r="J15" s="183">
        <f t="shared" si="1"/>
        <v>69600</v>
      </c>
      <c r="K15" s="183">
        <f t="shared" si="1"/>
        <v>63540</v>
      </c>
      <c r="L15" s="190">
        <f t="shared" si="2"/>
        <v>91.2922426319648</v>
      </c>
      <c r="M15" s="217">
        <f>K15-'[15]oktobris'!K15</f>
        <v>4876</v>
      </c>
      <c r="P15" s="210">
        <f t="shared" si="4"/>
        <v>63540</v>
      </c>
      <c r="Q15" s="183">
        <v>58664</v>
      </c>
      <c r="R15" s="788">
        <f t="shared" si="3"/>
        <v>4876</v>
      </c>
    </row>
    <row r="16" spans="1:18" ht="12.75">
      <c r="A16" s="69" t="s">
        <v>48</v>
      </c>
      <c r="B16" s="216">
        <v>6</v>
      </c>
      <c r="C16" s="217">
        <f>84717119+5000</f>
        <v>84722119</v>
      </c>
      <c r="D16" s="217">
        <v>76744102.55</v>
      </c>
      <c r="E16" s="211">
        <f t="shared" si="0"/>
        <v>90.58331337298114</v>
      </c>
      <c r="F16" s="217">
        <f>D16-'[15]oktobris'!D16</f>
        <v>7226908.719999999</v>
      </c>
      <c r="H16" s="189" t="s">
        <v>48</v>
      </c>
      <c r="I16" s="219">
        <v>6</v>
      </c>
      <c r="J16" s="183">
        <f t="shared" si="1"/>
        <v>84722</v>
      </c>
      <c r="K16" s="183">
        <f t="shared" si="1"/>
        <v>76744</v>
      </c>
      <c r="L16" s="190">
        <f t="shared" si="2"/>
        <v>90.58331337298114</v>
      </c>
      <c r="M16" s="217">
        <f>K16-'[15]oktobris'!K16</f>
        <v>7227</v>
      </c>
      <c r="P16" s="210">
        <f t="shared" si="4"/>
        <v>76744</v>
      </c>
      <c r="Q16" s="183">
        <v>69517</v>
      </c>
      <c r="R16" s="788">
        <f t="shared" si="3"/>
        <v>7227</v>
      </c>
    </row>
    <row r="17" spans="1:18" ht="25.5">
      <c r="A17" s="69" t="s">
        <v>49</v>
      </c>
      <c r="B17" s="216">
        <v>7</v>
      </c>
      <c r="C17" s="217">
        <f>11048483+490300</f>
        <v>11538783</v>
      </c>
      <c r="D17" s="217">
        <v>7204014.6</v>
      </c>
      <c r="E17" s="211">
        <f t="shared" si="0"/>
        <v>62.43305381512071</v>
      </c>
      <c r="F17" s="217">
        <f>D17-'[15]oktobris'!D17</f>
        <v>959671.5</v>
      </c>
      <c r="H17" s="189" t="s">
        <v>49</v>
      </c>
      <c r="I17" s="219">
        <v>7</v>
      </c>
      <c r="J17" s="183">
        <f t="shared" si="1"/>
        <v>11539</v>
      </c>
      <c r="K17" s="183">
        <f t="shared" si="1"/>
        <v>7204</v>
      </c>
      <c r="L17" s="190">
        <f t="shared" si="2"/>
        <v>62.43305381512071</v>
      </c>
      <c r="M17" s="217">
        <f>K17-'[15]oktobris'!K17</f>
        <v>960</v>
      </c>
      <c r="P17" s="210">
        <f t="shared" si="4"/>
        <v>7204</v>
      </c>
      <c r="Q17" s="183">
        <v>6244</v>
      </c>
      <c r="R17" s="788">
        <f t="shared" si="3"/>
        <v>960</v>
      </c>
    </row>
    <row r="18" spans="1:18" ht="12.75">
      <c r="A18" s="60" t="s">
        <v>50</v>
      </c>
      <c r="B18" s="216">
        <v>8</v>
      </c>
      <c r="C18" s="217">
        <v>23604384</v>
      </c>
      <c r="D18" s="217">
        <v>21327057.28</v>
      </c>
      <c r="E18" s="211">
        <f t="shared" si="0"/>
        <v>90.3521027280356</v>
      </c>
      <c r="F18" s="217">
        <f>D18-'[15]oktobris'!D18</f>
        <v>1777093.1099999994</v>
      </c>
      <c r="H18" s="208" t="s">
        <v>50</v>
      </c>
      <c r="I18" s="219">
        <v>8</v>
      </c>
      <c r="J18" s="183">
        <f t="shared" si="1"/>
        <v>23604</v>
      </c>
      <c r="K18" s="183">
        <f t="shared" si="1"/>
        <v>21327</v>
      </c>
      <c r="L18" s="190">
        <f t="shared" si="2"/>
        <v>90.3521027280356</v>
      </c>
      <c r="M18" s="217">
        <f>K18-'[15]oktobris'!K18</f>
        <v>1777</v>
      </c>
      <c r="P18" s="210">
        <f t="shared" si="4"/>
        <v>21327</v>
      </c>
      <c r="Q18" s="183">
        <v>19550</v>
      </c>
      <c r="R18" s="788">
        <f t="shared" si="3"/>
        <v>1777</v>
      </c>
    </row>
    <row r="19" spans="1:18" ht="12.75">
      <c r="A19" s="69" t="s">
        <v>51</v>
      </c>
      <c r="B19" s="216">
        <v>9</v>
      </c>
      <c r="C19" s="217">
        <v>202127</v>
      </c>
      <c r="D19" s="217">
        <v>150318.62</v>
      </c>
      <c r="E19" s="211">
        <f t="shared" si="0"/>
        <v>74.3684020442593</v>
      </c>
      <c r="F19" s="217">
        <f>D19-'[15]oktobris'!D19</f>
        <v>9085.470000000001</v>
      </c>
      <c r="H19" s="189" t="s">
        <v>51</v>
      </c>
      <c r="I19" s="219">
        <v>9</v>
      </c>
      <c r="J19" s="183">
        <f t="shared" si="1"/>
        <v>202</v>
      </c>
      <c r="K19" s="183">
        <f t="shared" si="1"/>
        <v>150</v>
      </c>
      <c r="L19" s="190">
        <f t="shared" si="2"/>
        <v>74.3684020442593</v>
      </c>
      <c r="M19" s="217">
        <f>K19-'[15]oktobris'!K19</f>
        <v>9</v>
      </c>
      <c r="P19" s="210">
        <f t="shared" si="4"/>
        <v>150</v>
      </c>
      <c r="Q19" s="183">
        <v>141</v>
      </c>
      <c r="R19" s="788">
        <f t="shared" si="3"/>
        <v>9</v>
      </c>
    </row>
    <row r="20" spans="1:18" ht="25.5">
      <c r="A20" s="69" t="s">
        <v>52</v>
      </c>
      <c r="B20" s="216">
        <v>10</v>
      </c>
      <c r="C20" s="217">
        <v>81646795</v>
      </c>
      <c r="D20" s="217">
        <v>56918199.91</v>
      </c>
      <c r="E20" s="211">
        <f t="shared" si="0"/>
        <v>69.712717945634</v>
      </c>
      <c r="F20" s="217">
        <f>D20-'[15]oktobris'!D20</f>
        <v>4729318.979999997</v>
      </c>
      <c r="G20" s="220"/>
      <c r="H20" s="189" t="s">
        <v>52</v>
      </c>
      <c r="I20" s="219">
        <v>10</v>
      </c>
      <c r="J20" s="183">
        <f t="shared" si="1"/>
        <v>81647</v>
      </c>
      <c r="K20" s="183">
        <f t="shared" si="1"/>
        <v>56918</v>
      </c>
      <c r="L20" s="190">
        <f t="shared" si="2"/>
        <v>69.712717945634</v>
      </c>
      <c r="M20" s="217">
        <f>K20-'[15]oktobris'!K20</f>
        <v>4729</v>
      </c>
      <c r="P20" s="210">
        <f t="shared" si="4"/>
        <v>56918</v>
      </c>
      <c r="Q20" s="183">
        <v>52189</v>
      </c>
      <c r="R20" s="788">
        <f t="shared" si="3"/>
        <v>4729</v>
      </c>
    </row>
    <row r="21" spans="1:18" ht="25.5">
      <c r="A21" s="69" t="s">
        <v>53</v>
      </c>
      <c r="B21" s="216">
        <v>11</v>
      </c>
      <c r="C21" s="217">
        <v>912523</v>
      </c>
      <c r="D21" s="217">
        <v>778758.28</v>
      </c>
      <c r="E21" s="211">
        <f t="shared" si="0"/>
        <v>85.34122208426528</v>
      </c>
      <c r="F21" s="217">
        <f>D21-'[15]oktobris'!D21</f>
        <v>86110.28000000003</v>
      </c>
      <c r="H21" s="189" t="s">
        <v>53</v>
      </c>
      <c r="I21" s="219">
        <v>11</v>
      </c>
      <c r="J21" s="183">
        <f t="shared" si="1"/>
        <v>913</v>
      </c>
      <c r="K21" s="183">
        <f t="shared" si="1"/>
        <v>779</v>
      </c>
      <c r="L21" s="190">
        <f t="shared" si="2"/>
        <v>85.34122208426528</v>
      </c>
      <c r="M21" s="217">
        <f>K21-'[15]oktobris'!K21</f>
        <v>86</v>
      </c>
      <c r="P21" s="210">
        <f t="shared" si="4"/>
        <v>779</v>
      </c>
      <c r="Q21" s="183">
        <v>693</v>
      </c>
      <c r="R21" s="788">
        <f t="shared" si="3"/>
        <v>86</v>
      </c>
    </row>
    <row r="22" spans="1:18" ht="12.75">
      <c r="A22" s="60" t="s">
        <v>54</v>
      </c>
      <c r="B22" s="216">
        <v>12</v>
      </c>
      <c r="C22" s="217">
        <v>16138770</v>
      </c>
      <c r="D22" s="217">
        <v>9432213.88</v>
      </c>
      <c r="E22" s="211">
        <f t="shared" si="0"/>
        <v>58.444440809305796</v>
      </c>
      <c r="F22" s="217">
        <f>D22-'[15]oktobris'!D22</f>
        <v>591467.0800000001</v>
      </c>
      <c r="H22" s="208" t="s">
        <v>54</v>
      </c>
      <c r="I22" s="219">
        <v>12</v>
      </c>
      <c r="J22" s="183">
        <f t="shared" si="1"/>
        <v>16139</v>
      </c>
      <c r="K22" s="183">
        <f t="shared" si="1"/>
        <v>9432</v>
      </c>
      <c r="L22" s="190">
        <f t="shared" si="2"/>
        <v>58.444440809305796</v>
      </c>
      <c r="M22" s="217">
        <f>K22-'[15]oktobris'!K22</f>
        <v>591</v>
      </c>
      <c r="P22" s="210">
        <f t="shared" si="4"/>
        <v>9432</v>
      </c>
      <c r="Q22" s="183">
        <v>8841</v>
      </c>
      <c r="R22" s="788">
        <f t="shared" si="3"/>
        <v>591</v>
      </c>
    </row>
    <row r="23" spans="1:18" ht="12.75">
      <c r="A23" s="60" t="s">
        <v>55</v>
      </c>
      <c r="B23" s="216">
        <v>13</v>
      </c>
      <c r="C23" s="217">
        <v>25686566</v>
      </c>
      <c r="D23" s="217">
        <v>17054363.86</v>
      </c>
      <c r="E23" s="211">
        <f t="shared" si="0"/>
        <v>66.39409822239377</v>
      </c>
      <c r="F23" s="217">
        <f>D23-'[15]oktobris'!D23</f>
        <v>1710072.2400000002</v>
      </c>
      <c r="H23" s="208" t="s">
        <v>55</v>
      </c>
      <c r="I23" s="219">
        <v>13</v>
      </c>
      <c r="J23" s="183">
        <f t="shared" si="1"/>
        <v>25687</v>
      </c>
      <c r="K23" s="183">
        <f t="shared" si="1"/>
        <v>17054</v>
      </c>
      <c r="L23" s="190">
        <f t="shared" si="2"/>
        <v>66.39409822239377</v>
      </c>
      <c r="M23" s="217">
        <f>K23-'[15]oktobris'!K23</f>
        <v>1710</v>
      </c>
      <c r="P23" s="210">
        <f t="shared" si="4"/>
        <v>17054</v>
      </c>
      <c r="Q23" s="183">
        <v>15344</v>
      </c>
      <c r="R23" s="788">
        <f t="shared" si="3"/>
        <v>1710</v>
      </c>
    </row>
    <row r="24" spans="1:18" ht="12.75">
      <c r="A24" s="69" t="s">
        <v>56</v>
      </c>
      <c r="B24" s="216">
        <v>14</v>
      </c>
      <c r="C24" s="217">
        <f>212795267</f>
        <v>212795267</v>
      </c>
      <c r="D24" s="217">
        <f>146991523.62+33523570</f>
        <v>180515093.62</v>
      </c>
      <c r="E24" s="211">
        <f t="shared" si="0"/>
        <v>84.83040819700186</v>
      </c>
      <c r="F24" s="217">
        <f>D24-'[15]oktobris'!D24</f>
        <v>16038985.790000021</v>
      </c>
      <c r="H24" s="189" t="s">
        <v>56</v>
      </c>
      <c r="I24" s="219">
        <v>14</v>
      </c>
      <c r="J24" s="183">
        <f t="shared" si="1"/>
        <v>212795</v>
      </c>
      <c r="K24" s="183">
        <f>ROUND(D24/1000,0)</f>
        <v>180515</v>
      </c>
      <c r="L24" s="190">
        <f t="shared" si="2"/>
        <v>84.83040819700186</v>
      </c>
      <c r="M24" s="217">
        <f>K24-'[15]oktobris'!K24</f>
        <v>16039</v>
      </c>
      <c r="P24" s="210">
        <f t="shared" si="4"/>
        <v>180515</v>
      </c>
      <c r="Q24" s="183">
        <v>164476</v>
      </c>
      <c r="R24" s="788">
        <f t="shared" si="3"/>
        <v>16039</v>
      </c>
    </row>
    <row r="25" spans="1:18" ht="12.75">
      <c r="A25" s="60" t="s">
        <v>57</v>
      </c>
      <c r="B25" s="222"/>
      <c r="C25" s="223">
        <v>48031380</v>
      </c>
      <c r="D25" s="223">
        <v>33523570</v>
      </c>
      <c r="E25" s="211">
        <f t="shared" si="0"/>
        <v>69.79514225908146</v>
      </c>
      <c r="F25" s="217">
        <f>D25-'[15]oktobris'!D25</f>
        <v>2473533</v>
      </c>
      <c r="H25" s="208" t="s">
        <v>57</v>
      </c>
      <c r="I25" s="224"/>
      <c r="J25" s="183">
        <f t="shared" si="1"/>
        <v>48031</v>
      </c>
      <c r="K25" s="183">
        <f>ROUND(D25/1000,0)-1</f>
        <v>33523</v>
      </c>
      <c r="L25" s="190">
        <f t="shared" si="2"/>
        <v>69.79514225908146</v>
      </c>
      <c r="M25" s="217">
        <f>K25-'[15]oktobris'!K25</f>
        <v>2473</v>
      </c>
      <c r="P25" s="210">
        <f t="shared" si="4"/>
        <v>33523</v>
      </c>
      <c r="Q25" s="183">
        <v>31050</v>
      </c>
      <c r="R25" s="788">
        <f t="shared" si="3"/>
        <v>2473</v>
      </c>
    </row>
    <row r="26" spans="2:17" ht="12.75">
      <c r="B26" s="39"/>
      <c r="C26" s="47"/>
      <c r="D26" s="47"/>
      <c r="E26" s="225"/>
      <c r="H26" s="203"/>
      <c r="I26" s="205"/>
      <c r="J26" s="226"/>
      <c r="K26" s="226"/>
      <c r="L26" s="227"/>
      <c r="M26" s="203"/>
      <c r="Q26" s="226"/>
    </row>
    <row r="27" spans="2:13" ht="12.75">
      <c r="B27" s="39"/>
      <c r="C27" s="47"/>
      <c r="D27" s="47"/>
      <c r="E27" s="225"/>
      <c r="H27" s="203" t="s">
        <v>315</v>
      </c>
      <c r="I27" s="205"/>
      <c r="J27" s="226"/>
      <c r="K27" s="226"/>
      <c r="L27" s="227"/>
      <c r="M27" s="203"/>
    </row>
    <row r="28" spans="2:13" ht="12.75">
      <c r="B28" s="39"/>
      <c r="C28" s="47"/>
      <c r="D28" s="47"/>
      <c r="E28" s="225"/>
      <c r="H28" s="203"/>
      <c r="I28" s="205"/>
      <c r="J28" s="226"/>
      <c r="K28" s="226"/>
      <c r="L28" s="227"/>
      <c r="M28" s="203"/>
    </row>
    <row r="29" spans="1:13" ht="12.75">
      <c r="A29" s="41" t="s">
        <v>58</v>
      </c>
      <c r="B29" s="39"/>
      <c r="C29" s="39"/>
      <c r="D29" s="39"/>
      <c r="E29" s="1"/>
      <c r="F29" s="49" t="s">
        <v>59</v>
      </c>
      <c r="H29" s="204" t="s">
        <v>240</v>
      </c>
      <c r="I29" s="205"/>
      <c r="J29" s="205"/>
      <c r="K29" s="203"/>
      <c r="L29" s="205" t="s">
        <v>959</v>
      </c>
      <c r="M29" s="203"/>
    </row>
    <row r="30" spans="2:13" ht="12.75">
      <c r="B30" s="39"/>
      <c r="C30" s="47"/>
      <c r="D30" s="47"/>
      <c r="E30" s="225"/>
      <c r="H30" s="203"/>
      <c r="I30" s="203"/>
      <c r="J30" s="203"/>
      <c r="K30" s="203"/>
      <c r="L30" s="203"/>
      <c r="M30" s="203"/>
    </row>
    <row r="31" spans="2:13" ht="12.75">
      <c r="B31" s="39"/>
      <c r="C31" s="47"/>
      <c r="D31" s="47"/>
      <c r="E31" s="225"/>
      <c r="H31" s="203"/>
      <c r="I31" s="203"/>
      <c r="J31" s="203"/>
      <c r="K31" s="203"/>
      <c r="L31" s="203"/>
      <c r="M31" s="203"/>
    </row>
    <row r="32" spans="2:13" ht="12.75">
      <c r="B32" s="39"/>
      <c r="D32" s="47"/>
      <c r="E32" s="225"/>
      <c r="G32" s="39"/>
      <c r="H32" s="203"/>
      <c r="I32" s="203"/>
      <c r="J32" s="203"/>
      <c r="K32" s="203"/>
      <c r="L32" s="203"/>
      <c r="M32" s="203"/>
    </row>
    <row r="33" spans="2:13" ht="12.75">
      <c r="B33" s="39"/>
      <c r="C33" s="47"/>
      <c r="D33" s="47"/>
      <c r="E33" s="225"/>
      <c r="H33" s="203"/>
      <c r="I33" s="203"/>
      <c r="J33" s="203"/>
      <c r="K33" s="203"/>
      <c r="L33" s="203"/>
      <c r="M33" s="203"/>
    </row>
    <row r="34" spans="2:13" ht="12.75">
      <c r="B34" s="39"/>
      <c r="C34" s="47"/>
      <c r="D34" s="47"/>
      <c r="E34" s="225"/>
      <c r="H34" s="203"/>
      <c r="I34" s="203"/>
      <c r="J34" s="203"/>
      <c r="K34" s="203"/>
      <c r="L34" s="203"/>
      <c r="M34" s="203"/>
    </row>
    <row r="35" spans="4:13" ht="12.75">
      <c r="D35" s="47"/>
      <c r="E35" s="225"/>
      <c r="H35" s="203"/>
      <c r="I35" s="203"/>
      <c r="J35" s="203"/>
      <c r="K35" s="203"/>
      <c r="L35" s="203"/>
      <c r="M35" s="203"/>
    </row>
    <row r="36" spans="2:13" ht="12.75">
      <c r="B36" s="39"/>
      <c r="C36" s="47"/>
      <c r="D36" s="47"/>
      <c r="E36" s="225"/>
      <c r="H36" s="226" t="s">
        <v>838</v>
      </c>
      <c r="I36" s="203"/>
      <c r="J36" s="203"/>
      <c r="K36" s="203"/>
      <c r="L36" s="203"/>
      <c r="M36" s="203"/>
    </row>
    <row r="37" spans="3:13" ht="12.75">
      <c r="C37" s="47"/>
      <c r="D37" s="47"/>
      <c r="E37" s="225"/>
      <c r="H37" s="203" t="s">
        <v>309</v>
      </c>
      <c r="I37" s="203"/>
      <c r="J37" s="203"/>
      <c r="K37" s="203"/>
      <c r="L37" s="203"/>
      <c r="M37" s="203"/>
    </row>
    <row r="38" spans="3:13" ht="12.75">
      <c r="C38" s="47"/>
      <c r="D38" s="47"/>
      <c r="E38" s="225"/>
      <c r="H38" s="203"/>
      <c r="I38" s="203"/>
      <c r="J38" s="203"/>
      <c r="K38" s="203"/>
      <c r="L38" s="203"/>
      <c r="M38" s="203"/>
    </row>
    <row r="39" spans="3:13" ht="12.75">
      <c r="C39" s="47"/>
      <c r="D39" s="47"/>
      <c r="E39" s="225"/>
      <c r="H39" s="203"/>
      <c r="I39" s="203"/>
      <c r="J39" s="203"/>
      <c r="K39" s="203"/>
      <c r="L39" s="203"/>
      <c r="M39" s="203"/>
    </row>
    <row r="40" spans="1:13" ht="12.75">
      <c r="A40" s="38"/>
      <c r="C40" s="47"/>
      <c r="D40" s="47"/>
      <c r="E40" s="225"/>
      <c r="H40" s="203"/>
      <c r="I40" s="203"/>
      <c r="J40" s="203"/>
      <c r="K40" s="203"/>
      <c r="L40" s="203"/>
      <c r="M40" s="203"/>
    </row>
    <row r="41" spans="1:13" ht="12.75">
      <c r="A41" s="38"/>
      <c r="C41" s="47"/>
      <c r="D41" s="47"/>
      <c r="E41" s="225"/>
      <c r="H41" s="203"/>
      <c r="I41" s="203"/>
      <c r="J41" s="203"/>
      <c r="K41" s="203"/>
      <c r="L41" s="203"/>
      <c r="M41" s="203"/>
    </row>
    <row r="42" spans="3:13" ht="12.75">
      <c r="C42" s="47"/>
      <c r="D42" s="47"/>
      <c r="E42" s="225"/>
      <c r="H42" s="203"/>
      <c r="I42" s="203"/>
      <c r="J42" s="203"/>
      <c r="K42" s="203"/>
      <c r="L42" s="203"/>
      <c r="M42" s="203"/>
    </row>
    <row r="43" spans="3:5" ht="12.75">
      <c r="C43" s="47"/>
      <c r="D43" s="47"/>
      <c r="E43" s="225"/>
    </row>
    <row r="44" spans="3:5" ht="12.75">
      <c r="C44" s="47"/>
      <c r="D44" s="47"/>
      <c r="E44" s="225"/>
    </row>
    <row r="45" spans="3:5" ht="12.75">
      <c r="C45" s="47"/>
      <c r="D45" s="47"/>
      <c r="E45" s="225"/>
    </row>
    <row r="46" spans="2:4" ht="12.75">
      <c r="B46" s="47"/>
      <c r="C46" s="47"/>
      <c r="D46" s="225"/>
    </row>
    <row r="47" spans="2:4" ht="12.75">
      <c r="B47" s="47"/>
      <c r="C47" s="47"/>
      <c r="D47" s="225"/>
    </row>
    <row r="48" spans="2:4" ht="12.75">
      <c r="B48" s="47"/>
      <c r="C48" s="47"/>
      <c r="D48" s="225"/>
    </row>
    <row r="49" spans="2:4" ht="12.75">
      <c r="B49" s="47"/>
      <c r="C49" s="47"/>
      <c r="D49" s="225"/>
    </row>
    <row r="50" spans="2:4" ht="12.75">
      <c r="B50" s="47"/>
      <c r="C50" s="47"/>
      <c r="D50" s="225"/>
    </row>
    <row r="51" spans="2:4" ht="12.75">
      <c r="B51" s="47"/>
      <c r="C51" s="47"/>
      <c r="D51" s="225"/>
    </row>
    <row r="52" spans="2:4" ht="12.75">
      <c r="B52" s="47"/>
      <c r="D52" s="225"/>
    </row>
    <row r="53" spans="2:4" ht="12.75">
      <c r="B53" s="47"/>
      <c r="D53" s="225"/>
    </row>
    <row r="54" spans="2:4" ht="12.75">
      <c r="B54" s="47"/>
      <c r="D54" s="225"/>
    </row>
    <row r="55" spans="2:4" ht="12.75">
      <c r="B55" s="47"/>
      <c r="D55" s="225"/>
    </row>
    <row r="56" spans="2:4" ht="12.75">
      <c r="B56" s="47"/>
      <c r="D56" s="225"/>
    </row>
    <row r="57" spans="2:4" ht="12.75">
      <c r="B57" s="47"/>
      <c r="D57" s="225"/>
    </row>
    <row r="58" spans="2:4" ht="12.75">
      <c r="B58" s="47"/>
      <c r="D58" s="225"/>
    </row>
    <row r="59" spans="2:4" ht="12.75">
      <c r="B59" s="47"/>
      <c r="D59" s="225"/>
    </row>
    <row r="60" spans="2:4" ht="12.75">
      <c r="B60" s="47"/>
      <c r="D60" s="225"/>
    </row>
    <row r="61" spans="2:4" ht="12.75">
      <c r="B61" s="47"/>
      <c r="D61" s="225"/>
    </row>
    <row r="62" spans="2:4" ht="12.75">
      <c r="B62" s="47"/>
      <c r="D62" s="225"/>
    </row>
    <row r="63" spans="2:4" ht="12.75">
      <c r="B63" s="47"/>
      <c r="D63" s="225"/>
    </row>
    <row r="64" spans="2:4" ht="12.75">
      <c r="B64" s="47"/>
      <c r="D64" s="225"/>
    </row>
    <row r="65" spans="2:4" ht="12.75">
      <c r="B65" s="47"/>
      <c r="D65" s="225"/>
    </row>
    <row r="66" spans="2:4" ht="12.75">
      <c r="B66" s="47"/>
      <c r="D66" s="225"/>
    </row>
    <row r="67" spans="2:4" ht="12.75">
      <c r="B67" s="47"/>
      <c r="D67" s="225"/>
    </row>
    <row r="68" spans="2:4" ht="12.75">
      <c r="B68" s="47"/>
      <c r="D68" s="225"/>
    </row>
    <row r="69" spans="2:4" ht="12.75">
      <c r="B69" s="47"/>
      <c r="D69" s="225"/>
    </row>
    <row r="70" spans="2:4" ht="12.75">
      <c r="B70" s="47"/>
      <c r="D70" s="225"/>
    </row>
    <row r="71" spans="2:4" ht="12.75">
      <c r="B71" s="47"/>
      <c r="D71" s="225"/>
    </row>
    <row r="72" spans="2:4" ht="12.75">
      <c r="B72" s="47"/>
      <c r="D72" s="225"/>
    </row>
    <row r="73" spans="2:4" ht="12.75">
      <c r="B73" s="47"/>
      <c r="D73" s="225"/>
    </row>
    <row r="74" spans="2:4" ht="12.75">
      <c r="B74" s="47"/>
      <c r="D74" s="225"/>
    </row>
    <row r="75" spans="2:4" ht="12.75">
      <c r="B75" s="47"/>
      <c r="D75" s="225"/>
    </row>
    <row r="76" spans="2:4" ht="12.75">
      <c r="B76" s="47"/>
      <c r="D76" s="225"/>
    </row>
    <row r="77" spans="2:4" ht="12.75">
      <c r="B77" s="47"/>
      <c r="D77" s="225"/>
    </row>
    <row r="78" spans="2:4" ht="12.75">
      <c r="B78" s="47"/>
      <c r="D78" s="225"/>
    </row>
    <row r="79" spans="2:4" ht="12.75">
      <c r="B79" s="47"/>
      <c r="D79" s="225"/>
    </row>
    <row r="80" spans="2:4" ht="12.75">
      <c r="B80" s="47"/>
      <c r="D80" s="225"/>
    </row>
    <row r="81" spans="2:4" ht="12.75">
      <c r="B81" s="47"/>
      <c r="D81" s="225"/>
    </row>
    <row r="82" spans="2:4" ht="12.75">
      <c r="B82" s="47"/>
      <c r="D82" s="225"/>
    </row>
    <row r="83" spans="2:4" ht="12.75">
      <c r="B83" s="47"/>
      <c r="D83" s="225"/>
    </row>
    <row r="84" spans="2:4" ht="12.75">
      <c r="B84" s="47"/>
      <c r="D84" s="225"/>
    </row>
    <row r="85" spans="2:4" ht="12.75">
      <c r="B85" s="47"/>
      <c r="D85" s="225"/>
    </row>
    <row r="86" spans="2:4" ht="12.75">
      <c r="B86" s="47"/>
      <c r="D86" s="225"/>
    </row>
    <row r="87" spans="2:4" ht="12.75">
      <c r="B87" s="47"/>
      <c r="D87" s="225"/>
    </row>
    <row r="88" spans="2:4" ht="12.75">
      <c r="B88" s="47"/>
      <c r="D88" s="225"/>
    </row>
    <row r="89" spans="2:4" ht="12.75">
      <c r="B89" s="47"/>
      <c r="D89" s="225"/>
    </row>
    <row r="90" spans="2:4" ht="12.75">
      <c r="B90" s="47"/>
      <c r="D90" s="225"/>
    </row>
    <row r="91" spans="2:4" ht="12.75">
      <c r="B91" s="47"/>
      <c r="D91" s="225"/>
    </row>
    <row r="92" spans="2:4" ht="12.75">
      <c r="B92" s="47"/>
      <c r="D92" s="225"/>
    </row>
    <row r="93" spans="2:4" ht="12.75">
      <c r="B93" s="47"/>
      <c r="D93" s="225"/>
    </row>
    <row r="94" spans="2:4" ht="12.75">
      <c r="B94" s="47"/>
      <c r="D94" s="225"/>
    </row>
    <row r="95" spans="2:4" ht="12.75">
      <c r="B95" s="47"/>
      <c r="D95" s="225"/>
    </row>
    <row r="96" spans="2:4" ht="12.75">
      <c r="B96" s="47"/>
      <c r="D96" s="225"/>
    </row>
    <row r="97" spans="2:4" ht="12.75">
      <c r="B97" s="47"/>
      <c r="D97" s="225"/>
    </row>
    <row r="98" spans="2:4" ht="12.75">
      <c r="B98" s="47"/>
      <c r="D98" s="225"/>
    </row>
    <row r="99" ht="12.75">
      <c r="B99" s="47"/>
    </row>
    <row r="100" ht="12.75">
      <c r="B100" s="47"/>
    </row>
    <row r="101" ht="12.75">
      <c r="B101" s="47"/>
    </row>
    <row r="102" ht="12.75">
      <c r="B102" s="47"/>
    </row>
    <row r="103" ht="12.75">
      <c r="B103" s="47"/>
    </row>
    <row r="104" ht="12.75">
      <c r="B104" s="47"/>
    </row>
    <row r="105" ht="12.75">
      <c r="B105" s="47"/>
    </row>
    <row r="106" ht="12.75">
      <c r="B106" s="47"/>
    </row>
    <row r="107" ht="12.75">
      <c r="B107" s="47"/>
    </row>
  </sheetData>
  <mergeCells count="6">
    <mergeCell ref="A5:E5"/>
    <mergeCell ref="H5:L5"/>
    <mergeCell ref="A2:E2"/>
    <mergeCell ref="H2:L2"/>
    <mergeCell ref="A4:E4"/>
    <mergeCell ref="H4:L4"/>
  </mergeCells>
  <printOptions horizontalCentered="1"/>
  <pageMargins left="0.9448818897637796" right="0.35433070866141736" top="0.984251968503937" bottom="0.984251968503937" header="0.5118110236220472" footer="0.5118110236220472"/>
  <pageSetup firstPageNumber="15" useFirstPageNumber="1" horizontalDpi="600" verticalDpi="600" orientation="portrait" paperSize="9" scale="94" r:id="rId1"/>
  <headerFooter alignWithMargins="0">
    <oddFooter>&amp;R&amp;9&amp;P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208"/>
  <sheetViews>
    <sheetView workbookViewId="0" topLeftCell="G185">
      <selection activeCell="G194" sqref="G194"/>
    </sheetView>
  </sheetViews>
  <sheetFormatPr defaultColWidth="9.140625" defaultRowHeight="17.25" customHeight="1"/>
  <cols>
    <col min="1" max="1" width="40.57421875" style="49" hidden="1" customWidth="1"/>
    <col min="2" max="2" width="13.421875" style="49" hidden="1" customWidth="1"/>
    <col min="3" max="3" width="15.00390625" style="49" hidden="1" customWidth="1"/>
    <col min="4" max="4" width="13.140625" style="49" hidden="1" customWidth="1"/>
    <col min="5" max="5" width="11.421875" style="228" hidden="1" customWidth="1"/>
    <col min="6" max="6" width="17.00390625" style="49" hidden="1" customWidth="1"/>
    <col min="7" max="7" width="41.421875" style="49" customWidth="1"/>
    <col min="8" max="8" width="15.28125" style="49" customWidth="1"/>
    <col min="9" max="9" width="12.8515625" style="49" customWidth="1"/>
    <col min="10" max="10" width="9.7109375" style="220" customWidth="1"/>
    <col min="11" max="11" width="11.421875" style="230" customWidth="1"/>
    <col min="12" max="12" width="9.8515625" style="49" customWidth="1"/>
  </cols>
  <sheetData>
    <row r="1" spans="6:12" ht="17.25" customHeight="1">
      <c r="F1" s="229" t="s">
        <v>60</v>
      </c>
      <c r="L1" s="229" t="s">
        <v>60</v>
      </c>
    </row>
    <row r="2" spans="1:12" ht="17.25" customHeight="1">
      <c r="A2" s="870" t="s">
        <v>61</v>
      </c>
      <c r="B2" s="870"/>
      <c r="C2" s="870"/>
      <c r="D2" s="870"/>
      <c r="E2" s="870"/>
      <c r="F2" s="870"/>
      <c r="G2" s="871" t="s">
        <v>840</v>
      </c>
      <c r="H2" s="871"/>
      <c r="I2" s="871"/>
      <c r="J2" s="871"/>
      <c r="K2" s="871"/>
      <c r="L2" s="871"/>
    </row>
    <row r="4" spans="1:12" ht="17.25" customHeight="1">
      <c r="A4" s="872" t="s">
        <v>62</v>
      </c>
      <c r="B4" s="872"/>
      <c r="C4" s="872"/>
      <c r="D4" s="872"/>
      <c r="E4" s="872"/>
      <c r="F4" s="872"/>
      <c r="G4" s="846" t="s">
        <v>62</v>
      </c>
      <c r="H4" s="846"/>
      <c r="I4" s="846"/>
      <c r="J4" s="846"/>
      <c r="K4" s="846"/>
      <c r="L4" s="846"/>
    </row>
    <row r="5" spans="1:12" ht="17.25" customHeight="1">
      <c r="A5" s="847" t="s">
        <v>318</v>
      </c>
      <c r="B5" s="847"/>
      <c r="C5" s="847"/>
      <c r="D5" s="847"/>
      <c r="E5" s="847"/>
      <c r="F5" s="847"/>
      <c r="G5" s="848" t="s">
        <v>318</v>
      </c>
      <c r="H5" s="848"/>
      <c r="I5" s="848"/>
      <c r="J5" s="848"/>
      <c r="K5" s="848"/>
      <c r="L5" s="848"/>
    </row>
    <row r="6" spans="1:12" ht="7.5" customHeight="1">
      <c r="A6" s="231"/>
      <c r="B6" s="231"/>
      <c r="C6" s="231"/>
      <c r="D6" s="231"/>
      <c r="E6" s="232"/>
      <c r="F6" s="231"/>
      <c r="G6" s="231"/>
      <c r="H6" s="231"/>
      <c r="I6" s="231"/>
      <c r="J6" s="665"/>
      <c r="K6" s="233"/>
      <c r="L6" s="231"/>
    </row>
    <row r="7" spans="6:12" ht="12.75">
      <c r="F7" s="234" t="s">
        <v>63</v>
      </c>
      <c r="L7" s="234" t="s">
        <v>64</v>
      </c>
    </row>
    <row r="8" spans="1:12" ht="47.25" customHeight="1">
      <c r="A8" s="235" t="s">
        <v>738</v>
      </c>
      <c r="B8" s="235" t="s">
        <v>843</v>
      </c>
      <c r="C8" s="235" t="s">
        <v>65</v>
      </c>
      <c r="D8" s="235" t="s">
        <v>844</v>
      </c>
      <c r="E8" s="236" t="s">
        <v>66</v>
      </c>
      <c r="F8" s="237" t="s">
        <v>1046</v>
      </c>
      <c r="G8" s="235" t="s">
        <v>738</v>
      </c>
      <c r="H8" s="235" t="s">
        <v>843</v>
      </c>
      <c r="I8" s="235" t="s">
        <v>65</v>
      </c>
      <c r="J8" s="142" t="s">
        <v>844</v>
      </c>
      <c r="K8" s="238" t="s">
        <v>66</v>
      </c>
      <c r="L8" s="666" t="s">
        <v>312</v>
      </c>
    </row>
    <row r="9" spans="1:12" ht="12.75">
      <c r="A9" s="239">
        <v>1</v>
      </c>
      <c r="B9" s="222">
        <v>2</v>
      </c>
      <c r="C9" s="240">
        <v>3</v>
      </c>
      <c r="D9" s="240">
        <v>4</v>
      </c>
      <c r="E9" s="240">
        <v>5</v>
      </c>
      <c r="F9" s="239">
        <v>6</v>
      </c>
      <c r="G9" s="239">
        <v>1</v>
      </c>
      <c r="H9" s="222">
        <v>2</v>
      </c>
      <c r="I9" s="240">
        <v>3</v>
      </c>
      <c r="J9" s="667">
        <v>4</v>
      </c>
      <c r="K9" s="240">
        <v>5</v>
      </c>
      <c r="L9" s="239">
        <v>6</v>
      </c>
    </row>
    <row r="10" spans="1:17" ht="12.75" customHeight="1">
      <c r="A10" s="215" t="s">
        <v>67</v>
      </c>
      <c r="B10" s="96">
        <f>SUM(B20,B28,B40,B45,B51,B58,B70,B78,B90,B96,B103,B115,B170,B180,B186)</f>
        <v>727302389</v>
      </c>
      <c r="C10" s="96">
        <f>SUM(C20,C28,C40,C45,C51,C58,C70,C78,C90,C96,C103,C115,C170,C180,C186)</f>
        <v>657558347</v>
      </c>
      <c r="D10" s="96">
        <f>SUM(D20,D28,D40,D45,D51,D58,D70,D78,D90,D96,D103,D115,D170,D180,D186)</f>
        <v>639717710</v>
      </c>
      <c r="E10" s="241">
        <f aca="true" t="shared" si="0" ref="E10:E17">D10/B10*100</f>
        <v>87.95759778536902</v>
      </c>
      <c r="F10" s="96">
        <f>SUM(F20,F28,F40,F45,F51,F58,F70,F78,F90,F96,F103,F115,F170,F180,F186)</f>
        <v>57344231</v>
      </c>
      <c r="G10" s="32" t="s">
        <v>470</v>
      </c>
      <c r="H10" s="96">
        <f>SUM(H20,H28,H40,H45,H51,H58,H70,H78,H90,H96,H103,H115,H170,H180,H186)</f>
        <v>727302</v>
      </c>
      <c r="I10" s="96">
        <f>SUM(I20,I28,I40,I45,I51,I58,I70,I78,I90,I96,I103,I115,I170,I180,I186)</f>
        <v>657558</v>
      </c>
      <c r="J10" s="96">
        <f>SUM(J20,J28,J40,J45,J51,J58,J70,J78,J90,J96,J103,J115,J170,J180,J186)</f>
        <v>639717</v>
      </c>
      <c r="K10" s="242">
        <f aca="true" t="shared" si="1" ref="K10:K17">J10/H10*100</f>
        <v>87.95754720872485</v>
      </c>
      <c r="L10" s="96">
        <f>SUM(L20,L28,L40,L45,L51,L58,L70,L78,L90,L96,L103,L115,L170,L180,L186)</f>
        <v>57343</v>
      </c>
      <c r="O10" s="788">
        <f>J10</f>
        <v>639717</v>
      </c>
      <c r="P10">
        <v>582374</v>
      </c>
      <c r="Q10">
        <f>O10-P10</f>
        <v>57343</v>
      </c>
    </row>
    <row r="11" spans="1:17" ht="12.75" customHeight="1">
      <c r="A11" s="215" t="s">
        <v>42</v>
      </c>
      <c r="B11" s="96">
        <f>B12+B14</f>
        <v>770013899</v>
      </c>
      <c r="C11" s="96">
        <f>C12+C14</f>
        <v>710289446</v>
      </c>
      <c r="D11" s="96">
        <f>D12+D14</f>
        <v>661236901.16</v>
      </c>
      <c r="E11" s="241">
        <f t="shared" si="0"/>
        <v>85.87337215844202</v>
      </c>
      <c r="F11" s="96">
        <f>F12+F14</f>
        <v>61090486.16</v>
      </c>
      <c r="G11" s="32" t="s">
        <v>326</v>
      </c>
      <c r="H11" s="96">
        <f>H12+H14</f>
        <v>770013</v>
      </c>
      <c r="I11" s="96">
        <f>I12+I14</f>
        <v>710289</v>
      </c>
      <c r="J11" s="669">
        <f>J12+J14</f>
        <v>661236</v>
      </c>
      <c r="K11" s="94">
        <f t="shared" si="1"/>
        <v>85.87335538490909</v>
      </c>
      <c r="L11" s="96">
        <f>L12+L14</f>
        <v>61089</v>
      </c>
      <c r="O11" s="788">
        <f aca="true" t="shared" si="2" ref="O11:O74">J11</f>
        <v>661236</v>
      </c>
      <c r="P11">
        <v>600147</v>
      </c>
      <c r="Q11">
        <f aca="true" t="shared" si="3" ref="Q11:Q74">O11-P11</f>
        <v>61089</v>
      </c>
    </row>
    <row r="12" spans="1:17" ht="12.75" customHeight="1">
      <c r="A12" s="215" t="s">
        <v>68</v>
      </c>
      <c r="B12" s="217">
        <f>SUM(B23,B38,B43,B54,B62,B74,B84,B93,B99,B109,B120,B176,B184,B189)</f>
        <v>736988974</v>
      </c>
      <c r="C12" s="217">
        <f>SUM(C23,C38,C43,C54,C62,C74,C84,C93,C99,C109,C120,C176,C184,C189)</f>
        <v>678944717</v>
      </c>
      <c r="D12" s="217">
        <f>SUM(D23,D38,D43,D54,D62,D74,D84,D93,D99,D109,D120,D176,D184,D189)</f>
        <v>639748347.16</v>
      </c>
      <c r="E12" s="243">
        <f t="shared" si="0"/>
        <v>86.80568770083119</v>
      </c>
      <c r="F12" s="217">
        <f>SUM(F23,F38,F43,F54,F62,F74,F84,F93,F99,F109,F120,F176,F184,F189)</f>
        <v>58397433.16</v>
      </c>
      <c r="G12" s="215" t="s">
        <v>68</v>
      </c>
      <c r="H12" s="217">
        <f>SUM(H23,H38,H43,H54,H62,H74,H84,H93,H99,H109,H120,H176,H184,H189)</f>
        <v>736988</v>
      </c>
      <c r="I12" s="217">
        <f>SUM(I23,I38,I43,I54,I62,I74,I84,I93,I99,I109,I120,I176,I184,I189)</f>
        <v>678944</v>
      </c>
      <c r="J12" s="217">
        <f>SUM(J23,J38,J43,J54,J62,J74,J84,J93,J99,J109,J120,J176,J184,J189)</f>
        <v>639749</v>
      </c>
      <c r="K12" s="247">
        <f t="shared" si="1"/>
        <v>86.80589100500958</v>
      </c>
      <c r="L12" s="217">
        <f>SUM(L23,L38,L43,L54,L62,L74,L84,L93,L99,L109,L120,L176,L184,L189)</f>
        <v>58398</v>
      </c>
      <c r="O12" s="788">
        <f t="shared" si="2"/>
        <v>639749</v>
      </c>
      <c r="P12">
        <v>581351</v>
      </c>
      <c r="Q12">
        <f t="shared" si="3"/>
        <v>58398</v>
      </c>
    </row>
    <row r="13" spans="1:17" ht="12.75" customHeight="1">
      <c r="A13" s="248" t="s">
        <v>69</v>
      </c>
      <c r="B13" s="217">
        <f>SUM(B55,B63,B85,B110,B121,B190)</f>
        <v>5690057</v>
      </c>
      <c r="C13" s="217"/>
      <c r="D13" s="217">
        <f>SUM(D24,D55,D63,D85,D110,D121,D190)</f>
        <v>5143044</v>
      </c>
      <c r="E13" s="243">
        <f t="shared" si="0"/>
        <v>90.3865110665851</v>
      </c>
      <c r="F13" s="217">
        <f>SUM(F24,F55,F63,F85,F110,F121,F190)</f>
        <v>531238</v>
      </c>
      <c r="G13" s="248" t="s">
        <v>69</v>
      </c>
      <c r="H13" s="217">
        <f>SUM(H55,H63,H85,H110,H121,H190)</f>
        <v>5690</v>
      </c>
      <c r="I13" s="244">
        <f>ROUND(C13/1000,0)</f>
        <v>0</v>
      </c>
      <c r="J13" s="217">
        <f>SUM(J24,J55,J63,J85,J110,J121,J190)</f>
        <v>5143</v>
      </c>
      <c r="K13" s="247">
        <f t="shared" si="1"/>
        <v>90.38664323374341</v>
      </c>
      <c r="L13" s="244">
        <f>ROUND(F13/1000,0)</f>
        <v>531</v>
      </c>
      <c r="O13" s="788">
        <f t="shared" si="2"/>
        <v>5143</v>
      </c>
      <c r="P13">
        <v>4611</v>
      </c>
      <c r="Q13">
        <f t="shared" si="3"/>
        <v>532</v>
      </c>
    </row>
    <row r="14" spans="1:17" ht="12.75" customHeight="1">
      <c r="A14" s="215" t="s">
        <v>70</v>
      </c>
      <c r="B14" s="217">
        <f>SUM(B25,B56,B64,B75,B86,B94,B100,B111,B122,B177,B191)</f>
        <v>33024925</v>
      </c>
      <c r="C14" s="217">
        <f>SUM(C25,C56,C64,C75,C86,C94,C100,C111,C122,C177,C191)</f>
        <v>31344729</v>
      </c>
      <c r="D14" s="217">
        <f>SUM(D25,D56,D64,D75,D86,D94,D100,D111,D122,D177,D191)</f>
        <v>21488554</v>
      </c>
      <c r="E14" s="243">
        <f t="shared" si="0"/>
        <v>65.0676844837649</v>
      </c>
      <c r="F14" s="217">
        <f>SUM(F25,F56,F64,F75,F86,F94,F100,F111,F122,F177,F191)</f>
        <v>2693053</v>
      </c>
      <c r="G14" s="215" t="s">
        <v>70</v>
      </c>
      <c r="H14" s="217">
        <f>SUM(H25,H56,H64,H75,H86,H94,H100,H111,H122,H177,H191)</f>
        <v>33025</v>
      </c>
      <c r="I14" s="217">
        <f>SUM(I25,I56,I64,I75,I86,I94,I100,I111,I122,I177,I191)</f>
        <v>31345</v>
      </c>
      <c r="J14" s="217">
        <f>SUM(J25,J56,J64,J75,J86,J94,J100,J111,J122,J177,J191)</f>
        <v>21487</v>
      </c>
      <c r="K14" s="247">
        <f t="shared" si="1"/>
        <v>65.06283118849356</v>
      </c>
      <c r="L14" s="217">
        <f>SUM(L25,L56,L64,L75,L86,L94,L100,L111,L122,L177,L191)</f>
        <v>2691</v>
      </c>
      <c r="O14" s="788">
        <f t="shared" si="2"/>
        <v>21487</v>
      </c>
      <c r="P14">
        <v>18796</v>
      </c>
      <c r="Q14">
        <f t="shared" si="3"/>
        <v>2691</v>
      </c>
    </row>
    <row r="15" spans="1:17" ht="12.75" customHeight="1">
      <c r="A15" s="215" t="s">
        <v>977</v>
      </c>
      <c r="B15" s="96">
        <f>SUM(B65)</f>
        <v>6370052</v>
      </c>
      <c r="C15" s="96">
        <f>SUM(C65)</f>
        <v>6028954</v>
      </c>
      <c r="D15" s="96">
        <f>SUM(D65)</f>
        <v>5395805.03</v>
      </c>
      <c r="E15" s="241">
        <f t="shared" si="0"/>
        <v>84.70582390850186</v>
      </c>
      <c r="F15" s="96">
        <f>SUM(F65)</f>
        <v>718430.0300000003</v>
      </c>
      <c r="G15" s="32" t="s">
        <v>977</v>
      </c>
      <c r="H15" s="96">
        <f>SUM(H65)</f>
        <v>6370</v>
      </c>
      <c r="I15" s="96">
        <f>ROUND(C15/1000,0)</f>
        <v>6029</v>
      </c>
      <c r="J15" s="96">
        <f>SUM(J65)</f>
        <v>5396</v>
      </c>
      <c r="K15" s="94">
        <f t="shared" si="1"/>
        <v>84.70957613814757</v>
      </c>
      <c r="L15" s="96">
        <f>SUM(L65)</f>
        <v>719</v>
      </c>
      <c r="O15" s="788">
        <f t="shared" si="2"/>
        <v>5396</v>
      </c>
      <c r="P15">
        <v>4677</v>
      </c>
      <c r="Q15">
        <f t="shared" si="3"/>
        <v>719</v>
      </c>
    </row>
    <row r="16" spans="1:17" ht="12.75" customHeight="1">
      <c r="A16" s="215" t="s">
        <v>978</v>
      </c>
      <c r="B16" s="96">
        <f>B10-B11-B15</f>
        <v>-49081562</v>
      </c>
      <c r="C16" s="96">
        <f>C10-C11-C15</f>
        <v>-58760053</v>
      </c>
      <c r="D16" s="96">
        <f>D10-D11-D15</f>
        <v>-26914996.189999968</v>
      </c>
      <c r="E16" s="241">
        <f t="shared" si="0"/>
        <v>54.83728531296532</v>
      </c>
      <c r="F16" s="96">
        <f>F10-F11-F15</f>
        <v>-4464685.189999997</v>
      </c>
      <c r="G16" s="32" t="s">
        <v>978</v>
      </c>
      <c r="H16" s="96">
        <f>H10-H11-H15</f>
        <v>-49081</v>
      </c>
      <c r="I16" s="96">
        <f>I10-I11-I15</f>
        <v>-58760</v>
      </c>
      <c r="J16" s="668">
        <f>J10-J11-J15</f>
        <v>-26915</v>
      </c>
      <c r="K16" s="94">
        <f t="shared" si="1"/>
        <v>54.83792098775494</v>
      </c>
      <c r="L16" s="96">
        <f>L10-L11-L15</f>
        <v>-4465</v>
      </c>
      <c r="O16" s="788">
        <f t="shared" si="2"/>
        <v>-26915</v>
      </c>
      <c r="P16">
        <v>-22450</v>
      </c>
      <c r="Q16">
        <f t="shared" si="3"/>
        <v>-4465</v>
      </c>
    </row>
    <row r="17" spans="1:17" ht="12.75" customHeight="1">
      <c r="A17" s="69" t="s">
        <v>71</v>
      </c>
      <c r="B17" s="96">
        <f>SUM(B67,B88,B113,B124,B193)</f>
        <v>48047657</v>
      </c>
      <c r="C17" s="96">
        <f>SUM(C67,C88,C113,C124,C193)</f>
        <v>55672825</v>
      </c>
      <c r="D17" s="96">
        <f>SUM(D67,D88,D113,D124,D193)</f>
        <v>35510127</v>
      </c>
      <c r="E17" s="241">
        <f t="shared" si="0"/>
        <v>73.9060533170223</v>
      </c>
      <c r="F17" s="96">
        <f>SUM(F67,F88,F113,F124,F193)</f>
        <v>2129497</v>
      </c>
      <c r="G17" s="76" t="s">
        <v>71</v>
      </c>
      <c r="H17" s="96">
        <f>SUM(H67,H88,H113,H124,H193)</f>
        <v>48047</v>
      </c>
      <c r="I17" s="96">
        <f>SUM(I67,I88,I113,I124,I193)</f>
        <v>55672</v>
      </c>
      <c r="J17" s="96">
        <f>SUM(J67,J88,J113,J124,J193)</f>
        <v>35510</v>
      </c>
      <c r="K17" s="94">
        <f t="shared" si="1"/>
        <v>73.9067995920661</v>
      </c>
      <c r="L17" s="96">
        <f>SUM(L67,L88,L113,L124,L193)</f>
        <v>2130</v>
      </c>
      <c r="O17" s="788">
        <f t="shared" si="2"/>
        <v>35510</v>
      </c>
      <c r="P17">
        <v>33380</v>
      </c>
      <c r="Q17">
        <f t="shared" si="3"/>
        <v>2130</v>
      </c>
    </row>
    <row r="18" spans="1:17" ht="20.25" customHeight="1">
      <c r="A18" s="32" t="s">
        <v>991</v>
      </c>
      <c r="B18" s="245"/>
      <c r="C18" s="245"/>
      <c r="D18" s="245"/>
      <c r="E18" s="243"/>
      <c r="F18" s="245"/>
      <c r="G18" s="32" t="s">
        <v>991</v>
      </c>
      <c r="H18" s="245"/>
      <c r="I18" s="245"/>
      <c r="J18" s="671"/>
      <c r="K18" s="247"/>
      <c r="L18" s="245"/>
      <c r="O18" s="788">
        <f t="shared" si="2"/>
        <v>0</v>
      </c>
      <c r="Q18">
        <f t="shared" si="3"/>
        <v>0</v>
      </c>
    </row>
    <row r="19" spans="1:17" ht="12.75" customHeight="1">
      <c r="A19" s="424" t="s">
        <v>72</v>
      </c>
      <c r="B19" s="245"/>
      <c r="C19" s="245"/>
      <c r="D19" s="245"/>
      <c r="E19" s="243"/>
      <c r="F19" s="245"/>
      <c r="G19" s="424" t="s">
        <v>72</v>
      </c>
      <c r="H19" s="245"/>
      <c r="I19" s="245"/>
      <c r="J19" s="671"/>
      <c r="K19" s="247"/>
      <c r="L19" s="245"/>
      <c r="O19" s="788">
        <f t="shared" si="2"/>
        <v>0</v>
      </c>
      <c r="Q19">
        <f t="shared" si="3"/>
        <v>0</v>
      </c>
    </row>
    <row r="20" spans="1:17" ht="12.75" customHeight="1">
      <c r="A20" s="215" t="s">
        <v>73</v>
      </c>
      <c r="B20" s="217">
        <f>B21</f>
        <v>2874300</v>
      </c>
      <c r="C20" s="672">
        <v>2624300</v>
      </c>
      <c r="D20" s="675">
        <f>D21</f>
        <v>1593385</v>
      </c>
      <c r="E20" s="243">
        <f>D20/B20*100</f>
        <v>55.43558431618133</v>
      </c>
      <c r="F20" s="245">
        <f>SUM(F21)</f>
        <v>70808</v>
      </c>
      <c r="G20" s="215" t="s">
        <v>73</v>
      </c>
      <c r="H20" s="217">
        <f>H21</f>
        <v>2874</v>
      </c>
      <c r="I20" s="217">
        <f>ROUND(C20/1000,0)</f>
        <v>2624</v>
      </c>
      <c r="J20" s="672">
        <f>J21</f>
        <v>1593</v>
      </c>
      <c r="K20" s="247">
        <f>J20/H20*100</f>
        <v>55.42797494780793</v>
      </c>
      <c r="L20" s="245">
        <f>SUM(L21)</f>
        <v>70</v>
      </c>
      <c r="O20" s="788">
        <f t="shared" si="2"/>
        <v>1593</v>
      </c>
      <c r="P20">
        <v>1523</v>
      </c>
      <c r="Q20">
        <f t="shared" si="3"/>
        <v>70</v>
      </c>
    </row>
    <row r="21" spans="1:17" ht="12.75" customHeight="1">
      <c r="A21" s="215" t="s">
        <v>74</v>
      </c>
      <c r="B21" s="217">
        <v>2874300</v>
      </c>
      <c r="C21" s="672"/>
      <c r="D21" s="672">
        <f>'[16]novembris'!$K$6</f>
        <v>1593385</v>
      </c>
      <c r="E21" s="243">
        <f>D21/B21*100</f>
        <v>55.43558431618133</v>
      </c>
      <c r="F21" s="245">
        <f>D21-'[6]Oktobris'!D21</f>
        <v>70808</v>
      </c>
      <c r="G21" s="215" t="s">
        <v>74</v>
      </c>
      <c r="H21" s="217">
        <f>ROUND(B21/1000,0)</f>
        <v>2874</v>
      </c>
      <c r="I21" s="217"/>
      <c r="J21" s="672">
        <f>ROUND(D21/1000,0)</f>
        <v>1593</v>
      </c>
      <c r="K21" s="247">
        <f>J21/H21*100</f>
        <v>55.42797494780793</v>
      </c>
      <c r="L21" s="245">
        <f>J21-'[6]Oktobris'!J21</f>
        <v>70</v>
      </c>
      <c r="O21" s="788">
        <f t="shared" si="2"/>
        <v>1593</v>
      </c>
      <c r="P21">
        <v>1523</v>
      </c>
      <c r="Q21">
        <f t="shared" si="3"/>
        <v>70</v>
      </c>
    </row>
    <row r="22" spans="1:17" ht="12.75" customHeight="1">
      <c r="A22" s="215" t="s">
        <v>75</v>
      </c>
      <c r="B22" s="245">
        <f>B23+B25</f>
        <v>2874300</v>
      </c>
      <c r="C22" s="670">
        <f>C23+C25</f>
        <v>2624300</v>
      </c>
      <c r="D22" s="670">
        <f>D23+D25</f>
        <v>1561889.1600000001</v>
      </c>
      <c r="E22" s="243">
        <f>D22/B22*100</f>
        <v>54.33981004070557</v>
      </c>
      <c r="F22" s="245">
        <f>SUM(F23:F25)</f>
        <v>121099.16000000015</v>
      </c>
      <c r="G22" s="215" t="s">
        <v>75</v>
      </c>
      <c r="H22" s="245">
        <f>H23+H25</f>
        <v>2874</v>
      </c>
      <c r="I22" s="217">
        <f>SUM(I23:I25)</f>
        <v>2625</v>
      </c>
      <c r="J22" s="672">
        <f>SUM(J23+J25)</f>
        <v>1562</v>
      </c>
      <c r="K22" s="247">
        <f>J22/H22*100</f>
        <v>54.34933890048712</v>
      </c>
      <c r="L22" s="245">
        <f>SUM(L23:L25)</f>
        <v>121</v>
      </c>
      <c r="O22" s="788">
        <f t="shared" si="2"/>
        <v>1562</v>
      </c>
      <c r="P22">
        <v>1441</v>
      </c>
      <c r="Q22">
        <f t="shared" si="3"/>
        <v>121</v>
      </c>
    </row>
    <row r="23" spans="1:17" ht="12.75" customHeight="1">
      <c r="A23" s="215" t="s">
        <v>76</v>
      </c>
      <c r="B23" s="217">
        <v>2856700</v>
      </c>
      <c r="C23" s="672">
        <v>2606700</v>
      </c>
      <c r="D23" s="672">
        <f>'[16]novembris'!$K$8</f>
        <v>1546977.1600000001</v>
      </c>
      <c r="E23" s="243">
        <f>D23/B23*100</f>
        <v>54.15259425210909</v>
      </c>
      <c r="F23" s="245">
        <f>D23-'[6]Oktobris'!D23</f>
        <v>119725.16000000015</v>
      </c>
      <c r="G23" s="215" t="s">
        <v>76</v>
      </c>
      <c r="H23" s="217">
        <f>ROUND(B23/1000,0)-1</f>
        <v>2856</v>
      </c>
      <c r="I23" s="217">
        <f>ROUND(C23/1000,0)</f>
        <v>2607</v>
      </c>
      <c r="J23" s="672">
        <f>ROUND(D23/1000,0)</f>
        <v>1547</v>
      </c>
      <c r="K23" s="247">
        <f>J23/H23*100</f>
        <v>54.166666666666664</v>
      </c>
      <c r="L23" s="245">
        <f>J23-'[6]Oktobris'!J23</f>
        <v>120</v>
      </c>
      <c r="O23" s="788">
        <f t="shared" si="2"/>
        <v>1547</v>
      </c>
      <c r="P23">
        <v>1427</v>
      </c>
      <c r="Q23">
        <f t="shared" si="3"/>
        <v>120</v>
      </c>
    </row>
    <row r="24" spans="1:17" ht="12" customHeight="1" hidden="1">
      <c r="A24" s="248" t="s">
        <v>69</v>
      </c>
      <c r="B24" s="217"/>
      <c r="C24" s="672"/>
      <c r="D24" s="672"/>
      <c r="E24" s="243"/>
      <c r="F24" s="245">
        <f>D24-'[6]Oktobris'!D24</f>
        <v>0</v>
      </c>
      <c r="G24" s="248" t="s">
        <v>69</v>
      </c>
      <c r="H24" s="217">
        <f>SUM(H25:H26)</f>
        <v>18</v>
      </c>
      <c r="I24" s="217"/>
      <c r="J24" s="672"/>
      <c r="K24" s="247"/>
      <c r="L24" s="245">
        <f>J24-'[6]Oktobris'!J24</f>
        <v>0</v>
      </c>
      <c r="O24" s="788">
        <f t="shared" si="2"/>
        <v>0</v>
      </c>
      <c r="Q24">
        <f t="shared" si="3"/>
        <v>0</v>
      </c>
    </row>
    <row r="25" spans="1:17" ht="12.75" customHeight="1">
      <c r="A25" s="215" t="s">
        <v>70</v>
      </c>
      <c r="B25" s="217">
        <v>17600</v>
      </c>
      <c r="C25" s="672">
        <v>17600</v>
      </c>
      <c r="D25" s="672">
        <f>'[16]novembris'!$K$31</f>
        <v>14912</v>
      </c>
      <c r="E25" s="243">
        <f>D25/B25*100</f>
        <v>84.72727272727273</v>
      </c>
      <c r="F25" s="245">
        <f>D25-'[6]Oktobris'!D25</f>
        <v>1374</v>
      </c>
      <c r="G25" s="215" t="s">
        <v>70</v>
      </c>
      <c r="H25" s="217">
        <f>ROUND(B25/1000,0)</f>
        <v>18</v>
      </c>
      <c r="I25" s="217">
        <f>ROUND(C25/1000,0)</f>
        <v>18</v>
      </c>
      <c r="J25" s="672">
        <f>ROUND(D25/1000,0)</f>
        <v>15</v>
      </c>
      <c r="K25" s="247">
        <f>J25/H25*100</f>
        <v>83.33333333333334</v>
      </c>
      <c r="L25" s="245">
        <f>J25-'[6]Oktobris'!J25</f>
        <v>1</v>
      </c>
      <c r="O25" s="788">
        <f t="shared" si="2"/>
        <v>15</v>
      </c>
      <c r="P25">
        <v>14</v>
      </c>
      <c r="Q25">
        <f t="shared" si="3"/>
        <v>1</v>
      </c>
    </row>
    <row r="26" spans="1:17" ht="12.75" customHeight="1">
      <c r="A26" s="32" t="s">
        <v>993</v>
      </c>
      <c r="B26" s="245"/>
      <c r="C26" s="670"/>
      <c r="D26" s="670"/>
      <c r="E26" s="243"/>
      <c r="F26" s="245"/>
      <c r="G26" s="32" t="s">
        <v>993</v>
      </c>
      <c r="H26" s="245"/>
      <c r="I26" s="217"/>
      <c r="J26" s="672"/>
      <c r="K26" s="247"/>
      <c r="L26" s="245"/>
      <c r="O26" s="788">
        <f t="shared" si="2"/>
        <v>0</v>
      </c>
      <c r="Q26">
        <f t="shared" si="3"/>
        <v>0</v>
      </c>
    </row>
    <row r="27" spans="1:17" ht="24" customHeight="1">
      <c r="A27" s="92" t="s">
        <v>77</v>
      </c>
      <c r="B27" s="245"/>
      <c r="C27" s="670"/>
      <c r="D27" s="670"/>
      <c r="E27" s="243"/>
      <c r="F27" s="245">
        <f>D27-'[6]Oktobris'!D27</f>
        <v>0</v>
      </c>
      <c r="G27" s="126" t="s">
        <v>77</v>
      </c>
      <c r="H27" s="245"/>
      <c r="I27" s="217"/>
      <c r="J27" s="672"/>
      <c r="K27" s="247"/>
      <c r="L27" s="245"/>
      <c r="O27" s="788">
        <f t="shared" si="2"/>
        <v>0</v>
      </c>
      <c r="Q27">
        <f t="shared" si="3"/>
        <v>0</v>
      </c>
    </row>
    <row r="28" spans="1:17" ht="12.75" customHeight="1">
      <c r="A28" s="215" t="s">
        <v>73</v>
      </c>
      <c r="B28" s="245">
        <f>B29+B34+B35+B36</f>
        <v>2890000</v>
      </c>
      <c r="C28" s="671">
        <v>2677500</v>
      </c>
      <c r="D28" s="670">
        <f>D29+D34+D35+D36</f>
        <v>2618884</v>
      </c>
      <c r="E28" s="243">
        <f aca="true" t="shared" si="4" ref="E28:E38">D28/B28*100</f>
        <v>90.61882352941176</v>
      </c>
      <c r="F28" s="245">
        <f>SUM(F29,F34,F35,F36)</f>
        <v>201759</v>
      </c>
      <c r="G28" s="215" t="s">
        <v>73</v>
      </c>
      <c r="H28" s="245">
        <f>H29+H34+H35+H36</f>
        <v>2890</v>
      </c>
      <c r="I28" s="217">
        <f>ROUND(C28/1000,0)</f>
        <v>2678</v>
      </c>
      <c r="J28" s="670">
        <f>J29+J34+J35+J36</f>
        <v>2618</v>
      </c>
      <c r="K28" s="247">
        <f aca="true" t="shared" si="5" ref="K28:K35">J28/H28*100</f>
        <v>90.58823529411765</v>
      </c>
      <c r="L28" s="245">
        <f>SUM(L29,L34,L35,L36)</f>
        <v>201</v>
      </c>
      <c r="O28" s="788">
        <f t="shared" si="2"/>
        <v>2618</v>
      </c>
      <c r="P28">
        <v>2417</v>
      </c>
      <c r="Q28">
        <f t="shared" si="3"/>
        <v>201</v>
      </c>
    </row>
    <row r="29" spans="1:17" ht="12.75" customHeight="1">
      <c r="A29" s="69" t="s">
        <v>78</v>
      </c>
      <c r="B29" s="217">
        <f>SUM(B30:B33)</f>
        <v>2555000</v>
      </c>
      <c r="C29" s="246"/>
      <c r="D29" s="217">
        <f>SUM(D30:D33)</f>
        <v>2054378</v>
      </c>
      <c r="E29" s="243">
        <f t="shared" si="4"/>
        <v>80.40618395303328</v>
      </c>
      <c r="F29" s="245">
        <f>SUM(F30:F33)</f>
        <v>155507</v>
      </c>
      <c r="G29" s="69" t="s">
        <v>78</v>
      </c>
      <c r="H29" s="217">
        <f>SUM(H30:H33)</f>
        <v>2555</v>
      </c>
      <c r="I29" s="217"/>
      <c r="J29" s="672">
        <f>SUM(J30:J33)</f>
        <v>2054</v>
      </c>
      <c r="K29" s="247">
        <f t="shared" si="5"/>
        <v>80.39138943248533</v>
      </c>
      <c r="L29" s="245">
        <f>SUM(L30:L33)</f>
        <v>155</v>
      </c>
      <c r="O29" s="788">
        <f t="shared" si="2"/>
        <v>2054</v>
      </c>
      <c r="P29">
        <v>1899</v>
      </c>
      <c r="Q29">
        <f t="shared" si="3"/>
        <v>155</v>
      </c>
    </row>
    <row r="30" spans="1:17" ht="51">
      <c r="A30" s="77" t="s">
        <v>79</v>
      </c>
      <c r="B30" s="217">
        <v>2000000</v>
      </c>
      <c r="C30" s="246"/>
      <c r="D30" s="246">
        <v>1509743</v>
      </c>
      <c r="E30" s="243">
        <f t="shared" si="4"/>
        <v>75.48715</v>
      </c>
      <c r="F30" s="245">
        <f>D30-'[6]Oktobris'!D30</f>
        <v>124701</v>
      </c>
      <c r="G30" s="77" t="s">
        <v>79</v>
      </c>
      <c r="H30" s="217">
        <f aca="true" t="shared" si="6" ref="H30:H36">ROUND(B30/1000,0)</f>
        <v>2000</v>
      </c>
      <c r="I30" s="217"/>
      <c r="J30" s="672">
        <f aca="true" t="shared" si="7" ref="J30:J36">ROUND(D30/1000,0)</f>
        <v>1510</v>
      </c>
      <c r="K30" s="247">
        <f t="shared" si="5"/>
        <v>75.5</v>
      </c>
      <c r="L30" s="245">
        <f>J30-'[6]Oktobris'!J30</f>
        <v>125</v>
      </c>
      <c r="O30" s="788">
        <f t="shared" si="2"/>
        <v>1510</v>
      </c>
      <c r="P30">
        <v>1385</v>
      </c>
      <c r="Q30">
        <f t="shared" si="3"/>
        <v>125</v>
      </c>
    </row>
    <row r="31" spans="1:17" ht="38.25">
      <c r="A31" s="77" t="s">
        <v>80</v>
      </c>
      <c r="B31" s="217">
        <v>240000</v>
      </c>
      <c r="C31" s="246"/>
      <c r="D31" s="246">
        <v>236050</v>
      </c>
      <c r="E31" s="243">
        <f t="shared" si="4"/>
        <v>98.35416666666667</v>
      </c>
      <c r="F31" s="245">
        <f>D31-'[6]Oktobris'!D31</f>
        <v>8237</v>
      </c>
      <c r="G31" s="77" t="s">
        <v>80</v>
      </c>
      <c r="H31" s="217">
        <f t="shared" si="6"/>
        <v>240</v>
      </c>
      <c r="I31" s="217"/>
      <c r="J31" s="672">
        <f t="shared" si="7"/>
        <v>236</v>
      </c>
      <c r="K31" s="247">
        <f t="shared" si="5"/>
        <v>98.33333333333333</v>
      </c>
      <c r="L31" s="245">
        <f>J31-'[6]Oktobris'!J31</f>
        <v>8</v>
      </c>
      <c r="O31" s="788">
        <f t="shared" si="2"/>
        <v>236</v>
      </c>
      <c r="P31">
        <v>228</v>
      </c>
      <c r="Q31">
        <f t="shared" si="3"/>
        <v>8</v>
      </c>
    </row>
    <row r="32" spans="1:17" ht="25.5" customHeight="1">
      <c r="A32" s="77" t="s">
        <v>81</v>
      </c>
      <c r="B32" s="217">
        <v>145000</v>
      </c>
      <c r="C32" s="246"/>
      <c r="D32" s="246">
        <v>142107</v>
      </c>
      <c r="E32" s="243">
        <f t="shared" si="4"/>
        <v>98.0048275862069</v>
      </c>
      <c r="F32" s="245">
        <f>D32-'[6]Oktobris'!D32</f>
        <v>4954</v>
      </c>
      <c r="G32" s="77" t="s">
        <v>81</v>
      </c>
      <c r="H32" s="217">
        <f t="shared" si="6"/>
        <v>145</v>
      </c>
      <c r="I32" s="217"/>
      <c r="J32" s="672">
        <f t="shared" si="7"/>
        <v>142</v>
      </c>
      <c r="K32" s="247">
        <f t="shared" si="5"/>
        <v>97.93103448275862</v>
      </c>
      <c r="L32" s="245">
        <f>J32-'[6]Oktobris'!J32</f>
        <v>5</v>
      </c>
      <c r="O32" s="788">
        <f t="shared" si="2"/>
        <v>142</v>
      </c>
      <c r="P32">
        <v>137</v>
      </c>
      <c r="Q32">
        <f t="shared" si="3"/>
        <v>5</v>
      </c>
    </row>
    <row r="33" spans="1:17" ht="38.25">
      <c r="A33" s="77" t="s">
        <v>82</v>
      </c>
      <c r="B33" s="217">
        <v>170000</v>
      </c>
      <c r="C33" s="246"/>
      <c r="D33" s="246">
        <v>166478</v>
      </c>
      <c r="E33" s="243">
        <f t="shared" si="4"/>
        <v>97.92823529411766</v>
      </c>
      <c r="F33" s="245">
        <f>D33-'[6]Oktobris'!D33</f>
        <v>17615</v>
      </c>
      <c r="G33" s="77" t="s">
        <v>82</v>
      </c>
      <c r="H33" s="217">
        <f t="shared" si="6"/>
        <v>170</v>
      </c>
      <c r="I33" s="217"/>
      <c r="J33" s="672">
        <f t="shared" si="7"/>
        <v>166</v>
      </c>
      <c r="K33" s="247">
        <f t="shared" si="5"/>
        <v>97.6470588235294</v>
      </c>
      <c r="L33" s="245">
        <f>J33-'[6]Oktobris'!J33</f>
        <v>17</v>
      </c>
      <c r="O33" s="788">
        <f t="shared" si="2"/>
        <v>166</v>
      </c>
      <c r="P33">
        <v>149</v>
      </c>
      <c r="Q33">
        <f t="shared" si="3"/>
        <v>17</v>
      </c>
    </row>
    <row r="34" spans="1:17" ht="12.75" customHeight="1">
      <c r="A34" s="69" t="s">
        <v>83</v>
      </c>
      <c r="B34" s="217">
        <v>160000</v>
      </c>
      <c r="C34" s="246"/>
      <c r="D34" s="246">
        <v>109331</v>
      </c>
      <c r="E34" s="243">
        <f t="shared" si="4"/>
        <v>68.331875</v>
      </c>
      <c r="F34" s="245">
        <f>D34-'[6]Oktobris'!D34</f>
        <v>11</v>
      </c>
      <c r="G34" s="69" t="s">
        <v>83</v>
      </c>
      <c r="H34" s="217">
        <f t="shared" si="6"/>
        <v>160</v>
      </c>
      <c r="I34" s="217"/>
      <c r="J34" s="672">
        <f t="shared" si="7"/>
        <v>109</v>
      </c>
      <c r="K34" s="247">
        <f t="shared" si="5"/>
        <v>68.125</v>
      </c>
      <c r="L34" s="245">
        <f>J34-'[6]Oktobris'!J34</f>
        <v>0</v>
      </c>
      <c r="O34" s="788">
        <f t="shared" si="2"/>
        <v>109</v>
      </c>
      <c r="P34">
        <v>109</v>
      </c>
      <c r="Q34">
        <f t="shared" si="3"/>
        <v>0</v>
      </c>
    </row>
    <row r="35" spans="1:17" ht="12.75" customHeight="1">
      <c r="A35" s="69" t="s">
        <v>84</v>
      </c>
      <c r="B35" s="217">
        <v>170000</v>
      </c>
      <c r="C35" s="246"/>
      <c r="D35" s="246">
        <v>187941</v>
      </c>
      <c r="E35" s="243">
        <f t="shared" si="4"/>
        <v>110.5535294117647</v>
      </c>
      <c r="F35" s="245">
        <f>D35-'[6]Oktobris'!D35</f>
        <v>14315</v>
      </c>
      <c r="G35" s="69" t="s">
        <v>84</v>
      </c>
      <c r="H35" s="217">
        <f t="shared" si="6"/>
        <v>170</v>
      </c>
      <c r="I35" s="217"/>
      <c r="J35" s="672">
        <f t="shared" si="7"/>
        <v>188</v>
      </c>
      <c r="K35" s="247">
        <f t="shared" si="5"/>
        <v>110.58823529411765</v>
      </c>
      <c r="L35" s="245">
        <f>J35-'[6]Oktobris'!J35</f>
        <v>14</v>
      </c>
      <c r="O35" s="788">
        <f t="shared" si="2"/>
        <v>188</v>
      </c>
      <c r="P35">
        <v>174</v>
      </c>
      <c r="Q35">
        <f t="shared" si="3"/>
        <v>14</v>
      </c>
    </row>
    <row r="36" spans="1:17" ht="12.75" customHeight="1">
      <c r="A36" s="251" t="s">
        <v>85</v>
      </c>
      <c r="B36" s="217">
        <v>5000</v>
      </c>
      <c r="C36" s="246"/>
      <c r="D36" s="246">
        <v>267234</v>
      </c>
      <c r="E36" s="243">
        <f t="shared" si="4"/>
        <v>5344.68</v>
      </c>
      <c r="F36" s="245">
        <f>D36-'[6]Oktobris'!D36</f>
        <v>31926</v>
      </c>
      <c r="G36" s="251" t="s">
        <v>85</v>
      </c>
      <c r="H36" s="217">
        <f t="shared" si="6"/>
        <v>5</v>
      </c>
      <c r="I36" s="217"/>
      <c r="J36" s="672">
        <f t="shared" si="7"/>
        <v>267</v>
      </c>
      <c r="K36" s="247"/>
      <c r="L36" s="245">
        <f>J36-'[6]Oktobris'!J36</f>
        <v>32</v>
      </c>
      <c r="O36" s="788">
        <f t="shared" si="2"/>
        <v>267</v>
      </c>
      <c r="P36">
        <v>235</v>
      </c>
      <c r="Q36">
        <f t="shared" si="3"/>
        <v>32</v>
      </c>
    </row>
    <row r="37" spans="1:17" ht="12.75" customHeight="1">
      <c r="A37" s="215" t="s">
        <v>75</v>
      </c>
      <c r="B37" s="245">
        <f>B38</f>
        <v>1275000</v>
      </c>
      <c r="C37" s="245">
        <f>C38</f>
        <v>1150330</v>
      </c>
      <c r="D37" s="245">
        <f>D38</f>
        <v>628596</v>
      </c>
      <c r="E37" s="243">
        <f t="shared" si="4"/>
        <v>49.30164705882353</v>
      </c>
      <c r="F37" s="245">
        <f>F38</f>
        <v>44606</v>
      </c>
      <c r="G37" s="215" t="s">
        <v>75</v>
      </c>
      <c r="H37" s="245">
        <f>H38</f>
        <v>1275</v>
      </c>
      <c r="I37" s="217">
        <f>ROUND(C37/1000,0)</f>
        <v>1150</v>
      </c>
      <c r="J37" s="672">
        <f>SUM(J38)</f>
        <v>629</v>
      </c>
      <c r="K37" s="247">
        <f>J37/H37*100</f>
        <v>49.333333333333336</v>
      </c>
      <c r="L37" s="245">
        <f>L38</f>
        <v>45</v>
      </c>
      <c r="O37" s="788">
        <f t="shared" si="2"/>
        <v>629</v>
      </c>
      <c r="P37">
        <v>584</v>
      </c>
      <c r="Q37">
        <f t="shared" si="3"/>
        <v>45</v>
      </c>
    </row>
    <row r="38" spans="1:17" ht="12.75" customHeight="1">
      <c r="A38" s="215" t="s">
        <v>76</v>
      </c>
      <c r="B38" s="217">
        <v>1275000</v>
      </c>
      <c r="C38" s="246">
        <v>1150330</v>
      </c>
      <c r="D38" s="246">
        <f>'[16]novembris'!$W$8</f>
        <v>628596</v>
      </c>
      <c r="E38" s="243">
        <f t="shared" si="4"/>
        <v>49.30164705882353</v>
      </c>
      <c r="F38" s="245">
        <f>D38-'[6]Oktobris'!D38</f>
        <v>44606</v>
      </c>
      <c r="G38" s="215" t="s">
        <v>76</v>
      </c>
      <c r="H38" s="217">
        <f>ROUND(B38/1000,0)</f>
        <v>1275</v>
      </c>
      <c r="I38" s="217">
        <f>ROUND(C38/1000,0)</f>
        <v>1150</v>
      </c>
      <c r="J38" s="672">
        <f>ROUND(D38/1000,0)</f>
        <v>629</v>
      </c>
      <c r="K38" s="247">
        <f>J38/H38*100</f>
        <v>49.333333333333336</v>
      </c>
      <c r="L38" s="245">
        <f>J38-'[6]Oktobris'!J38</f>
        <v>45</v>
      </c>
      <c r="O38" s="788">
        <f t="shared" si="2"/>
        <v>629</v>
      </c>
      <c r="P38">
        <v>584</v>
      </c>
      <c r="Q38">
        <f t="shared" si="3"/>
        <v>45</v>
      </c>
    </row>
    <row r="39" spans="1:17" ht="24" customHeight="1">
      <c r="A39" s="92" t="s">
        <v>86</v>
      </c>
      <c r="B39" s="111"/>
      <c r="C39" s="111"/>
      <c r="D39" s="111"/>
      <c r="E39" s="243"/>
      <c r="F39" s="245"/>
      <c r="G39" s="92" t="s">
        <v>86</v>
      </c>
      <c r="H39" s="111"/>
      <c r="I39" s="217"/>
      <c r="J39" s="672"/>
      <c r="K39" s="247"/>
      <c r="L39" s="245"/>
      <c r="O39" s="788">
        <f t="shared" si="2"/>
        <v>0</v>
      </c>
      <c r="Q39">
        <f t="shared" si="3"/>
        <v>0</v>
      </c>
    </row>
    <row r="40" spans="1:17" ht="12.75" customHeight="1">
      <c r="A40" s="215" t="s">
        <v>73</v>
      </c>
      <c r="B40" s="245">
        <f>B41</f>
        <v>500000</v>
      </c>
      <c r="C40" s="249">
        <v>500000</v>
      </c>
      <c r="D40" s="670">
        <f>D41</f>
        <v>1687937</v>
      </c>
      <c r="E40" s="243">
        <f>D40/B40*100</f>
        <v>337.5874</v>
      </c>
      <c r="F40" s="245">
        <f>F41</f>
        <v>0</v>
      </c>
      <c r="G40" s="215" t="s">
        <v>73</v>
      </c>
      <c r="H40" s="245">
        <f>H41</f>
        <v>500</v>
      </c>
      <c r="I40" s="217">
        <f>ROUND(C40/1000,0)</f>
        <v>500</v>
      </c>
      <c r="J40" s="672">
        <f>J41</f>
        <v>1688</v>
      </c>
      <c r="K40" s="247">
        <f>J40/H40*100</f>
        <v>337.59999999999997</v>
      </c>
      <c r="L40" s="245">
        <f>L41</f>
        <v>0</v>
      </c>
      <c r="O40" s="788">
        <f t="shared" si="2"/>
        <v>1688</v>
      </c>
      <c r="P40">
        <v>1688</v>
      </c>
      <c r="Q40">
        <f t="shared" si="3"/>
        <v>0</v>
      </c>
    </row>
    <row r="41" spans="1:17" ht="12.75" customHeight="1">
      <c r="A41" s="252" t="s">
        <v>87</v>
      </c>
      <c r="B41" s="217">
        <v>500000</v>
      </c>
      <c r="C41" s="246"/>
      <c r="D41" s="672">
        <f>'[16]novembris'!$X$6</f>
        <v>1687937</v>
      </c>
      <c r="E41" s="243">
        <f>D41/B41*100</f>
        <v>337.5874</v>
      </c>
      <c r="F41" s="245">
        <f>D41-'[6]Oktobris'!D41</f>
        <v>0</v>
      </c>
      <c r="G41" s="252" t="s">
        <v>87</v>
      </c>
      <c r="H41" s="217">
        <f>ROUND(B41/1000,0)</f>
        <v>500</v>
      </c>
      <c r="I41" s="217"/>
      <c r="J41" s="672">
        <f>ROUND(D41/1000,0)</f>
        <v>1688</v>
      </c>
      <c r="K41" s="247">
        <f>J41/H41*100</f>
        <v>337.59999999999997</v>
      </c>
      <c r="L41" s="245">
        <f>J41-'[6]Oktobris'!J41</f>
        <v>0</v>
      </c>
      <c r="O41" s="788">
        <f t="shared" si="2"/>
        <v>1688</v>
      </c>
      <c r="P41">
        <v>1688</v>
      </c>
      <c r="Q41">
        <f t="shared" si="3"/>
        <v>0</v>
      </c>
    </row>
    <row r="42" spans="1:17" ht="12.75" customHeight="1">
      <c r="A42" s="215" t="s">
        <v>75</v>
      </c>
      <c r="B42" s="245">
        <f>B43</f>
        <v>31300</v>
      </c>
      <c r="C42" s="245">
        <f>C43</f>
        <v>31300</v>
      </c>
      <c r="D42" s="670">
        <f>D43</f>
        <v>29817</v>
      </c>
      <c r="E42" s="243">
        <f>D42/B42*100</f>
        <v>95.26198083067092</v>
      </c>
      <c r="F42" s="245">
        <f>SUM(F43)</f>
        <v>0</v>
      </c>
      <c r="G42" s="215" t="s">
        <v>75</v>
      </c>
      <c r="H42" s="245">
        <f>H43</f>
        <v>31</v>
      </c>
      <c r="I42" s="217">
        <f>ROUND(C42/1000,0)</f>
        <v>31</v>
      </c>
      <c r="J42" s="672">
        <f>J43</f>
        <v>30</v>
      </c>
      <c r="K42" s="247">
        <f>J42/H42*100</f>
        <v>96.7741935483871</v>
      </c>
      <c r="L42" s="245">
        <f>SUM(L43)</f>
        <v>0</v>
      </c>
      <c r="O42" s="788">
        <f t="shared" si="2"/>
        <v>30</v>
      </c>
      <c r="P42">
        <v>30</v>
      </c>
      <c r="Q42">
        <f t="shared" si="3"/>
        <v>0</v>
      </c>
    </row>
    <row r="43" spans="1:17" ht="12.75" customHeight="1">
      <c r="A43" s="215" t="s">
        <v>88</v>
      </c>
      <c r="B43" s="217">
        <v>31300</v>
      </c>
      <c r="C43" s="246">
        <v>31300</v>
      </c>
      <c r="D43" s="672">
        <f>'[16]novembris'!$X$7</f>
        <v>29817</v>
      </c>
      <c r="E43" s="243">
        <f>D43/B43*100</f>
        <v>95.26198083067092</v>
      </c>
      <c r="F43" s="245">
        <f>D43-'[6]Oktobris'!D43</f>
        <v>0</v>
      </c>
      <c r="G43" s="215" t="s">
        <v>88</v>
      </c>
      <c r="H43" s="217">
        <f>ROUND(B43/1000,0)</f>
        <v>31</v>
      </c>
      <c r="I43" s="217">
        <f>ROUND(C43/1000,0)</f>
        <v>31</v>
      </c>
      <c r="J43" s="672">
        <f>ROUND(D43/1000,0)</f>
        <v>30</v>
      </c>
      <c r="K43" s="247">
        <f>J43/H43*100</f>
        <v>96.7741935483871</v>
      </c>
      <c r="L43" s="245">
        <f>J43-'[6]Oktobris'!J43</f>
        <v>0</v>
      </c>
      <c r="O43" s="788">
        <f t="shared" si="2"/>
        <v>30</v>
      </c>
      <c r="P43">
        <v>30</v>
      </c>
      <c r="Q43">
        <f t="shared" si="3"/>
        <v>0</v>
      </c>
    </row>
    <row r="44" spans="1:17" ht="12.75" customHeight="1">
      <c r="A44" s="92" t="s">
        <v>89</v>
      </c>
      <c r="B44" s="217"/>
      <c r="C44" s="217"/>
      <c r="D44" s="675"/>
      <c r="E44" s="243"/>
      <c r="F44" s="245"/>
      <c r="G44" s="92" t="s">
        <v>89</v>
      </c>
      <c r="H44" s="217"/>
      <c r="I44" s="217"/>
      <c r="J44" s="672"/>
      <c r="K44" s="247"/>
      <c r="L44" s="245"/>
      <c r="O44" s="788">
        <f t="shared" si="2"/>
        <v>0</v>
      </c>
      <c r="Q44">
        <f t="shared" si="3"/>
        <v>0</v>
      </c>
    </row>
    <row r="45" spans="1:17" ht="12.75" customHeight="1">
      <c r="A45" s="215" t="s">
        <v>73</v>
      </c>
      <c r="B45" s="217">
        <f>B46</f>
        <v>75000</v>
      </c>
      <c r="C45" s="246">
        <v>75000</v>
      </c>
      <c r="D45" s="675">
        <f>D46</f>
        <v>166511</v>
      </c>
      <c r="E45" s="243">
        <f>D45/B45*100</f>
        <v>222.01466666666664</v>
      </c>
      <c r="F45" s="245">
        <f>F46</f>
        <v>2175</v>
      </c>
      <c r="G45" s="215" t="s">
        <v>73</v>
      </c>
      <c r="H45" s="217">
        <f>H46</f>
        <v>75</v>
      </c>
      <c r="I45" s="217">
        <f>ROUND(C45/1000,0)</f>
        <v>75</v>
      </c>
      <c r="J45" s="672">
        <f>ROUND(D45/1000,0)</f>
        <v>167</v>
      </c>
      <c r="K45" s="247">
        <f>J45/H45*100</f>
        <v>222.66666666666666</v>
      </c>
      <c r="L45" s="245">
        <f>L46</f>
        <v>3</v>
      </c>
      <c r="O45" s="788">
        <f t="shared" si="2"/>
        <v>167</v>
      </c>
      <c r="P45">
        <v>164</v>
      </c>
      <c r="Q45">
        <f t="shared" si="3"/>
        <v>3</v>
      </c>
    </row>
    <row r="46" spans="1:17" ht="12.75" customHeight="1">
      <c r="A46" s="69" t="s">
        <v>78</v>
      </c>
      <c r="B46" s="217">
        <v>75000</v>
      </c>
      <c r="C46" s="246"/>
      <c r="D46" s="246">
        <f>D47+D48</f>
        <v>166511</v>
      </c>
      <c r="E46" s="243">
        <f>D46/B46*100</f>
        <v>222.01466666666664</v>
      </c>
      <c r="F46" s="245">
        <f>SUM(F47:F48)</f>
        <v>2175</v>
      </c>
      <c r="G46" s="69" t="s">
        <v>78</v>
      </c>
      <c r="H46" s="217">
        <f>SUM(H47:H48)</f>
        <v>75</v>
      </c>
      <c r="I46" s="217"/>
      <c r="J46" s="672">
        <f>ROUND(D46/1000,0)</f>
        <v>167</v>
      </c>
      <c r="K46" s="247">
        <f>J46/H46*100</f>
        <v>222.66666666666666</v>
      </c>
      <c r="L46" s="245">
        <f>SUM(L47:L48)+1</f>
        <v>3</v>
      </c>
      <c r="O46" s="788">
        <f t="shared" si="2"/>
        <v>167</v>
      </c>
      <c r="P46">
        <v>164</v>
      </c>
      <c r="Q46">
        <f t="shared" si="3"/>
        <v>3</v>
      </c>
    </row>
    <row r="47" spans="1:17" ht="12.75">
      <c r="A47" s="77" t="s">
        <v>90</v>
      </c>
      <c r="B47" s="217">
        <v>15000</v>
      </c>
      <c r="C47" s="246"/>
      <c r="D47" s="246">
        <v>22078</v>
      </c>
      <c r="E47" s="243">
        <f>D47/B47*100</f>
        <v>147.18666666666667</v>
      </c>
      <c r="F47" s="245">
        <f>D47-'[6]Oktobris'!D47</f>
        <v>0</v>
      </c>
      <c r="G47" s="77" t="s">
        <v>90</v>
      </c>
      <c r="H47" s="217">
        <f>ROUND(B47/1000,0)</f>
        <v>15</v>
      </c>
      <c r="I47" s="217"/>
      <c r="J47" s="672">
        <f>ROUND(D47/1000,0)</f>
        <v>22</v>
      </c>
      <c r="K47" s="247">
        <f>J47/H47*100</f>
        <v>146.66666666666666</v>
      </c>
      <c r="L47" s="245">
        <f>J47-'[6]Oktobris'!J47</f>
        <v>0</v>
      </c>
      <c r="O47" s="788">
        <f t="shared" si="2"/>
        <v>22</v>
      </c>
      <c r="P47">
        <v>22</v>
      </c>
      <c r="Q47">
        <f t="shared" si="3"/>
        <v>0</v>
      </c>
    </row>
    <row r="48" spans="1:17" ht="12.75">
      <c r="A48" s="77" t="s">
        <v>91</v>
      </c>
      <c r="B48" s="217">
        <v>60000</v>
      </c>
      <c r="C48" s="246"/>
      <c r="D48" s="246">
        <v>144433</v>
      </c>
      <c r="E48" s="243">
        <f>D48/B48*100</f>
        <v>240.7216666666667</v>
      </c>
      <c r="F48" s="245">
        <f>D48-'[6]Oktobris'!D48</f>
        <v>2175</v>
      </c>
      <c r="G48" s="77" t="s">
        <v>91</v>
      </c>
      <c r="H48" s="217">
        <f>ROUND(B48/1000,0)</f>
        <v>60</v>
      </c>
      <c r="I48" s="217"/>
      <c r="J48" s="672">
        <f>ROUND(D48/1000,0)</f>
        <v>144</v>
      </c>
      <c r="K48" s="247">
        <f>J48/H48*100</f>
        <v>240</v>
      </c>
      <c r="L48" s="245">
        <f>J48-'[6]Oktobris'!J48</f>
        <v>2</v>
      </c>
      <c r="O48" s="788">
        <f t="shared" si="2"/>
        <v>144</v>
      </c>
      <c r="P48">
        <v>142</v>
      </c>
      <c r="Q48">
        <f t="shared" si="3"/>
        <v>2</v>
      </c>
    </row>
    <row r="49" spans="1:17" ht="12.75" customHeight="1">
      <c r="A49" s="32" t="s">
        <v>997</v>
      </c>
      <c r="B49" s="245"/>
      <c r="C49" s="245"/>
      <c r="D49" s="245"/>
      <c r="E49" s="243"/>
      <c r="F49" s="245"/>
      <c r="G49" s="32" t="s">
        <v>997</v>
      </c>
      <c r="H49" s="245"/>
      <c r="I49" s="217"/>
      <c r="J49" s="672"/>
      <c r="K49" s="247"/>
      <c r="L49" s="245"/>
      <c r="O49" s="788">
        <f t="shared" si="2"/>
        <v>0</v>
      </c>
      <c r="Q49">
        <f t="shared" si="3"/>
        <v>0</v>
      </c>
    </row>
    <row r="50" spans="1:17" ht="12.75" customHeight="1">
      <c r="A50" s="209" t="s">
        <v>92</v>
      </c>
      <c r="B50" s="245"/>
      <c r="C50" s="245"/>
      <c r="D50" s="670"/>
      <c r="E50" s="243"/>
      <c r="F50" s="245"/>
      <c r="G50" s="209" t="s">
        <v>92</v>
      </c>
      <c r="H50" s="245"/>
      <c r="I50" s="217"/>
      <c r="J50" s="672"/>
      <c r="K50" s="247"/>
      <c r="L50" s="245"/>
      <c r="O50" s="788">
        <f t="shared" si="2"/>
        <v>0</v>
      </c>
      <c r="Q50">
        <f t="shared" si="3"/>
        <v>0</v>
      </c>
    </row>
    <row r="51" spans="1:17" ht="12.75" customHeight="1">
      <c r="A51" s="215" t="s">
        <v>73</v>
      </c>
      <c r="B51" s="245">
        <f>B52</f>
        <v>1508663</v>
      </c>
      <c r="C51" s="249">
        <v>1419493</v>
      </c>
      <c r="D51" s="670">
        <f>D52</f>
        <v>1419493</v>
      </c>
      <c r="E51" s="243">
        <f aca="true" t="shared" si="8" ref="E51:E56">D51/B51*100</f>
        <v>94.08946862221715</v>
      </c>
      <c r="F51" s="245">
        <f>F52</f>
        <v>113170</v>
      </c>
      <c r="G51" s="215" t="s">
        <v>73</v>
      </c>
      <c r="H51" s="245">
        <f>H52</f>
        <v>1509</v>
      </c>
      <c r="I51" s="217">
        <f>ROUND(C51/1000,0)</f>
        <v>1419</v>
      </c>
      <c r="J51" s="672">
        <f>J52</f>
        <v>1420</v>
      </c>
      <c r="K51" s="247">
        <f aca="true" t="shared" si="9" ref="K51:K56">J51/H51*100</f>
        <v>94.10205434062293</v>
      </c>
      <c r="L51" s="245">
        <f>L52</f>
        <v>114</v>
      </c>
      <c r="O51" s="788">
        <f t="shared" si="2"/>
        <v>1420</v>
      </c>
      <c r="P51">
        <v>1306</v>
      </c>
      <c r="Q51">
        <f t="shared" si="3"/>
        <v>114</v>
      </c>
    </row>
    <row r="52" spans="1:17" ht="12.75" customHeight="1">
      <c r="A52" s="69" t="s">
        <v>93</v>
      </c>
      <c r="B52" s="217">
        <v>1508663</v>
      </c>
      <c r="C52" s="246"/>
      <c r="D52" s="672">
        <f>'[16]novembris'!$N$6</f>
        <v>1419493</v>
      </c>
      <c r="E52" s="243">
        <f t="shared" si="8"/>
        <v>94.08946862221715</v>
      </c>
      <c r="F52" s="245">
        <f>D52-'[6]Oktobris'!D52</f>
        <v>113170</v>
      </c>
      <c r="G52" s="69" t="s">
        <v>93</v>
      </c>
      <c r="H52" s="217">
        <f>ROUND(B52/1000,0)</f>
        <v>1509</v>
      </c>
      <c r="I52" s="217"/>
      <c r="J52" s="672">
        <f>ROUND(D52/1000,0)+1</f>
        <v>1420</v>
      </c>
      <c r="K52" s="247">
        <f t="shared" si="9"/>
        <v>94.10205434062293</v>
      </c>
      <c r="L52" s="245">
        <f>J52-'[6]Oktobris'!J52</f>
        <v>114</v>
      </c>
      <c r="O52" s="788">
        <f t="shared" si="2"/>
        <v>1420</v>
      </c>
      <c r="P52">
        <v>1306</v>
      </c>
      <c r="Q52">
        <f t="shared" si="3"/>
        <v>114</v>
      </c>
    </row>
    <row r="53" spans="1:17" ht="12.75" customHeight="1">
      <c r="A53" s="215" t="s">
        <v>75</v>
      </c>
      <c r="B53" s="245">
        <f>SUM(B54+B56)</f>
        <v>1508663</v>
      </c>
      <c r="C53" s="245">
        <f>SUM(C54+C56)</f>
        <v>1419493</v>
      </c>
      <c r="D53" s="670">
        <f>SUM(D54+D56)</f>
        <v>1940429</v>
      </c>
      <c r="E53" s="243">
        <f t="shared" si="8"/>
        <v>128.61911507076132</v>
      </c>
      <c r="F53" s="245">
        <f>F54+F56</f>
        <v>643775</v>
      </c>
      <c r="G53" s="215" t="s">
        <v>75</v>
      </c>
      <c r="H53" s="245">
        <f>SUM(H54+H56)</f>
        <v>1508</v>
      </c>
      <c r="I53" s="217">
        <f>SUM(I54,I56)</f>
        <v>1419</v>
      </c>
      <c r="J53" s="672">
        <f>J54+J56</f>
        <v>1940</v>
      </c>
      <c r="K53" s="247">
        <f t="shared" si="9"/>
        <v>128.6472148541114</v>
      </c>
      <c r="L53" s="245">
        <f>L54+L56</f>
        <v>643</v>
      </c>
      <c r="O53" s="788">
        <f t="shared" si="2"/>
        <v>1940</v>
      </c>
      <c r="P53">
        <v>1297</v>
      </c>
      <c r="Q53">
        <f t="shared" si="3"/>
        <v>643</v>
      </c>
    </row>
    <row r="54" spans="1:17" ht="12.75" customHeight="1">
      <c r="A54" s="215" t="s">
        <v>94</v>
      </c>
      <c r="B54" s="217">
        <v>1333663</v>
      </c>
      <c r="C54" s="246">
        <v>1244493</v>
      </c>
      <c r="D54" s="672">
        <f>'[16]novembris'!$N$8</f>
        <v>1704982</v>
      </c>
      <c r="E54" s="243">
        <f t="shared" si="8"/>
        <v>127.84204105534907</v>
      </c>
      <c r="F54" s="245">
        <f>D54-'[6]Oktobris'!D54</f>
        <v>592975</v>
      </c>
      <c r="G54" s="215" t="s">
        <v>94</v>
      </c>
      <c r="H54" s="217">
        <f>ROUND(B54/1000,0)-1</f>
        <v>1333</v>
      </c>
      <c r="I54" s="217">
        <f>ROUND(C54/1000,0)</f>
        <v>1244</v>
      </c>
      <c r="J54" s="672">
        <f>ROUND(D54/1000,0)</f>
        <v>1705</v>
      </c>
      <c r="K54" s="247">
        <f t="shared" si="9"/>
        <v>127.90697674418605</v>
      </c>
      <c r="L54" s="245">
        <f>J54-'[6]Oktobris'!J54</f>
        <v>593</v>
      </c>
      <c r="O54" s="788">
        <f t="shared" si="2"/>
        <v>1705</v>
      </c>
      <c r="P54">
        <v>1112</v>
      </c>
      <c r="Q54">
        <f t="shared" si="3"/>
        <v>593</v>
      </c>
    </row>
    <row r="55" spans="1:17" ht="12.75" customHeight="1">
      <c r="A55" s="248" t="s">
        <v>95</v>
      </c>
      <c r="B55" s="217">
        <v>300000</v>
      </c>
      <c r="C55" s="246"/>
      <c r="D55" s="672">
        <f>'[16]novembris'!$N$15</f>
        <v>200000</v>
      </c>
      <c r="E55" s="243">
        <f t="shared" si="8"/>
        <v>66.66666666666666</v>
      </c>
      <c r="F55" s="245">
        <f>D55-'[6]Oktobris'!D55</f>
        <v>0</v>
      </c>
      <c r="G55" s="248" t="s">
        <v>95</v>
      </c>
      <c r="H55" s="217">
        <f>ROUND(B55/1000,0)</f>
        <v>300</v>
      </c>
      <c r="I55" s="217"/>
      <c r="J55" s="672">
        <f>ROUND(D55/1000,0)</f>
        <v>200</v>
      </c>
      <c r="K55" s="247">
        <f t="shared" si="9"/>
        <v>66.66666666666666</v>
      </c>
      <c r="L55" s="245">
        <f>J55-'[6]Oktobris'!J55</f>
        <v>0</v>
      </c>
      <c r="O55" s="788">
        <f t="shared" si="2"/>
        <v>200</v>
      </c>
      <c r="P55">
        <v>200</v>
      </c>
      <c r="Q55">
        <f t="shared" si="3"/>
        <v>0</v>
      </c>
    </row>
    <row r="56" spans="1:17" ht="12.75" customHeight="1">
      <c r="A56" s="215" t="s">
        <v>96</v>
      </c>
      <c r="B56" s="217">
        <v>175000</v>
      </c>
      <c r="C56" s="246">
        <v>175000</v>
      </c>
      <c r="D56" s="672">
        <f>'[16]novembris'!$N$31</f>
        <v>235447</v>
      </c>
      <c r="E56" s="243">
        <f t="shared" si="8"/>
        <v>134.54114285714286</v>
      </c>
      <c r="F56" s="245">
        <f>D56-'[6]Oktobris'!D56</f>
        <v>50800</v>
      </c>
      <c r="G56" s="215" t="s">
        <v>96</v>
      </c>
      <c r="H56" s="217">
        <f>ROUND(B56/1000,0)</f>
        <v>175</v>
      </c>
      <c r="I56" s="217">
        <f>ROUND(C56/1000,0)</f>
        <v>175</v>
      </c>
      <c r="J56" s="672">
        <f>ROUND(D56/1000,0)</f>
        <v>235</v>
      </c>
      <c r="K56" s="247">
        <f t="shared" si="9"/>
        <v>134.28571428571428</v>
      </c>
      <c r="L56" s="245">
        <f>J56-'[6]Oktobris'!J56</f>
        <v>50</v>
      </c>
      <c r="O56" s="788">
        <f t="shared" si="2"/>
        <v>235</v>
      </c>
      <c r="P56">
        <v>185</v>
      </c>
      <c r="Q56">
        <f t="shared" si="3"/>
        <v>50</v>
      </c>
    </row>
    <row r="57" spans="1:17" ht="12.75" customHeight="1">
      <c r="A57" s="92" t="s">
        <v>97</v>
      </c>
      <c r="B57" s="245"/>
      <c r="C57" s="245"/>
      <c r="D57" s="670"/>
      <c r="E57" s="243"/>
      <c r="F57" s="245"/>
      <c r="G57" s="92" t="s">
        <v>97</v>
      </c>
      <c r="H57" s="245"/>
      <c r="I57" s="217"/>
      <c r="J57" s="672"/>
      <c r="K57" s="247"/>
      <c r="L57" s="245"/>
      <c r="O57" s="788">
        <f t="shared" si="2"/>
        <v>0</v>
      </c>
      <c r="Q57">
        <f t="shared" si="3"/>
        <v>0</v>
      </c>
    </row>
    <row r="58" spans="1:17" ht="12.75" customHeight="1">
      <c r="A58" s="215" t="s">
        <v>73</v>
      </c>
      <c r="B58" s="245">
        <f>B59</f>
        <v>1424238</v>
      </c>
      <c r="C58" s="249">
        <v>1411040</v>
      </c>
      <c r="D58" s="670">
        <f>D59+D60</f>
        <v>1411040</v>
      </c>
      <c r="E58" s="243">
        <f>D58/B58*100</f>
        <v>99.0733290362987</v>
      </c>
      <c r="F58" s="245">
        <f>F59</f>
        <v>16770</v>
      </c>
      <c r="G58" s="215" t="s">
        <v>73</v>
      </c>
      <c r="H58" s="245">
        <f>H59</f>
        <v>1424</v>
      </c>
      <c r="I58" s="217">
        <f>ROUND(C58/1000,0)</f>
        <v>1411</v>
      </c>
      <c r="J58" s="672">
        <f>J59</f>
        <v>1411</v>
      </c>
      <c r="K58" s="247">
        <f>J58/H58*100</f>
        <v>99.08707865168539</v>
      </c>
      <c r="L58" s="245">
        <f>L59</f>
        <v>17</v>
      </c>
      <c r="O58" s="788">
        <f t="shared" si="2"/>
        <v>1411</v>
      </c>
      <c r="P58">
        <v>1394</v>
      </c>
      <c r="Q58">
        <f t="shared" si="3"/>
        <v>17</v>
      </c>
    </row>
    <row r="59" spans="1:17" ht="12" customHeight="1">
      <c r="A59" s="69" t="s">
        <v>93</v>
      </c>
      <c r="B59" s="217">
        <v>1424238</v>
      </c>
      <c r="C59" s="246"/>
      <c r="D59" s="672">
        <f>'[16]novembris'!$O$6</f>
        <v>1411040</v>
      </c>
      <c r="E59" s="243">
        <f>D59/B59*100</f>
        <v>99.0733290362987</v>
      </c>
      <c r="F59" s="245">
        <f>D59-'[6]Oktobris'!D59</f>
        <v>16770</v>
      </c>
      <c r="G59" s="69" t="s">
        <v>93</v>
      </c>
      <c r="H59" s="217">
        <f>ROUND(B59/1000,0)</f>
        <v>1424</v>
      </c>
      <c r="I59" s="217"/>
      <c r="J59" s="672">
        <f>ROUND(D59/1000,0)</f>
        <v>1411</v>
      </c>
      <c r="K59" s="247">
        <f>J59/H59*100</f>
        <v>99.08707865168539</v>
      </c>
      <c r="L59" s="245">
        <f>J59-'[6]Oktobris'!J59</f>
        <v>17</v>
      </c>
      <c r="O59" s="788">
        <f t="shared" si="2"/>
        <v>1411</v>
      </c>
      <c r="P59">
        <v>1394</v>
      </c>
      <c r="Q59">
        <f t="shared" si="3"/>
        <v>17</v>
      </c>
    </row>
    <row r="60" spans="1:17" ht="0.75" customHeight="1" hidden="1">
      <c r="A60" s="69" t="s">
        <v>98</v>
      </c>
      <c r="B60" s="217"/>
      <c r="C60" s="246"/>
      <c r="D60" s="672"/>
      <c r="E60" s="243"/>
      <c r="F60" s="245">
        <f>D60-'[6]Oktobris'!D60</f>
        <v>0</v>
      </c>
      <c r="G60" s="69" t="s">
        <v>99</v>
      </c>
      <c r="H60" s="217"/>
      <c r="I60" s="217"/>
      <c r="J60" s="672">
        <f>ROUND(D60/1000,0)</f>
        <v>0</v>
      </c>
      <c r="K60" s="247"/>
      <c r="L60" s="245">
        <f>J60-'[6]Oktobris'!J60</f>
        <v>0</v>
      </c>
      <c r="O60" s="788">
        <f t="shared" si="2"/>
        <v>0</v>
      </c>
      <c r="P60">
        <v>0</v>
      </c>
      <c r="Q60">
        <f t="shared" si="3"/>
        <v>0</v>
      </c>
    </row>
    <row r="61" spans="1:17" ht="12.75" customHeight="1">
      <c r="A61" s="215" t="s">
        <v>75</v>
      </c>
      <c r="B61" s="245">
        <f>B62+B64</f>
        <v>1585878</v>
      </c>
      <c r="C61" s="245">
        <f>C62+C64</f>
        <v>1566911</v>
      </c>
      <c r="D61" s="245">
        <f>D62+D64</f>
        <v>1387557</v>
      </c>
      <c r="E61" s="243">
        <f aca="true" t="shared" si="10" ref="E61:E67">D61/B61*100</f>
        <v>87.49456137231238</v>
      </c>
      <c r="F61" s="245">
        <f>F62+F64</f>
        <v>20335</v>
      </c>
      <c r="G61" s="215" t="s">
        <v>75</v>
      </c>
      <c r="H61" s="245">
        <f>H62+H64</f>
        <v>1586</v>
      </c>
      <c r="I61" s="217">
        <f>SUM(I62,I64)</f>
        <v>1567</v>
      </c>
      <c r="J61" s="672">
        <f>J62+J64</f>
        <v>1386</v>
      </c>
      <c r="K61" s="247">
        <f>J61/H61*100</f>
        <v>87.38965952080706</v>
      </c>
      <c r="L61" s="245">
        <f>L62+L64</f>
        <v>19</v>
      </c>
      <c r="O61" s="788">
        <f t="shared" si="2"/>
        <v>1386</v>
      </c>
      <c r="P61">
        <v>1367</v>
      </c>
      <c r="Q61">
        <f t="shared" si="3"/>
        <v>19</v>
      </c>
    </row>
    <row r="62" spans="1:17" ht="12.75" customHeight="1">
      <c r="A62" s="215" t="s">
        <v>94</v>
      </c>
      <c r="B62" s="217">
        <v>1578778</v>
      </c>
      <c r="C62" s="246">
        <v>1559811</v>
      </c>
      <c r="D62" s="246">
        <f>'[16]novembris'!$O$8</f>
        <v>1384804</v>
      </c>
      <c r="E62" s="243">
        <f t="shared" si="10"/>
        <v>87.71366208548636</v>
      </c>
      <c r="F62" s="245">
        <f>D62-'[6]Oktobris'!D62</f>
        <v>18574</v>
      </c>
      <c r="G62" s="215" t="s">
        <v>94</v>
      </c>
      <c r="H62" s="217">
        <f>ROUND(B62/1000,0)</f>
        <v>1579</v>
      </c>
      <c r="I62" s="217">
        <f>ROUND(C62/1000,0)</f>
        <v>1560</v>
      </c>
      <c r="J62" s="672">
        <f>ROUND(D62/1000,0)</f>
        <v>1385</v>
      </c>
      <c r="K62" s="247">
        <f>J62/H62*100</f>
        <v>87.71374287523749</v>
      </c>
      <c r="L62" s="245">
        <f>J62-'[6]Oktobris'!J62</f>
        <v>19</v>
      </c>
      <c r="O62" s="788">
        <f t="shared" si="2"/>
        <v>1385</v>
      </c>
      <c r="P62">
        <v>1366</v>
      </c>
      <c r="Q62">
        <f t="shared" si="3"/>
        <v>19</v>
      </c>
    </row>
    <row r="63" spans="1:17" ht="12.75" customHeight="1">
      <c r="A63" s="248" t="s">
        <v>95</v>
      </c>
      <c r="B63" s="217">
        <v>233730</v>
      </c>
      <c r="C63" s="246"/>
      <c r="D63" s="246">
        <v>188064</v>
      </c>
      <c r="E63" s="243">
        <f t="shared" si="10"/>
        <v>80.46207162110127</v>
      </c>
      <c r="F63" s="245">
        <f>D63-'[6]Oktobris'!D63</f>
        <v>8841</v>
      </c>
      <c r="G63" s="248" t="s">
        <v>95</v>
      </c>
      <c r="H63" s="217">
        <f>ROUND(B63/1000,0)</f>
        <v>234</v>
      </c>
      <c r="I63" s="217"/>
      <c r="J63" s="672">
        <f>ROUND(D63/1000,0)</f>
        <v>188</v>
      </c>
      <c r="K63" s="247">
        <f>J63/H63*100</f>
        <v>80.34188034188034</v>
      </c>
      <c r="L63" s="245">
        <f>J63-'[6]Oktobris'!J63</f>
        <v>9</v>
      </c>
      <c r="O63" s="788">
        <f t="shared" si="2"/>
        <v>188</v>
      </c>
      <c r="P63">
        <v>179</v>
      </c>
      <c r="Q63">
        <f t="shared" si="3"/>
        <v>9</v>
      </c>
    </row>
    <row r="64" spans="1:17" ht="12.75" customHeight="1">
      <c r="A64" s="215" t="s">
        <v>96</v>
      </c>
      <c r="B64" s="217">
        <v>7100</v>
      </c>
      <c r="C64" s="246">
        <v>7100</v>
      </c>
      <c r="D64" s="246">
        <f>'[16]novembris'!$O$31</f>
        <v>2753</v>
      </c>
      <c r="E64" s="243">
        <f t="shared" si="10"/>
        <v>38.774647887323944</v>
      </c>
      <c r="F64" s="245">
        <f>D64-'[6]Oktobris'!D64</f>
        <v>1761</v>
      </c>
      <c r="G64" s="215" t="s">
        <v>96</v>
      </c>
      <c r="H64" s="217">
        <f>ROUND(B64/1000,0)</f>
        <v>7</v>
      </c>
      <c r="I64" s="217">
        <f>ROUND(C64/1000,0)</f>
        <v>7</v>
      </c>
      <c r="J64" s="672">
        <v>1</v>
      </c>
      <c r="K64" s="247"/>
      <c r="L64" s="245">
        <f>J64-'[6]Oktobris'!J64</f>
        <v>0</v>
      </c>
      <c r="O64" s="788">
        <f t="shared" si="2"/>
        <v>1</v>
      </c>
      <c r="P64">
        <v>1</v>
      </c>
      <c r="Q64">
        <f t="shared" si="3"/>
        <v>0</v>
      </c>
    </row>
    <row r="65" spans="1:17" ht="12.75" customHeight="1">
      <c r="A65" s="215" t="s">
        <v>977</v>
      </c>
      <c r="B65" s="217">
        <v>6370052</v>
      </c>
      <c r="C65" s="246">
        <f>4368600-134497+672075-18503+672075-1434+472075-1437</f>
        <v>6028954</v>
      </c>
      <c r="D65" s="246">
        <f>'[16]novembris'!$O$34</f>
        <v>5395805.03</v>
      </c>
      <c r="E65" s="243">
        <f t="shared" si="10"/>
        <v>84.70582390850186</v>
      </c>
      <c r="F65" s="245">
        <f>D65-'[6]Oktobris'!D65</f>
        <v>718430.0300000003</v>
      </c>
      <c r="G65" s="215" t="s">
        <v>977</v>
      </c>
      <c r="H65" s="217">
        <f>ROUND(B65/1000,0)</f>
        <v>6370</v>
      </c>
      <c r="I65" s="217">
        <f>ROUND(C65/1000,0)</f>
        <v>6029</v>
      </c>
      <c r="J65" s="672">
        <f>ROUND(D65/1000,0)</f>
        <v>5396</v>
      </c>
      <c r="K65" s="247">
        <f>J65/H65*100</f>
        <v>84.70957613814757</v>
      </c>
      <c r="L65" s="245">
        <f>J65-'[6]Oktobris'!J65</f>
        <v>719</v>
      </c>
      <c r="O65" s="788">
        <f t="shared" si="2"/>
        <v>5396</v>
      </c>
      <c r="P65">
        <v>4677</v>
      </c>
      <c r="Q65">
        <f t="shared" si="3"/>
        <v>719</v>
      </c>
    </row>
    <row r="66" spans="1:17" ht="12.75" customHeight="1">
      <c r="A66" s="215" t="s">
        <v>978</v>
      </c>
      <c r="B66" s="217">
        <f>B58-B61-B65</f>
        <v>-6531692</v>
      </c>
      <c r="C66" s="246">
        <f>C58-C61</f>
        <v>-155871</v>
      </c>
      <c r="D66" s="217">
        <f>D58-D61-D65</f>
        <v>-5372322.03</v>
      </c>
      <c r="E66" s="243">
        <f t="shared" si="10"/>
        <v>82.25008206143217</v>
      </c>
      <c r="F66" s="245">
        <f>F58-F61-F65</f>
        <v>-721995.0300000003</v>
      </c>
      <c r="G66" s="215" t="s">
        <v>978</v>
      </c>
      <c r="H66" s="217">
        <f>H58-H61-H65</f>
        <v>-6532</v>
      </c>
      <c r="I66" s="217"/>
      <c r="J66" s="672">
        <f>J58-J61-J65</f>
        <v>-5371</v>
      </c>
      <c r="K66" s="247">
        <f>J66/H66*100</f>
        <v>82.22596448254745</v>
      </c>
      <c r="L66" s="245">
        <f>L58-L61-L65</f>
        <v>-721</v>
      </c>
      <c r="O66" s="788">
        <f t="shared" si="2"/>
        <v>-5371</v>
      </c>
      <c r="P66">
        <v>-4650</v>
      </c>
      <c r="Q66">
        <f t="shared" si="3"/>
        <v>-721</v>
      </c>
    </row>
    <row r="67" spans="1:17" ht="12.75" customHeight="1">
      <c r="A67" s="215" t="s">
        <v>100</v>
      </c>
      <c r="B67" s="217">
        <v>6531692</v>
      </c>
      <c r="C67" s="246">
        <f>538100+848100+1058100+628100+428100+428100+140000+300000+672075+672075+472075</f>
        <v>6184825</v>
      </c>
      <c r="D67" s="246">
        <f>'[16]novembris'!$O$44</f>
        <v>5628091</v>
      </c>
      <c r="E67" s="243">
        <f t="shared" si="10"/>
        <v>86.16589698350748</v>
      </c>
      <c r="F67" s="245">
        <f>D67-'[6]Oktobris'!D67</f>
        <v>756310</v>
      </c>
      <c r="G67" s="215" t="s">
        <v>100</v>
      </c>
      <c r="H67" s="217">
        <f>ROUND(B67/1000,0)</f>
        <v>6532</v>
      </c>
      <c r="I67" s="217">
        <f>ROUND(C67/1000,0)</f>
        <v>6185</v>
      </c>
      <c r="J67" s="672">
        <f>ROUND(D67/1000,0)</f>
        <v>5628</v>
      </c>
      <c r="K67" s="247">
        <f>J67/H67*100</f>
        <v>86.16044090630741</v>
      </c>
      <c r="L67" s="245">
        <f>J67-'[6]Oktobris'!J67</f>
        <v>756</v>
      </c>
      <c r="O67" s="788">
        <f t="shared" si="2"/>
        <v>5628</v>
      </c>
      <c r="P67">
        <v>4872</v>
      </c>
      <c r="Q67">
        <f t="shared" si="3"/>
        <v>756</v>
      </c>
    </row>
    <row r="68" spans="1:17" ht="12.75" customHeight="1">
      <c r="A68" s="76" t="s">
        <v>999</v>
      </c>
      <c r="B68" s="245"/>
      <c r="C68" s="245"/>
      <c r="D68" s="245"/>
      <c r="E68" s="243"/>
      <c r="F68" s="245"/>
      <c r="G68" s="76" t="s">
        <v>999</v>
      </c>
      <c r="H68" s="245"/>
      <c r="I68" s="217"/>
      <c r="J68" s="672"/>
      <c r="K68" s="247"/>
      <c r="L68" s="245"/>
      <c r="O68" s="788">
        <f t="shared" si="2"/>
        <v>0</v>
      </c>
      <c r="Q68">
        <f t="shared" si="3"/>
        <v>0</v>
      </c>
    </row>
    <row r="69" spans="1:17" ht="12.75" customHeight="1">
      <c r="A69" s="209" t="s">
        <v>101</v>
      </c>
      <c r="B69" s="245"/>
      <c r="C69" s="245"/>
      <c r="D69" s="245"/>
      <c r="E69" s="243"/>
      <c r="F69" s="245"/>
      <c r="G69" s="209" t="s">
        <v>101</v>
      </c>
      <c r="H69" s="245"/>
      <c r="I69" s="217"/>
      <c r="J69" s="672"/>
      <c r="K69" s="247"/>
      <c r="L69" s="245"/>
      <c r="O69" s="788">
        <f t="shared" si="2"/>
        <v>0</v>
      </c>
      <c r="Q69">
        <f t="shared" si="3"/>
        <v>0</v>
      </c>
    </row>
    <row r="70" spans="1:17" ht="12.75" customHeight="1">
      <c r="A70" s="215" t="s">
        <v>73</v>
      </c>
      <c r="B70" s="245">
        <f>SUM(B71:B72)</f>
        <v>500000</v>
      </c>
      <c r="C70" s="249">
        <v>490000</v>
      </c>
      <c r="D70" s="245">
        <f>SUM(D71:D72)</f>
        <v>486254</v>
      </c>
      <c r="E70" s="243">
        <f>D70/B70*100</f>
        <v>97.2508</v>
      </c>
      <c r="F70" s="245">
        <f>SUM(F71:F72)</f>
        <v>32169</v>
      </c>
      <c r="G70" s="215" t="s">
        <v>73</v>
      </c>
      <c r="H70" s="245">
        <f>SUM(H71:H72)</f>
        <v>500</v>
      </c>
      <c r="I70" s="217">
        <f>ROUND(C70/1000,0)</f>
        <v>490</v>
      </c>
      <c r="J70" s="672">
        <f>SUM(J71:J72)</f>
        <v>487</v>
      </c>
      <c r="K70" s="247">
        <f aca="true" t="shared" si="11" ref="K70:K75">J70/H70*100</f>
        <v>97.39999999999999</v>
      </c>
      <c r="L70" s="245">
        <f>SUM(L71:L72)</f>
        <v>33</v>
      </c>
      <c r="O70" s="788">
        <f t="shared" si="2"/>
        <v>487</v>
      </c>
      <c r="P70">
        <v>454</v>
      </c>
      <c r="Q70">
        <f t="shared" si="3"/>
        <v>33</v>
      </c>
    </row>
    <row r="71" spans="1:17" ht="12.75" customHeight="1">
      <c r="A71" s="69" t="s">
        <v>102</v>
      </c>
      <c r="B71" s="217">
        <v>300000</v>
      </c>
      <c r="C71" s="246"/>
      <c r="D71" s="246">
        <v>342677</v>
      </c>
      <c r="E71" s="243">
        <f>D71/B71*100</f>
        <v>114.22566666666667</v>
      </c>
      <c r="F71" s="245">
        <f>D71-'[6]Oktobris'!D71</f>
        <v>30046</v>
      </c>
      <c r="G71" s="69" t="s">
        <v>102</v>
      </c>
      <c r="H71" s="217">
        <f>ROUND(B71/1000,0)</f>
        <v>300</v>
      </c>
      <c r="I71" s="217"/>
      <c r="J71" s="672">
        <f>ROUND(D71/1000,0)</f>
        <v>343</v>
      </c>
      <c r="K71" s="247">
        <f t="shared" si="11"/>
        <v>114.33333333333333</v>
      </c>
      <c r="L71" s="245">
        <f>J71-'[6]Oktobris'!J71</f>
        <v>30</v>
      </c>
      <c r="O71" s="788">
        <f t="shared" si="2"/>
        <v>343</v>
      </c>
      <c r="P71">
        <v>313</v>
      </c>
      <c r="Q71">
        <f t="shared" si="3"/>
        <v>30</v>
      </c>
    </row>
    <row r="72" spans="1:17" ht="12.75" customHeight="1">
      <c r="A72" s="69" t="s">
        <v>103</v>
      </c>
      <c r="B72" s="217">
        <f>65000+135000</f>
        <v>200000</v>
      </c>
      <c r="C72" s="246"/>
      <c r="D72" s="246">
        <f>138777+4800</f>
        <v>143577</v>
      </c>
      <c r="E72" s="243">
        <f>D72/B72*100</f>
        <v>71.7885</v>
      </c>
      <c r="F72" s="245">
        <f>D72-'[6]Oktobris'!D72</f>
        <v>2123</v>
      </c>
      <c r="G72" s="69" t="s">
        <v>103</v>
      </c>
      <c r="H72" s="217">
        <f>ROUND(B72/1000,0)</f>
        <v>200</v>
      </c>
      <c r="I72" s="217"/>
      <c r="J72" s="672">
        <f>ROUND(D72/1000,0)</f>
        <v>144</v>
      </c>
      <c r="K72" s="247">
        <f t="shared" si="11"/>
        <v>72</v>
      </c>
      <c r="L72" s="245">
        <f>J72-'[6]Oktobris'!J72</f>
        <v>3</v>
      </c>
      <c r="O72" s="788">
        <f t="shared" si="2"/>
        <v>144</v>
      </c>
      <c r="P72">
        <v>141</v>
      </c>
      <c r="Q72">
        <f t="shared" si="3"/>
        <v>3</v>
      </c>
    </row>
    <row r="73" spans="1:17" ht="12.75" customHeight="1">
      <c r="A73" s="215" t="s">
        <v>75</v>
      </c>
      <c r="B73" s="245">
        <f>SUM(B74:B75)</f>
        <v>500000</v>
      </c>
      <c r="C73" s="245">
        <f>SUM(C74:C75)</f>
        <v>490000</v>
      </c>
      <c r="D73" s="245">
        <f>SUM(D74:D75)</f>
        <v>473348</v>
      </c>
      <c r="E73" s="243">
        <f>D73/B73*100</f>
        <v>94.6696</v>
      </c>
      <c r="F73" s="245">
        <f>SUM(F74:F75)</f>
        <v>34667</v>
      </c>
      <c r="G73" s="215" t="s">
        <v>75</v>
      </c>
      <c r="H73" s="245">
        <f>SUM(H74:H75)</f>
        <v>500</v>
      </c>
      <c r="I73" s="217">
        <f>SUM(I74:I75)</f>
        <v>490</v>
      </c>
      <c r="J73" s="672">
        <f>SUM(J74:J75)</f>
        <v>473</v>
      </c>
      <c r="K73" s="247">
        <f t="shared" si="11"/>
        <v>94.6</v>
      </c>
      <c r="L73" s="245">
        <f>SUM(L74:L75)</f>
        <v>34</v>
      </c>
      <c r="O73" s="788">
        <f t="shared" si="2"/>
        <v>473</v>
      </c>
      <c r="P73">
        <v>439</v>
      </c>
      <c r="Q73">
        <f t="shared" si="3"/>
        <v>34</v>
      </c>
    </row>
    <row r="74" spans="1:17" ht="12.75" customHeight="1">
      <c r="A74" s="215" t="s">
        <v>76</v>
      </c>
      <c r="B74" s="217">
        <v>421000</v>
      </c>
      <c r="C74" s="246">
        <v>421000</v>
      </c>
      <c r="D74" s="246">
        <f>'[16]novembris'!$L$8</f>
        <v>404348</v>
      </c>
      <c r="E74" s="243">
        <f>D74/B74*100</f>
        <v>96.04465558194775</v>
      </c>
      <c r="F74" s="245">
        <f>D74-'[6]Oktobris'!D74</f>
        <v>34667</v>
      </c>
      <c r="G74" s="215" t="s">
        <v>76</v>
      </c>
      <c r="H74" s="217">
        <f aca="true" t="shared" si="12" ref="H74:J75">ROUND(B74/1000,0)</f>
        <v>421</v>
      </c>
      <c r="I74" s="217">
        <f t="shared" si="12"/>
        <v>421</v>
      </c>
      <c r="J74" s="672">
        <f t="shared" si="12"/>
        <v>404</v>
      </c>
      <c r="K74" s="247">
        <f t="shared" si="11"/>
        <v>95.96199524940617</v>
      </c>
      <c r="L74" s="245">
        <f>J74-'[6]Oktobris'!J74</f>
        <v>34</v>
      </c>
      <c r="O74" s="788">
        <f t="shared" si="2"/>
        <v>404</v>
      </c>
      <c r="P74">
        <v>370</v>
      </c>
      <c r="Q74">
        <f t="shared" si="3"/>
        <v>34</v>
      </c>
    </row>
    <row r="75" spans="1:17" ht="12.75" customHeight="1">
      <c r="A75" s="215" t="s">
        <v>70</v>
      </c>
      <c r="B75" s="217">
        <v>79000</v>
      </c>
      <c r="C75" s="246">
        <v>69000</v>
      </c>
      <c r="D75" s="246">
        <f>'[16]novembris'!$L$31</f>
        <v>69000</v>
      </c>
      <c r="E75" s="243"/>
      <c r="F75" s="245">
        <f>D75-'[6]Oktobris'!D75</f>
        <v>0</v>
      </c>
      <c r="G75" s="215" t="s">
        <v>70</v>
      </c>
      <c r="H75" s="217">
        <f t="shared" si="12"/>
        <v>79</v>
      </c>
      <c r="I75" s="217">
        <f t="shared" si="12"/>
        <v>69</v>
      </c>
      <c r="J75" s="672">
        <f t="shared" si="12"/>
        <v>69</v>
      </c>
      <c r="K75" s="247">
        <f t="shared" si="11"/>
        <v>87.34177215189874</v>
      </c>
      <c r="L75" s="245">
        <f>J75-'[6]Oktobris'!J75</f>
        <v>0</v>
      </c>
      <c r="O75" s="788">
        <f aca="true" t="shared" si="13" ref="O75:O138">J75</f>
        <v>69</v>
      </c>
      <c r="P75">
        <v>69</v>
      </c>
      <c r="Q75">
        <f aca="true" t="shared" si="14" ref="Q75:Q138">O75-P75</f>
        <v>0</v>
      </c>
    </row>
    <row r="76" spans="1:17" ht="12.75" customHeight="1">
      <c r="A76" s="32" t="s">
        <v>1001</v>
      </c>
      <c r="B76" s="217"/>
      <c r="C76" s="217"/>
      <c r="D76" s="217"/>
      <c r="E76" s="243"/>
      <c r="F76" s="245"/>
      <c r="G76" s="32" t="s">
        <v>1001</v>
      </c>
      <c r="H76" s="217"/>
      <c r="I76" s="217"/>
      <c r="J76" s="672"/>
      <c r="K76" s="247"/>
      <c r="L76" s="245"/>
      <c r="O76" s="788">
        <f t="shared" si="13"/>
        <v>0</v>
      </c>
      <c r="Q76">
        <f t="shared" si="14"/>
        <v>0</v>
      </c>
    </row>
    <row r="77" spans="1:17" ht="12.75" customHeight="1">
      <c r="A77" s="209" t="s">
        <v>104</v>
      </c>
      <c r="B77" s="245"/>
      <c r="C77" s="245"/>
      <c r="D77" s="245"/>
      <c r="E77" s="243"/>
      <c r="F77" s="245"/>
      <c r="G77" s="209" t="s">
        <v>104</v>
      </c>
      <c r="H77" s="245"/>
      <c r="I77" s="217"/>
      <c r="J77" s="672"/>
      <c r="K77" s="247"/>
      <c r="L77" s="245"/>
      <c r="O77" s="788">
        <f t="shared" si="13"/>
        <v>0</v>
      </c>
      <c r="Q77">
        <f t="shared" si="14"/>
        <v>0</v>
      </c>
    </row>
    <row r="78" spans="1:17" ht="12.75" customHeight="1">
      <c r="A78" s="215" t="s">
        <v>73</v>
      </c>
      <c r="B78" s="245">
        <f>SUM(B79:B82)</f>
        <v>59956438</v>
      </c>
      <c r="C78" s="249">
        <v>55262438</v>
      </c>
      <c r="D78" s="245">
        <f>SUM(D79:D82)</f>
        <v>49429774</v>
      </c>
      <c r="E78" s="243">
        <f aca="true" t="shared" si="15" ref="E78:E84">D78/B78*100</f>
        <v>82.4428128969236</v>
      </c>
      <c r="F78" s="245">
        <f>SUM(F79:F82)</f>
        <v>5060741</v>
      </c>
      <c r="G78" s="215" t="s">
        <v>73</v>
      </c>
      <c r="H78" s="245">
        <f>SUM(H79:H82)</f>
        <v>59956</v>
      </c>
      <c r="I78" s="217">
        <f>ROUND(C78/1000,0)</f>
        <v>55262</v>
      </c>
      <c r="J78" s="672">
        <f>SUM(J79:J82)</f>
        <v>49429</v>
      </c>
      <c r="K78" s="247">
        <f aca="true" t="shared" si="16" ref="K78:K88">J78/H78*100</f>
        <v>82.44212422443124</v>
      </c>
      <c r="L78" s="245">
        <f>SUM(L79:L82)</f>
        <v>5060</v>
      </c>
      <c r="O78" s="788">
        <f t="shared" si="13"/>
        <v>49429</v>
      </c>
      <c r="P78">
        <v>44369</v>
      </c>
      <c r="Q78">
        <f t="shared" si="14"/>
        <v>5060</v>
      </c>
    </row>
    <row r="79" spans="1:17" ht="12.75" customHeight="1">
      <c r="A79" s="215" t="s">
        <v>105</v>
      </c>
      <c r="B79" s="217">
        <v>8300000</v>
      </c>
      <c r="C79" s="246"/>
      <c r="D79" s="246">
        <f>6122322+2086000</f>
        <v>8208322</v>
      </c>
      <c r="E79" s="243">
        <f t="shared" si="15"/>
        <v>98.89544578313253</v>
      </c>
      <c r="F79" s="245">
        <f>D79-'[6]Oktobris'!D79</f>
        <v>553607</v>
      </c>
      <c r="G79" s="215" t="s">
        <v>105</v>
      </c>
      <c r="H79" s="217">
        <f>ROUND(B79/1000,0)</f>
        <v>8300</v>
      </c>
      <c r="I79" s="217"/>
      <c r="J79" s="672">
        <f>ROUND(D79/1000,0)</f>
        <v>8208</v>
      </c>
      <c r="K79" s="247">
        <f t="shared" si="16"/>
        <v>98.89156626506023</v>
      </c>
      <c r="L79" s="245">
        <f>J79-'[6]Oktobris'!J79</f>
        <v>553</v>
      </c>
      <c r="O79" s="788">
        <f t="shared" si="13"/>
        <v>8208</v>
      </c>
      <c r="P79">
        <v>7655</v>
      </c>
      <c r="Q79">
        <f t="shared" si="14"/>
        <v>553</v>
      </c>
    </row>
    <row r="80" spans="1:17" ht="12.75" customHeight="1">
      <c r="A80" s="215" t="s">
        <v>106</v>
      </c>
      <c r="B80" s="217">
        <v>49067000</v>
      </c>
      <c r="C80" s="246"/>
      <c r="D80" s="246">
        <v>38770463</v>
      </c>
      <c r="E80" s="243">
        <f t="shared" si="15"/>
        <v>79.01535247722502</v>
      </c>
      <c r="F80" s="245">
        <f>D80-'[6]Oktobris'!D80</f>
        <v>4345308</v>
      </c>
      <c r="G80" s="215" t="s">
        <v>106</v>
      </c>
      <c r="H80" s="217">
        <f>ROUND(B80/1000,0)</f>
        <v>49067</v>
      </c>
      <c r="I80" s="217"/>
      <c r="J80" s="672">
        <f>ROUND(D80/1000,0)</f>
        <v>38770</v>
      </c>
      <c r="K80" s="247">
        <f t="shared" si="16"/>
        <v>79.01440886950496</v>
      </c>
      <c r="L80" s="245">
        <f>J80-'[6]Oktobris'!J80</f>
        <v>4345</v>
      </c>
      <c r="O80" s="788">
        <f t="shared" si="13"/>
        <v>38770</v>
      </c>
      <c r="P80">
        <v>34425</v>
      </c>
      <c r="Q80">
        <f t="shared" si="14"/>
        <v>4345</v>
      </c>
    </row>
    <row r="81" spans="1:17" ht="12.75" customHeight="1">
      <c r="A81" s="254" t="s">
        <v>1051</v>
      </c>
      <c r="B81" s="217">
        <v>50000</v>
      </c>
      <c r="C81" s="246"/>
      <c r="D81" s="246">
        <v>101140</v>
      </c>
      <c r="E81" s="243">
        <f t="shared" si="15"/>
        <v>202.28000000000003</v>
      </c>
      <c r="F81" s="245">
        <f>D81-'[6]Oktobris'!D81</f>
        <v>10898</v>
      </c>
      <c r="G81" s="123" t="s">
        <v>1051</v>
      </c>
      <c r="H81" s="217">
        <f>ROUND(B81/1000,0)</f>
        <v>50</v>
      </c>
      <c r="I81" s="217"/>
      <c r="J81" s="672">
        <f>ROUND(D81/1000,0)</f>
        <v>101</v>
      </c>
      <c r="K81" s="247">
        <f t="shared" si="16"/>
        <v>202</v>
      </c>
      <c r="L81" s="245">
        <f>J81-'[6]Oktobris'!J81</f>
        <v>11</v>
      </c>
      <c r="O81" s="788">
        <f t="shared" si="13"/>
        <v>101</v>
      </c>
      <c r="P81">
        <v>90</v>
      </c>
      <c r="Q81">
        <f t="shared" si="14"/>
        <v>11</v>
      </c>
    </row>
    <row r="82" spans="1:17" ht="12.75" customHeight="1">
      <c r="A82" s="215" t="s">
        <v>1052</v>
      </c>
      <c r="B82" s="217">
        <v>2539438</v>
      </c>
      <c r="C82" s="246"/>
      <c r="D82" s="246">
        <v>2349849</v>
      </c>
      <c r="E82" s="243">
        <f t="shared" si="15"/>
        <v>92.53421426315586</v>
      </c>
      <c r="F82" s="245">
        <f>D82-'[6]Oktobris'!D82</f>
        <v>150928</v>
      </c>
      <c r="G82" s="215" t="s">
        <v>1052</v>
      </c>
      <c r="H82" s="217">
        <f>ROUND(B82/1000,0)</f>
        <v>2539</v>
      </c>
      <c r="I82" s="217"/>
      <c r="J82" s="672">
        <f>ROUND(D82/1000,0)</f>
        <v>2350</v>
      </c>
      <c r="K82" s="247">
        <f t="shared" si="16"/>
        <v>92.55612445844821</v>
      </c>
      <c r="L82" s="245">
        <f>J82-'[6]Oktobris'!J82</f>
        <v>151</v>
      </c>
      <c r="O82" s="788">
        <f t="shared" si="13"/>
        <v>2350</v>
      </c>
      <c r="P82">
        <v>2199</v>
      </c>
      <c r="Q82">
        <f t="shared" si="14"/>
        <v>151</v>
      </c>
    </row>
    <row r="83" spans="1:17" ht="12.75" customHeight="1">
      <c r="A83" s="215" t="s">
        <v>75</v>
      </c>
      <c r="B83" s="245">
        <f>B84+B86</f>
        <v>70841479</v>
      </c>
      <c r="C83" s="245">
        <f>C84+C86</f>
        <v>66366975</v>
      </c>
      <c r="D83" s="245">
        <f>D84+D86</f>
        <v>57546328</v>
      </c>
      <c r="E83" s="243">
        <f t="shared" si="15"/>
        <v>81.23253327333835</v>
      </c>
      <c r="F83" s="245">
        <f>F84+F86</f>
        <v>4589228</v>
      </c>
      <c r="G83" s="215" t="s">
        <v>75</v>
      </c>
      <c r="H83" s="245">
        <f>H84+H86</f>
        <v>70841</v>
      </c>
      <c r="I83" s="217">
        <f>SUM(I84,I86)</f>
        <v>66368</v>
      </c>
      <c r="J83" s="672">
        <f>J84+J86</f>
        <v>57546</v>
      </c>
      <c r="K83" s="247">
        <f t="shared" si="16"/>
        <v>81.2326195282393</v>
      </c>
      <c r="L83" s="245">
        <f>L84+L86</f>
        <v>4589</v>
      </c>
      <c r="O83" s="788">
        <f t="shared" si="13"/>
        <v>57546</v>
      </c>
      <c r="P83">
        <v>52957</v>
      </c>
      <c r="Q83">
        <f t="shared" si="14"/>
        <v>4589</v>
      </c>
    </row>
    <row r="84" spans="1:17" ht="13.5" customHeight="1">
      <c r="A84" s="215" t="s">
        <v>76</v>
      </c>
      <c r="B84" s="217">
        <v>49455387</v>
      </c>
      <c r="C84" s="246">
        <v>45873588</v>
      </c>
      <c r="D84" s="246">
        <f>'[16]novembris'!$I$8</f>
        <v>42003422</v>
      </c>
      <c r="E84" s="243">
        <f t="shared" si="15"/>
        <v>84.9319448253433</v>
      </c>
      <c r="F84" s="245">
        <f>D84-'[6]Oktobris'!D84</f>
        <v>2870598</v>
      </c>
      <c r="G84" s="215" t="s">
        <v>76</v>
      </c>
      <c r="H84" s="217">
        <f>ROUND(B84/1000,0)</f>
        <v>49455</v>
      </c>
      <c r="I84" s="217">
        <f>ROUND(C84/1000,0)</f>
        <v>45874</v>
      </c>
      <c r="J84" s="672">
        <f>ROUND(D84/1000,0)</f>
        <v>42003</v>
      </c>
      <c r="K84" s="247">
        <f t="shared" si="16"/>
        <v>84.93175614194722</v>
      </c>
      <c r="L84" s="245">
        <f>J84-'[6]Oktobris'!J84</f>
        <v>2870</v>
      </c>
      <c r="O84" s="788">
        <f t="shared" si="13"/>
        <v>42003</v>
      </c>
      <c r="P84">
        <v>39133</v>
      </c>
      <c r="Q84">
        <f t="shared" si="14"/>
        <v>2870</v>
      </c>
    </row>
    <row r="85" spans="1:17" ht="12.75" customHeight="1">
      <c r="A85" s="248" t="s">
        <v>107</v>
      </c>
      <c r="B85" s="217">
        <v>3842150</v>
      </c>
      <c r="C85" s="246"/>
      <c r="D85" s="246">
        <f>'[16]novembris'!$I$15</f>
        <v>3602053</v>
      </c>
      <c r="E85" s="243"/>
      <c r="F85" s="245">
        <f>D85-'[6]Oktobris'!D85</f>
        <v>0</v>
      </c>
      <c r="G85" s="248" t="s">
        <v>107</v>
      </c>
      <c r="H85" s="217">
        <f>ROUND(B85/1000,0)</f>
        <v>3842</v>
      </c>
      <c r="I85" s="111"/>
      <c r="J85" s="672">
        <f>ROUND(D85/1000,0)</f>
        <v>3602</v>
      </c>
      <c r="K85" s="247">
        <f t="shared" si="16"/>
        <v>93.7532535137949</v>
      </c>
      <c r="L85" s="245">
        <f>J85-'[6]Oktobris'!J85</f>
        <v>0</v>
      </c>
      <c r="O85" s="788">
        <f t="shared" si="13"/>
        <v>3602</v>
      </c>
      <c r="P85">
        <v>3602</v>
      </c>
      <c r="Q85">
        <f t="shared" si="14"/>
        <v>0</v>
      </c>
    </row>
    <row r="86" spans="1:17" ht="12.75" customHeight="1">
      <c r="A86" s="215" t="s">
        <v>70</v>
      </c>
      <c r="B86" s="217">
        <v>21386092</v>
      </c>
      <c r="C86" s="246">
        <v>20493387</v>
      </c>
      <c r="D86" s="246">
        <f>'[16]novembris'!$I$31</f>
        <v>15542906</v>
      </c>
      <c r="E86" s="243">
        <f>D86/B86*100</f>
        <v>72.67763553995746</v>
      </c>
      <c r="F86" s="245">
        <f>D86-'[6]Oktobris'!D86</f>
        <v>1718630</v>
      </c>
      <c r="G86" s="215" t="s">
        <v>70</v>
      </c>
      <c r="H86" s="217">
        <f>ROUND(B86/1000,0)</f>
        <v>21386</v>
      </c>
      <c r="I86" s="217">
        <f>ROUND(C86/1000,0)+1</f>
        <v>20494</v>
      </c>
      <c r="J86" s="672">
        <f>ROUND(D86/1000,0)</f>
        <v>15543</v>
      </c>
      <c r="K86" s="247">
        <f t="shared" si="16"/>
        <v>72.67838773029085</v>
      </c>
      <c r="L86" s="245">
        <f>J86-'[6]Oktobris'!J86</f>
        <v>1719</v>
      </c>
      <c r="O86" s="788">
        <f t="shared" si="13"/>
        <v>15543</v>
      </c>
      <c r="P86">
        <v>13824</v>
      </c>
      <c r="Q86">
        <f t="shared" si="14"/>
        <v>1719</v>
      </c>
    </row>
    <row r="87" spans="1:17" ht="12.75" customHeight="1">
      <c r="A87" s="215" t="s">
        <v>978</v>
      </c>
      <c r="B87" s="245">
        <f>B78-B83</f>
        <v>-10885041</v>
      </c>
      <c r="C87" s="249">
        <f>C78-C83</f>
        <v>-11104537</v>
      </c>
      <c r="D87" s="245">
        <f>D78-D83</f>
        <v>-8116554</v>
      </c>
      <c r="E87" s="243">
        <f>D87/B87*100</f>
        <v>74.56613162963741</v>
      </c>
      <c r="F87" s="245">
        <f>F78-F83</f>
        <v>471513</v>
      </c>
      <c r="G87" s="215" t="s">
        <v>978</v>
      </c>
      <c r="H87" s="245">
        <f>H78-H83</f>
        <v>-10885</v>
      </c>
      <c r="I87" s="217">
        <f>ROUND(C87/1000,0)</f>
        <v>-11105</v>
      </c>
      <c r="J87" s="672">
        <f>J78-J83</f>
        <v>-8117</v>
      </c>
      <c r="K87" s="247">
        <f t="shared" si="16"/>
        <v>74.57050987597611</v>
      </c>
      <c r="L87" s="245">
        <f>L78-L83</f>
        <v>471</v>
      </c>
      <c r="O87" s="788">
        <f t="shared" si="13"/>
        <v>-8117</v>
      </c>
      <c r="P87">
        <v>-8588</v>
      </c>
      <c r="Q87">
        <f t="shared" si="14"/>
        <v>471</v>
      </c>
    </row>
    <row r="88" spans="1:17" ht="12.75" customHeight="1">
      <c r="A88" s="69" t="s">
        <v>71</v>
      </c>
      <c r="B88" s="217">
        <v>10000000</v>
      </c>
      <c r="C88" s="246">
        <f>2365000+745067+659000+1601933+271000+921000+903139+829000+1481304+545000+48000</f>
        <v>10369443</v>
      </c>
      <c r="D88" s="246">
        <f>'[16]novembris'!$I$44</f>
        <v>7725509</v>
      </c>
      <c r="E88" s="243">
        <f>D88/B88*100</f>
        <v>77.25509000000001</v>
      </c>
      <c r="F88" s="245">
        <f>D88-'[6]Oktobris'!D88</f>
        <v>-1329680</v>
      </c>
      <c r="G88" s="69" t="s">
        <v>701</v>
      </c>
      <c r="H88" s="217">
        <f>ROUND(B88/1000,0)</f>
        <v>10000</v>
      </c>
      <c r="I88" s="217">
        <f>ROUND(C88/1000,0)</f>
        <v>10369</v>
      </c>
      <c r="J88" s="672">
        <f>ROUND(D88/1000,0)</f>
        <v>7726</v>
      </c>
      <c r="K88" s="247">
        <f t="shared" si="16"/>
        <v>77.25999999999999</v>
      </c>
      <c r="L88" s="245">
        <f>J88-'[6]Oktobris'!J88</f>
        <v>-1329</v>
      </c>
      <c r="O88" s="788">
        <f t="shared" si="13"/>
        <v>7726</v>
      </c>
      <c r="P88">
        <v>9055</v>
      </c>
      <c r="Q88">
        <f t="shared" si="14"/>
        <v>-1329</v>
      </c>
    </row>
    <row r="89" spans="1:17" ht="12.75" customHeight="1">
      <c r="A89" s="209" t="s">
        <v>108</v>
      </c>
      <c r="B89" s="245"/>
      <c r="C89" s="245"/>
      <c r="D89" s="245"/>
      <c r="E89" s="243"/>
      <c r="F89" s="245"/>
      <c r="G89" s="209" t="s">
        <v>108</v>
      </c>
      <c r="H89" s="245"/>
      <c r="I89" s="217"/>
      <c r="J89" s="672"/>
      <c r="K89" s="247"/>
      <c r="L89" s="245"/>
      <c r="O89" s="788">
        <f t="shared" si="13"/>
        <v>0</v>
      </c>
      <c r="Q89">
        <f t="shared" si="14"/>
        <v>0</v>
      </c>
    </row>
    <row r="90" spans="1:17" ht="12.75" customHeight="1">
      <c r="A90" s="215" t="s">
        <v>73</v>
      </c>
      <c r="B90" s="245">
        <f>B91</f>
        <v>822000</v>
      </c>
      <c r="C90" s="249">
        <v>714283</v>
      </c>
      <c r="D90" s="245">
        <f>D91</f>
        <v>750041</v>
      </c>
      <c r="E90" s="243">
        <f>D90/B90*100</f>
        <v>91.24586374695863</v>
      </c>
      <c r="F90" s="245">
        <f>F91</f>
        <v>63869</v>
      </c>
      <c r="G90" s="215" t="s">
        <v>73</v>
      </c>
      <c r="H90" s="245">
        <f>H91</f>
        <v>822</v>
      </c>
      <c r="I90" s="217">
        <f>ROUND(C90/1000,0)</f>
        <v>714</v>
      </c>
      <c r="J90" s="672">
        <f>J91</f>
        <v>750</v>
      </c>
      <c r="K90" s="247">
        <f>J90/H90*100</f>
        <v>91.24087591240875</v>
      </c>
      <c r="L90" s="245">
        <f>L91</f>
        <v>64</v>
      </c>
      <c r="O90" s="788">
        <f t="shared" si="13"/>
        <v>750</v>
      </c>
      <c r="P90">
        <v>686</v>
      </c>
      <c r="Q90">
        <f t="shared" si="14"/>
        <v>64</v>
      </c>
    </row>
    <row r="91" spans="1:17" ht="12.75" customHeight="1">
      <c r="A91" s="215" t="s">
        <v>802</v>
      </c>
      <c r="B91" s="217">
        <v>822000</v>
      </c>
      <c r="C91" s="246"/>
      <c r="D91" s="246">
        <f>'[16]novembris'!$F$6</f>
        <v>750041</v>
      </c>
      <c r="E91" s="243">
        <f>D91/B91*100</f>
        <v>91.24586374695863</v>
      </c>
      <c r="F91" s="245">
        <f>D91-'[6]Oktobris'!D91</f>
        <v>63869</v>
      </c>
      <c r="G91" s="215" t="s">
        <v>802</v>
      </c>
      <c r="H91" s="217">
        <f>ROUND(B91/1000,0)</f>
        <v>822</v>
      </c>
      <c r="I91" s="217"/>
      <c r="J91" s="672">
        <f>ROUND(D91/1000,0)</f>
        <v>750</v>
      </c>
      <c r="K91" s="247">
        <f>J91/H91*100</f>
        <v>91.24087591240875</v>
      </c>
      <c r="L91" s="245">
        <f>J91-'[6]Oktobris'!J91</f>
        <v>64</v>
      </c>
      <c r="O91" s="788">
        <f t="shared" si="13"/>
        <v>750</v>
      </c>
      <c r="P91">
        <v>686</v>
      </c>
      <c r="Q91">
        <f t="shared" si="14"/>
        <v>64</v>
      </c>
    </row>
    <row r="92" spans="1:17" ht="12.75" customHeight="1">
      <c r="A92" s="215" t="s">
        <v>75</v>
      </c>
      <c r="B92" s="245">
        <f>SUM(B93:B94)</f>
        <v>822000</v>
      </c>
      <c r="C92" s="245">
        <f>SUM(C93:C94)</f>
        <v>714283</v>
      </c>
      <c r="D92" s="245">
        <f>SUM(D93:D94)</f>
        <v>490070</v>
      </c>
      <c r="E92" s="243">
        <f>D92/B92*100</f>
        <v>59.619221411192214</v>
      </c>
      <c r="F92" s="245">
        <f>SUM(F93:F94)</f>
        <v>7184</v>
      </c>
      <c r="G92" s="215" t="s">
        <v>75</v>
      </c>
      <c r="H92" s="245">
        <f>SUM(H93:H94)</f>
        <v>822</v>
      </c>
      <c r="I92" s="217">
        <f>SUM(I93:I94)</f>
        <v>714</v>
      </c>
      <c r="J92" s="672">
        <f>SUM(J93:J94)</f>
        <v>490</v>
      </c>
      <c r="K92" s="247">
        <f>J92/H92*100</f>
        <v>59.61070559610706</v>
      </c>
      <c r="L92" s="245">
        <f>SUM(L93:L94)</f>
        <v>8</v>
      </c>
      <c r="O92" s="788">
        <f t="shared" si="13"/>
        <v>490</v>
      </c>
      <c r="P92">
        <v>482</v>
      </c>
      <c r="Q92">
        <f t="shared" si="14"/>
        <v>8</v>
      </c>
    </row>
    <row r="93" spans="1:17" ht="12.75" customHeight="1">
      <c r="A93" s="215" t="s">
        <v>76</v>
      </c>
      <c r="B93" s="217">
        <v>820000</v>
      </c>
      <c r="C93" s="246">
        <v>712283</v>
      </c>
      <c r="D93" s="246">
        <f>'[16]novembris'!$F$8</f>
        <v>488157</v>
      </c>
      <c r="E93" s="243">
        <f>D93/B93*100</f>
        <v>59.531341463414634</v>
      </c>
      <c r="F93" s="245">
        <f>D93-'[6]Oktobris'!D93</f>
        <v>6730</v>
      </c>
      <c r="G93" s="215" t="s">
        <v>76</v>
      </c>
      <c r="H93" s="217">
        <f aca="true" t="shared" si="17" ref="H93:J94">ROUND(B93/1000,0)</f>
        <v>820</v>
      </c>
      <c r="I93" s="217">
        <f t="shared" si="17"/>
        <v>712</v>
      </c>
      <c r="J93" s="672">
        <f t="shared" si="17"/>
        <v>488</v>
      </c>
      <c r="K93" s="247">
        <f>J93/H93*100</f>
        <v>59.512195121951216</v>
      </c>
      <c r="L93" s="245">
        <f>J93-'[6]Oktobris'!J93</f>
        <v>7</v>
      </c>
      <c r="O93" s="788">
        <f t="shared" si="13"/>
        <v>488</v>
      </c>
      <c r="P93">
        <v>481</v>
      </c>
      <c r="Q93">
        <f t="shared" si="14"/>
        <v>7</v>
      </c>
    </row>
    <row r="94" spans="1:17" ht="12.75" customHeight="1">
      <c r="A94" s="215" t="s">
        <v>70</v>
      </c>
      <c r="B94" s="217">
        <v>2000</v>
      </c>
      <c r="C94" s="246">
        <v>2000</v>
      </c>
      <c r="D94" s="246">
        <f>'[16]novembris'!$F$31</f>
        <v>1913</v>
      </c>
      <c r="E94" s="243">
        <f>D94/B94*100</f>
        <v>95.65</v>
      </c>
      <c r="F94" s="245">
        <f>D94-'[6]Oktobris'!D94</f>
        <v>454</v>
      </c>
      <c r="G94" s="215" t="s">
        <v>70</v>
      </c>
      <c r="H94" s="217">
        <f t="shared" si="17"/>
        <v>2</v>
      </c>
      <c r="I94" s="217">
        <f t="shared" si="17"/>
        <v>2</v>
      </c>
      <c r="J94" s="672">
        <f t="shared" si="17"/>
        <v>2</v>
      </c>
      <c r="K94" s="247">
        <f>J94/H94*100</f>
        <v>100</v>
      </c>
      <c r="L94" s="245">
        <f>J94-'[6]Oktobris'!J94</f>
        <v>1</v>
      </c>
      <c r="O94" s="788">
        <f t="shared" si="13"/>
        <v>2</v>
      </c>
      <c r="P94">
        <v>1</v>
      </c>
      <c r="Q94">
        <f t="shared" si="14"/>
        <v>1</v>
      </c>
    </row>
    <row r="95" spans="1:17" ht="12.75" customHeight="1">
      <c r="A95" s="92" t="s">
        <v>109</v>
      </c>
      <c r="B95" s="245"/>
      <c r="C95" s="245"/>
      <c r="D95" s="245"/>
      <c r="E95" s="243"/>
      <c r="F95" s="245"/>
      <c r="G95" s="92" t="s">
        <v>109</v>
      </c>
      <c r="H95" s="245"/>
      <c r="I95" s="217"/>
      <c r="J95" s="672"/>
      <c r="K95" s="247"/>
      <c r="L95" s="245"/>
      <c r="O95" s="788">
        <f t="shared" si="13"/>
        <v>0</v>
      </c>
      <c r="Q95">
        <f t="shared" si="14"/>
        <v>0</v>
      </c>
    </row>
    <row r="96" spans="1:17" ht="12.75" customHeight="1">
      <c r="A96" s="215" t="s">
        <v>73</v>
      </c>
      <c r="B96" s="217">
        <f>B97</f>
        <v>2100000</v>
      </c>
      <c r="C96" s="246">
        <v>2020000</v>
      </c>
      <c r="D96" s="217">
        <f>D97</f>
        <v>1906814</v>
      </c>
      <c r="E96" s="243">
        <f>D96/B96*100</f>
        <v>90.80066666666666</v>
      </c>
      <c r="F96" s="245">
        <f>F97</f>
        <v>125465</v>
      </c>
      <c r="G96" s="215" t="s">
        <v>73</v>
      </c>
      <c r="H96" s="217">
        <f>H97</f>
        <v>2100</v>
      </c>
      <c r="I96" s="217">
        <f>ROUND(C96/1000,0)</f>
        <v>2020</v>
      </c>
      <c r="J96" s="672">
        <f>J97</f>
        <v>1907</v>
      </c>
      <c r="K96" s="247">
        <f>J96/H96*100</f>
        <v>90.80952380952381</v>
      </c>
      <c r="L96" s="245">
        <f>L97</f>
        <v>126</v>
      </c>
      <c r="O96" s="788">
        <f t="shared" si="13"/>
        <v>1907</v>
      </c>
      <c r="P96">
        <v>1781</v>
      </c>
      <c r="Q96">
        <f t="shared" si="14"/>
        <v>126</v>
      </c>
    </row>
    <row r="97" spans="1:17" ht="12.75" customHeight="1">
      <c r="A97" s="215" t="s">
        <v>110</v>
      </c>
      <c r="B97" s="217">
        <v>2100000</v>
      </c>
      <c r="C97" s="246"/>
      <c r="D97" s="246">
        <f>'[16]novembris'!$G$6</f>
        <v>1906814</v>
      </c>
      <c r="E97" s="243">
        <f>D97/B97*100</f>
        <v>90.80066666666666</v>
      </c>
      <c r="F97" s="245">
        <f>D97-'[6]Oktobris'!D97</f>
        <v>125465</v>
      </c>
      <c r="G97" s="215" t="s">
        <v>110</v>
      </c>
      <c r="H97" s="217">
        <f>ROUND(B97/1000,0)</f>
        <v>2100</v>
      </c>
      <c r="I97" s="217"/>
      <c r="J97" s="672">
        <f>ROUND(D97/1000,0)</f>
        <v>1907</v>
      </c>
      <c r="K97" s="247">
        <f>J97/H97*100</f>
        <v>90.80952380952381</v>
      </c>
      <c r="L97" s="245">
        <f>J97-'[6]Oktobris'!J97</f>
        <v>126</v>
      </c>
      <c r="O97" s="788">
        <f t="shared" si="13"/>
        <v>1907</v>
      </c>
      <c r="P97">
        <v>1781</v>
      </c>
      <c r="Q97">
        <f t="shared" si="14"/>
        <v>126</v>
      </c>
    </row>
    <row r="98" spans="1:17" ht="12.75" customHeight="1">
      <c r="A98" s="215" t="s">
        <v>75</v>
      </c>
      <c r="B98" s="245">
        <f>SUM(B99:B100)</f>
        <v>2198392</v>
      </c>
      <c r="C98" s="245">
        <f>SUM(C99:C100)</f>
        <v>2020000</v>
      </c>
      <c r="D98" s="245">
        <f>SUM(D99:D100)</f>
        <v>1746999</v>
      </c>
      <c r="E98" s="243">
        <f>D98/B98*100</f>
        <v>79.46712870134171</v>
      </c>
      <c r="F98" s="245">
        <f>SUM(F99:F100)</f>
        <v>1188408</v>
      </c>
      <c r="G98" s="215" t="s">
        <v>75</v>
      </c>
      <c r="H98" s="245">
        <f>SUM(H99:H100)</f>
        <v>2198</v>
      </c>
      <c r="I98" s="246">
        <f>SUM(I99:I100)</f>
        <v>2020</v>
      </c>
      <c r="J98" s="672">
        <f>SUM(J99:J100)</f>
        <v>1747</v>
      </c>
      <c r="K98" s="247">
        <f>J98/H98*100</f>
        <v>79.4813466787989</v>
      </c>
      <c r="L98" s="245">
        <f>SUM(L99:L100)</f>
        <v>1188</v>
      </c>
      <c r="O98" s="788">
        <f t="shared" si="13"/>
        <v>1747</v>
      </c>
      <c r="P98">
        <v>559</v>
      </c>
      <c r="Q98">
        <f t="shared" si="14"/>
        <v>1188</v>
      </c>
    </row>
    <row r="99" spans="1:17" ht="12.75" customHeight="1">
      <c r="A99" s="215" t="s">
        <v>76</v>
      </c>
      <c r="B99" s="217">
        <v>1500000</v>
      </c>
      <c r="C99" s="246">
        <v>1500000</v>
      </c>
      <c r="D99" s="246">
        <f>'[16]novembris'!$G$8</f>
        <v>1500000</v>
      </c>
      <c r="E99" s="243">
        <f>D99/B99*100</f>
        <v>100</v>
      </c>
      <c r="F99" s="245">
        <f>D99-'[6]Oktobris'!D99</f>
        <v>1075000</v>
      </c>
      <c r="G99" s="215" t="s">
        <v>76</v>
      </c>
      <c r="H99" s="217">
        <f aca="true" t="shared" si="18" ref="H99:J100">ROUND(B99/1000,0)</f>
        <v>1500</v>
      </c>
      <c r="I99" s="217">
        <f t="shared" si="18"/>
        <v>1500</v>
      </c>
      <c r="J99" s="672">
        <f t="shared" si="18"/>
        <v>1500</v>
      </c>
      <c r="K99" s="247">
        <f>J99/H99*100</f>
        <v>100</v>
      </c>
      <c r="L99" s="245">
        <f>J99-'[6]Oktobris'!J99</f>
        <v>1075</v>
      </c>
      <c r="O99" s="788">
        <f t="shared" si="13"/>
        <v>1500</v>
      </c>
      <c r="P99">
        <v>425</v>
      </c>
      <c r="Q99">
        <f t="shared" si="14"/>
        <v>1075</v>
      </c>
    </row>
    <row r="100" spans="1:17" ht="12.75" customHeight="1">
      <c r="A100" s="215" t="s">
        <v>70</v>
      </c>
      <c r="B100" s="217">
        <v>698392</v>
      </c>
      <c r="C100" s="246">
        <v>520000</v>
      </c>
      <c r="D100" s="246">
        <f>'[16]novembris'!$G$31</f>
        <v>246999</v>
      </c>
      <c r="E100" s="243">
        <f>D100/B100*100</f>
        <v>35.36681405285284</v>
      </c>
      <c r="F100" s="245">
        <f>D100-'[6]Oktobris'!D100</f>
        <v>113408</v>
      </c>
      <c r="G100" s="215" t="s">
        <v>70</v>
      </c>
      <c r="H100" s="217">
        <f t="shared" si="18"/>
        <v>698</v>
      </c>
      <c r="I100" s="217">
        <f t="shared" si="18"/>
        <v>520</v>
      </c>
      <c r="J100" s="672">
        <f t="shared" si="18"/>
        <v>247</v>
      </c>
      <c r="K100" s="247">
        <f>J100/H100*100</f>
        <v>35.38681948424069</v>
      </c>
      <c r="L100" s="245">
        <f>J100-'[6]Oktobris'!J100</f>
        <v>113</v>
      </c>
      <c r="M100" s="133"/>
      <c r="O100" s="788">
        <f t="shared" si="13"/>
        <v>247</v>
      </c>
      <c r="P100">
        <v>134</v>
      </c>
      <c r="Q100">
        <f t="shared" si="14"/>
        <v>113</v>
      </c>
    </row>
    <row r="101" spans="1:17" ht="12.75" customHeight="1">
      <c r="A101" s="32" t="s">
        <v>1003</v>
      </c>
      <c r="B101" s="245"/>
      <c r="C101" s="245"/>
      <c r="D101" s="215"/>
      <c r="E101" s="243"/>
      <c r="F101" s="245"/>
      <c r="G101" s="32" t="s">
        <v>1003</v>
      </c>
      <c r="H101" s="245"/>
      <c r="I101" s="215"/>
      <c r="J101" s="673"/>
      <c r="K101" s="247"/>
      <c r="L101" s="245"/>
      <c r="M101" s="84"/>
      <c r="O101" s="788">
        <f t="shared" si="13"/>
        <v>0</v>
      </c>
      <c r="Q101">
        <f t="shared" si="14"/>
        <v>0</v>
      </c>
    </row>
    <row r="102" spans="1:17" ht="12.75" customHeight="1">
      <c r="A102" s="250" t="s">
        <v>111</v>
      </c>
      <c r="B102" s="245"/>
      <c r="C102" s="245"/>
      <c r="D102" s="215"/>
      <c r="E102" s="243"/>
      <c r="F102" s="245"/>
      <c r="G102" s="32" t="s">
        <v>111</v>
      </c>
      <c r="H102" s="245"/>
      <c r="I102" s="215"/>
      <c r="J102" s="673"/>
      <c r="K102" s="247"/>
      <c r="L102" s="245"/>
      <c r="M102" s="84"/>
      <c r="O102" s="788">
        <f t="shared" si="13"/>
        <v>0</v>
      </c>
      <c r="Q102">
        <f t="shared" si="14"/>
        <v>0</v>
      </c>
    </row>
    <row r="103" spans="1:17" ht="12.75" customHeight="1">
      <c r="A103" s="215" t="s">
        <v>73</v>
      </c>
      <c r="B103" s="245">
        <f>SUM(B104:B107)</f>
        <v>139410705</v>
      </c>
      <c r="C103" s="249">
        <v>128553925</v>
      </c>
      <c r="D103" s="245">
        <f>SUM(D104:D107)</f>
        <v>125952439</v>
      </c>
      <c r="E103" s="243">
        <f aca="true" t="shared" si="19" ref="E103:E113">D103/B103*100</f>
        <v>90.34631809659092</v>
      </c>
      <c r="F103" s="245">
        <f>SUM(F104:F107)</f>
        <v>10931589</v>
      </c>
      <c r="G103" s="215" t="s">
        <v>73</v>
      </c>
      <c r="H103" s="245">
        <f>SUM(H104:H107)</f>
        <v>139411</v>
      </c>
      <c r="I103" s="217">
        <f>ROUND(C103/1000,0)</f>
        <v>128554</v>
      </c>
      <c r="J103" s="672">
        <f>SUM(J104:J107)</f>
        <v>125952</v>
      </c>
      <c r="K103" s="247">
        <f aca="true" t="shared" si="20" ref="K103:K113">J103/H103*100</f>
        <v>90.34581202344147</v>
      </c>
      <c r="L103" s="245">
        <f>SUM(L104:L107)</f>
        <v>10930</v>
      </c>
      <c r="O103" s="788">
        <f t="shared" si="13"/>
        <v>125952</v>
      </c>
      <c r="P103">
        <v>115022</v>
      </c>
      <c r="Q103">
        <f t="shared" si="14"/>
        <v>10930</v>
      </c>
    </row>
    <row r="104" spans="1:17" ht="12.75" customHeight="1">
      <c r="A104" s="215" t="s">
        <v>112</v>
      </c>
      <c r="B104" s="245">
        <v>81519197</v>
      </c>
      <c r="C104" s="249"/>
      <c r="D104" s="249">
        <v>71834148</v>
      </c>
      <c r="E104" s="243">
        <f t="shared" si="19"/>
        <v>88.11930274533985</v>
      </c>
      <c r="F104" s="245">
        <f>D104-'[6]Oktobris'!D104</f>
        <v>6930479</v>
      </c>
      <c r="G104" s="215" t="s">
        <v>112</v>
      </c>
      <c r="H104" s="217">
        <f>ROUND(B104/1000,0)</f>
        <v>81519</v>
      </c>
      <c r="I104" s="217"/>
      <c r="J104" s="672">
        <f>ROUND(D104/1000,0)</f>
        <v>71834</v>
      </c>
      <c r="K104" s="247">
        <f t="shared" si="20"/>
        <v>88.11933414296054</v>
      </c>
      <c r="L104" s="245">
        <f>J104-'[6]Oktobris'!J104</f>
        <v>6930</v>
      </c>
      <c r="O104" s="788">
        <f t="shared" si="13"/>
        <v>71834</v>
      </c>
      <c r="P104">
        <v>64904</v>
      </c>
      <c r="Q104">
        <f t="shared" si="14"/>
        <v>6930</v>
      </c>
    </row>
    <row r="105" spans="1:17" ht="12.75" customHeight="1">
      <c r="A105" s="215" t="s">
        <v>113</v>
      </c>
      <c r="B105" s="245">
        <v>54613594</v>
      </c>
      <c r="C105" s="249"/>
      <c r="D105" s="249">
        <v>51374349</v>
      </c>
      <c r="E105" s="243">
        <f t="shared" si="19"/>
        <v>94.06879356813617</v>
      </c>
      <c r="F105" s="245">
        <f>D105-'[6]Oktobris'!D105</f>
        <v>3585773</v>
      </c>
      <c r="G105" s="215" t="s">
        <v>113</v>
      </c>
      <c r="H105" s="217">
        <f>ROUND(B105/1000,0)</f>
        <v>54614</v>
      </c>
      <c r="I105" s="217"/>
      <c r="J105" s="672">
        <f>ROUND(D105/1000,0)</f>
        <v>51374</v>
      </c>
      <c r="K105" s="247">
        <f t="shared" si="20"/>
        <v>94.06745523125939</v>
      </c>
      <c r="L105" s="245">
        <f>J105-'[6]Oktobris'!J105</f>
        <v>3585</v>
      </c>
      <c r="O105" s="788">
        <f t="shared" si="13"/>
        <v>51374</v>
      </c>
      <c r="P105">
        <v>47789</v>
      </c>
      <c r="Q105">
        <f t="shared" si="14"/>
        <v>3585</v>
      </c>
    </row>
    <row r="106" spans="1:17" ht="12.75" customHeight="1">
      <c r="A106" s="254" t="s">
        <v>1051</v>
      </c>
      <c r="B106" s="245">
        <v>3212246</v>
      </c>
      <c r="C106" s="249"/>
      <c r="D106" s="249">
        <v>2743942</v>
      </c>
      <c r="E106" s="243">
        <f t="shared" si="19"/>
        <v>85.42129089739703</v>
      </c>
      <c r="F106" s="245">
        <f>D106-'[6]Oktobris'!D106</f>
        <v>415337</v>
      </c>
      <c r="G106" s="123" t="s">
        <v>1051</v>
      </c>
      <c r="H106" s="217">
        <f>ROUND(B106/1000,0)</f>
        <v>3212</v>
      </c>
      <c r="I106" s="217"/>
      <c r="J106" s="672">
        <f>ROUND(D106/1000,0)</f>
        <v>2744</v>
      </c>
      <c r="K106" s="247">
        <f t="shared" si="20"/>
        <v>85.42963885429639</v>
      </c>
      <c r="L106" s="245">
        <f>J106-'[6]Oktobris'!J106</f>
        <v>415</v>
      </c>
      <c r="O106" s="788">
        <f t="shared" si="13"/>
        <v>2744</v>
      </c>
      <c r="P106">
        <v>2329</v>
      </c>
      <c r="Q106">
        <f t="shared" si="14"/>
        <v>415</v>
      </c>
    </row>
    <row r="107" spans="1:17" ht="12.75" customHeight="1">
      <c r="A107" s="215" t="s">
        <v>1052</v>
      </c>
      <c r="B107" s="245">
        <v>65668</v>
      </c>
      <c r="C107" s="249"/>
      <c r="D107" s="249"/>
      <c r="E107" s="243">
        <f t="shared" si="19"/>
        <v>0</v>
      </c>
      <c r="F107" s="245">
        <f>D107-'[6]Oktobris'!D107</f>
        <v>0</v>
      </c>
      <c r="G107" s="215" t="s">
        <v>1052</v>
      </c>
      <c r="H107" s="217">
        <f>ROUND(B107/1000,0)</f>
        <v>66</v>
      </c>
      <c r="I107" s="217"/>
      <c r="J107" s="672">
        <f>ROUND(D107/1000,0)</f>
        <v>0</v>
      </c>
      <c r="K107" s="247">
        <f t="shared" si="20"/>
        <v>0</v>
      </c>
      <c r="L107" s="245">
        <f>J107-'[6]Oktobris'!J107</f>
        <v>0</v>
      </c>
      <c r="O107" s="788">
        <f t="shared" si="13"/>
        <v>0</v>
      </c>
      <c r="P107">
        <v>0</v>
      </c>
      <c r="Q107">
        <f t="shared" si="14"/>
        <v>0</v>
      </c>
    </row>
    <row r="108" spans="1:17" ht="12.75" customHeight="1">
      <c r="A108" s="215" t="s">
        <v>75</v>
      </c>
      <c r="B108" s="245">
        <f>B109+B111</f>
        <v>144348387</v>
      </c>
      <c r="C108" s="245">
        <f>C109+C111</f>
        <v>135252191</v>
      </c>
      <c r="D108" s="245">
        <f>D109+D111</f>
        <v>127145154</v>
      </c>
      <c r="E108" s="243">
        <f t="shared" si="19"/>
        <v>88.08214393140396</v>
      </c>
      <c r="F108" s="245">
        <f>F109+F111</f>
        <v>11240321</v>
      </c>
      <c r="G108" s="215" t="s">
        <v>75</v>
      </c>
      <c r="H108" s="245">
        <f>H109+H111</f>
        <v>144349</v>
      </c>
      <c r="I108" s="246">
        <f>SUM(I109,I111)</f>
        <v>135252</v>
      </c>
      <c r="J108" s="672">
        <f>SUM(J109,J111)</f>
        <v>127146</v>
      </c>
      <c r="K108" s="247">
        <f t="shared" si="20"/>
        <v>88.08235595674373</v>
      </c>
      <c r="L108" s="245">
        <f>L109+L111</f>
        <v>11241</v>
      </c>
      <c r="O108" s="788">
        <f t="shared" si="13"/>
        <v>127146</v>
      </c>
      <c r="P108">
        <v>115905</v>
      </c>
      <c r="Q108">
        <f t="shared" si="14"/>
        <v>11241</v>
      </c>
    </row>
    <row r="109" spans="1:17" ht="12.75" customHeight="1">
      <c r="A109" s="215" t="s">
        <v>76</v>
      </c>
      <c r="B109" s="245">
        <v>139939766</v>
      </c>
      <c r="C109" s="246">
        <v>130874169</v>
      </c>
      <c r="D109" s="249">
        <f>'[16]novembris'!$D$8</f>
        <v>125097520</v>
      </c>
      <c r="E109" s="243">
        <f t="shared" si="19"/>
        <v>89.39383248647135</v>
      </c>
      <c r="F109" s="245">
        <f>D109-'[6]Oktobris'!D109</f>
        <v>11041358</v>
      </c>
      <c r="G109" s="215" t="s">
        <v>76</v>
      </c>
      <c r="H109" s="217">
        <f>ROUND(B109/1000,0)</f>
        <v>139940</v>
      </c>
      <c r="I109" s="217">
        <f>ROUND(C109/1000,0)</f>
        <v>130874</v>
      </c>
      <c r="J109" s="672">
        <f>ROUND(D109/1000,0)</f>
        <v>125098</v>
      </c>
      <c r="K109" s="247">
        <f t="shared" si="20"/>
        <v>89.39402601114763</v>
      </c>
      <c r="L109" s="245">
        <f>J109-'[6]Oktobris'!J109</f>
        <v>11042</v>
      </c>
      <c r="O109" s="788">
        <f t="shared" si="13"/>
        <v>125098</v>
      </c>
      <c r="P109">
        <v>114056</v>
      </c>
      <c r="Q109">
        <f t="shared" si="14"/>
        <v>11042</v>
      </c>
    </row>
    <row r="110" spans="1:17" ht="12.75" customHeight="1">
      <c r="A110" s="248" t="s">
        <v>107</v>
      </c>
      <c r="B110" s="245">
        <v>1288396</v>
      </c>
      <c r="C110" s="249"/>
      <c r="D110" s="671">
        <v>1136699</v>
      </c>
      <c r="E110" s="243">
        <f t="shared" si="19"/>
        <v>88.22590259516484</v>
      </c>
      <c r="F110" s="245">
        <f>D110-'[6]Oktobris'!D110</f>
        <v>511618</v>
      </c>
      <c r="G110" s="248" t="s">
        <v>107</v>
      </c>
      <c r="H110" s="217">
        <f>ROUND(B110/1000,0)</f>
        <v>1288</v>
      </c>
      <c r="I110" s="217"/>
      <c r="J110" s="672">
        <f>ROUND(D110/1000,0)</f>
        <v>1137</v>
      </c>
      <c r="K110" s="247">
        <f t="shared" si="20"/>
        <v>88.27639751552795</v>
      </c>
      <c r="L110" s="245">
        <f>J110-'[6]Oktobris'!J110</f>
        <v>512</v>
      </c>
      <c r="O110" s="788">
        <f t="shared" si="13"/>
        <v>1137</v>
      </c>
      <c r="P110">
        <v>625</v>
      </c>
      <c r="Q110">
        <f t="shared" si="14"/>
        <v>512</v>
      </c>
    </row>
    <row r="111" spans="1:17" ht="12.75" customHeight="1">
      <c r="A111" s="215" t="s">
        <v>70</v>
      </c>
      <c r="B111" s="245">
        <v>4408621</v>
      </c>
      <c r="C111" s="246">
        <v>4378022</v>
      </c>
      <c r="D111" s="249">
        <f>'[16]novembris'!$D$31</f>
        <v>2047634</v>
      </c>
      <c r="E111" s="243">
        <f t="shared" si="19"/>
        <v>46.44613360957996</v>
      </c>
      <c r="F111" s="245">
        <f>D111-'[6]Oktobris'!D111</f>
        <v>198963</v>
      </c>
      <c r="G111" s="215" t="s">
        <v>70</v>
      </c>
      <c r="H111" s="217">
        <f>ROUND(B111/1000,0)</f>
        <v>4409</v>
      </c>
      <c r="I111" s="217">
        <f>ROUND(C111/1000,0)</f>
        <v>4378</v>
      </c>
      <c r="J111" s="672">
        <f>ROUND(D111/1000,0)</f>
        <v>2048</v>
      </c>
      <c r="K111" s="247">
        <f t="shared" si="20"/>
        <v>46.450442277160356</v>
      </c>
      <c r="L111" s="245">
        <f>J111-'[6]Oktobris'!J111</f>
        <v>199</v>
      </c>
      <c r="O111" s="788">
        <f t="shared" si="13"/>
        <v>2048</v>
      </c>
      <c r="P111">
        <v>1849</v>
      </c>
      <c r="Q111">
        <f t="shared" si="14"/>
        <v>199</v>
      </c>
    </row>
    <row r="112" spans="1:17" ht="12.75" customHeight="1">
      <c r="A112" s="215" t="s">
        <v>978</v>
      </c>
      <c r="B112" s="245">
        <f>B103-B108</f>
        <v>-4937682</v>
      </c>
      <c r="C112" s="245">
        <f>C103-C108</f>
        <v>-6698266</v>
      </c>
      <c r="D112" s="245">
        <f>D103-D108</f>
        <v>-1192715</v>
      </c>
      <c r="E112" s="243">
        <f t="shared" si="19"/>
        <v>24.155362779539065</v>
      </c>
      <c r="F112" s="245">
        <f>F103-F108</f>
        <v>-308732</v>
      </c>
      <c r="G112" s="215" t="s">
        <v>978</v>
      </c>
      <c r="H112" s="245">
        <f>H103-H108</f>
        <v>-4938</v>
      </c>
      <c r="I112" s="217">
        <f>ROUND(C112/1000,0)</f>
        <v>-6698</v>
      </c>
      <c r="J112" s="672">
        <f>J103-J108</f>
        <v>-1194</v>
      </c>
      <c r="K112" s="247">
        <f t="shared" si="20"/>
        <v>24.179829890643987</v>
      </c>
      <c r="L112" s="245">
        <f>L103-L108</f>
        <v>-311</v>
      </c>
      <c r="O112" s="788">
        <f t="shared" si="13"/>
        <v>-1194</v>
      </c>
      <c r="P112">
        <v>-883</v>
      </c>
      <c r="Q112">
        <f t="shared" si="14"/>
        <v>-311</v>
      </c>
    </row>
    <row r="113" spans="1:17" ht="12.75" customHeight="1">
      <c r="A113" s="254" t="s">
        <v>100</v>
      </c>
      <c r="B113" s="245">
        <v>3177098</v>
      </c>
      <c r="C113" s="249">
        <f>2200000+977098</f>
        <v>3177098</v>
      </c>
      <c r="D113" s="249">
        <f>'[16]novembris'!$D$44</f>
        <v>972642</v>
      </c>
      <c r="E113" s="243">
        <f t="shared" si="19"/>
        <v>30.614164246743414</v>
      </c>
      <c r="F113" s="245">
        <f>D113-'[6]Oktobris'!D113</f>
        <v>26422</v>
      </c>
      <c r="G113" s="215" t="s">
        <v>100</v>
      </c>
      <c r="H113" s="217">
        <f>ROUND(B113/1000,0)</f>
        <v>3177</v>
      </c>
      <c r="I113" s="217">
        <f>ROUND(C113/1000,0)</f>
        <v>3177</v>
      </c>
      <c r="J113" s="672">
        <f>ROUND(D113/1000,0)</f>
        <v>973</v>
      </c>
      <c r="K113" s="247">
        <f t="shared" si="20"/>
        <v>30.6263770853006</v>
      </c>
      <c r="L113" s="245">
        <f>J113-'[6]Oktobris'!J113</f>
        <v>27</v>
      </c>
      <c r="O113" s="788">
        <f t="shared" si="13"/>
        <v>973</v>
      </c>
      <c r="P113">
        <v>946</v>
      </c>
      <c r="Q113">
        <f t="shared" si="14"/>
        <v>27</v>
      </c>
    </row>
    <row r="114" spans="1:17" ht="12.75" customHeight="1">
      <c r="A114" s="209" t="s">
        <v>114</v>
      </c>
      <c r="B114" s="245"/>
      <c r="C114" s="245"/>
      <c r="D114" s="245"/>
      <c r="E114" s="243"/>
      <c r="F114" s="245"/>
      <c r="G114" s="209" t="s">
        <v>114</v>
      </c>
      <c r="H114" s="245"/>
      <c r="I114" s="217"/>
      <c r="J114" s="672"/>
      <c r="K114" s="247"/>
      <c r="L114" s="245"/>
      <c r="O114" s="788">
        <f t="shared" si="13"/>
        <v>0</v>
      </c>
      <c r="Q114">
        <f t="shared" si="14"/>
        <v>0</v>
      </c>
    </row>
    <row r="115" spans="1:17" ht="12.75" customHeight="1">
      <c r="A115" s="215" t="s">
        <v>73</v>
      </c>
      <c r="B115" s="245">
        <f>SUM(B116:B118)</f>
        <v>503151370</v>
      </c>
      <c r="C115" s="249">
        <f>37020270+37889203+39825423+40449323+42619883+42381558+43325703+42438340+42421346+41663797+40932826</f>
        <v>450967672</v>
      </c>
      <c r="D115" s="245">
        <f>SUM(D116:D118)</f>
        <v>442421529</v>
      </c>
      <c r="E115" s="243">
        <f aca="true" t="shared" si="21" ref="E115:E120">D115/B115*100</f>
        <v>87.93010520869694</v>
      </c>
      <c r="F115" s="245">
        <f>SUM(F116:F118)</f>
        <v>39469715</v>
      </c>
      <c r="G115" s="215" t="s">
        <v>73</v>
      </c>
      <c r="H115" s="245">
        <f>SUM(H116:H118)</f>
        <v>503151</v>
      </c>
      <c r="I115" s="217">
        <f>ROUND(C115/1000,0)</f>
        <v>450968</v>
      </c>
      <c r="J115" s="672">
        <f>SUM(J116:J118)</f>
        <v>442421</v>
      </c>
      <c r="K115" s="247">
        <f aca="true" t="shared" si="22" ref="K115:K120">J115/H115*100</f>
        <v>87.93006473205857</v>
      </c>
      <c r="L115" s="245">
        <f>SUM(L116:L118)</f>
        <v>39469</v>
      </c>
      <c r="O115" s="788">
        <f t="shared" si="13"/>
        <v>442421</v>
      </c>
      <c r="P115">
        <v>402952</v>
      </c>
      <c r="Q115">
        <f t="shared" si="14"/>
        <v>39469</v>
      </c>
    </row>
    <row r="116" spans="1:17" ht="12.75" customHeight="1">
      <c r="A116" s="215" t="s">
        <v>115</v>
      </c>
      <c r="B116" s="217">
        <v>495585390</v>
      </c>
      <c r="C116" s="246"/>
      <c r="D116" s="246">
        <v>434926754</v>
      </c>
      <c r="E116" s="243">
        <f t="shared" si="21"/>
        <v>87.76020495680875</v>
      </c>
      <c r="F116" s="245">
        <f>D116-'[6]Oktobris'!D116</f>
        <v>38885021</v>
      </c>
      <c r="G116" s="215" t="s">
        <v>115</v>
      </c>
      <c r="H116" s="217">
        <f>ROUND(B116/1000,0)</f>
        <v>495585</v>
      </c>
      <c r="I116" s="217"/>
      <c r="J116" s="672">
        <f>ROUND(D116/1000,0)</f>
        <v>434927</v>
      </c>
      <c r="K116" s="247">
        <f t="shared" si="22"/>
        <v>87.76032365789925</v>
      </c>
      <c r="L116" s="245">
        <f>J116-'[6]Oktobris'!J116</f>
        <v>38885</v>
      </c>
      <c r="O116" s="788">
        <f t="shared" si="13"/>
        <v>434927</v>
      </c>
      <c r="P116">
        <v>396042</v>
      </c>
      <c r="Q116">
        <f t="shared" si="14"/>
        <v>38885</v>
      </c>
    </row>
    <row r="117" spans="1:17" ht="12.75" customHeight="1">
      <c r="A117" s="215" t="s">
        <v>116</v>
      </c>
      <c r="B117" s="217">
        <f>300000+1890000+26000+4402694</f>
        <v>6618694</v>
      </c>
      <c r="C117" s="246"/>
      <c r="D117" s="246">
        <v>6061463</v>
      </c>
      <c r="E117" s="243">
        <f t="shared" si="21"/>
        <v>91.58095237519667</v>
      </c>
      <c r="F117" s="245">
        <f>D117-'[6]Oktobris'!D117</f>
        <v>565727</v>
      </c>
      <c r="G117" s="215" t="s">
        <v>116</v>
      </c>
      <c r="H117" s="217">
        <f>ROUND(B117/1000,0)</f>
        <v>6619</v>
      </c>
      <c r="I117" s="217"/>
      <c r="J117" s="672">
        <f>ROUND(D117/1000,0)</f>
        <v>6061</v>
      </c>
      <c r="K117" s="247">
        <f t="shared" si="22"/>
        <v>91.56972352319082</v>
      </c>
      <c r="L117" s="245">
        <f>J117-'[6]Oktobris'!J117</f>
        <v>565</v>
      </c>
      <c r="O117" s="788">
        <f t="shared" si="13"/>
        <v>6061</v>
      </c>
      <c r="P117">
        <v>5496</v>
      </c>
      <c r="Q117">
        <f t="shared" si="14"/>
        <v>565</v>
      </c>
    </row>
    <row r="118" spans="1:17" ht="12.75" customHeight="1">
      <c r="A118" s="215" t="s">
        <v>117</v>
      </c>
      <c r="B118" s="217">
        <f>7565980-B117</f>
        <v>947286</v>
      </c>
      <c r="C118" s="246"/>
      <c r="D118" s="246">
        <f>7494775-D117</f>
        <v>1433312</v>
      </c>
      <c r="E118" s="243">
        <f t="shared" si="21"/>
        <v>151.30720817155537</v>
      </c>
      <c r="F118" s="245">
        <f>D118-'[6]Oktobris'!D118</f>
        <v>18967</v>
      </c>
      <c r="G118" s="215" t="s">
        <v>117</v>
      </c>
      <c r="H118" s="217">
        <f>ROUND(B118/1000,0)</f>
        <v>947</v>
      </c>
      <c r="I118" s="217"/>
      <c r="J118" s="672">
        <f>ROUND(D118/1000,0)</f>
        <v>1433</v>
      </c>
      <c r="K118" s="247">
        <f t="shared" si="22"/>
        <v>151.31995776135165</v>
      </c>
      <c r="L118" s="245">
        <f>J118-'[6]Oktobris'!J118</f>
        <v>19</v>
      </c>
      <c r="O118" s="788">
        <f t="shared" si="13"/>
        <v>1433</v>
      </c>
      <c r="P118">
        <v>1414</v>
      </c>
      <c r="Q118">
        <f t="shared" si="14"/>
        <v>19</v>
      </c>
    </row>
    <row r="119" spans="1:17" ht="12.75" customHeight="1">
      <c r="A119" s="215" t="s">
        <v>118</v>
      </c>
      <c r="B119" s="245">
        <f>B120+B122</f>
        <v>531459579</v>
      </c>
      <c r="C119" s="245">
        <f>C120+C122</f>
        <v>487289268</v>
      </c>
      <c r="D119" s="245">
        <f>D120+D122</f>
        <v>460167394</v>
      </c>
      <c r="E119" s="243">
        <f t="shared" si="21"/>
        <v>86.58558659641733</v>
      </c>
      <c r="F119" s="245">
        <f>D119-'[6]Oktobris'!D119</f>
        <v>41899128</v>
      </c>
      <c r="G119" s="215" t="s">
        <v>702</v>
      </c>
      <c r="H119" s="245">
        <f>H120+H122</f>
        <v>531460</v>
      </c>
      <c r="I119" s="246">
        <f>I120+I122</f>
        <v>487289</v>
      </c>
      <c r="J119" s="672">
        <f>J120+J122</f>
        <v>460168</v>
      </c>
      <c r="K119" s="247">
        <f t="shared" si="22"/>
        <v>86.5856320325142</v>
      </c>
      <c r="L119" s="245">
        <f>J119-'[6]Oktobris'!J119</f>
        <v>41900</v>
      </c>
      <c r="O119" s="788">
        <f t="shared" si="13"/>
        <v>460168</v>
      </c>
      <c r="P119">
        <v>418268</v>
      </c>
      <c r="Q119">
        <f t="shared" si="14"/>
        <v>41900</v>
      </c>
    </row>
    <row r="120" spans="1:17" ht="12.75" customHeight="1">
      <c r="A120" s="215" t="s">
        <v>76</v>
      </c>
      <c r="B120" s="217">
        <v>528034579</v>
      </c>
      <c r="C120" s="246">
        <f>45260560+43818270+42609997+44770545+44388715+42191312+45429430+43312501+40224815+47341450+44828473</f>
        <v>484176068</v>
      </c>
      <c r="D120" s="246">
        <f>'[16]novembris'!$C$8</f>
        <v>458211597</v>
      </c>
      <c r="E120" s="243">
        <f t="shared" si="21"/>
        <v>86.77681637209596</v>
      </c>
      <c r="F120" s="245">
        <f>D120-'[6]Oktobris'!D120</f>
        <v>41792711</v>
      </c>
      <c r="G120" s="215" t="s">
        <v>76</v>
      </c>
      <c r="H120" s="217">
        <f>ROUND(B120/1000,0)</f>
        <v>528035</v>
      </c>
      <c r="I120" s="217">
        <f>ROUND(C120/1000,0)</f>
        <v>484176</v>
      </c>
      <c r="J120" s="672">
        <f>ROUND(D120/1000,0)</f>
        <v>458212</v>
      </c>
      <c r="K120" s="247">
        <f t="shared" si="22"/>
        <v>86.77682350601759</v>
      </c>
      <c r="L120" s="245">
        <f>J120-'[6]Oktobris'!J120</f>
        <v>41793</v>
      </c>
      <c r="O120" s="788">
        <f t="shared" si="13"/>
        <v>458212</v>
      </c>
      <c r="P120">
        <v>416419</v>
      </c>
      <c r="Q120">
        <f t="shared" si="14"/>
        <v>41793</v>
      </c>
    </row>
    <row r="121" spans="1:17" ht="12.75" customHeight="1">
      <c r="A121" s="248" t="s">
        <v>107</v>
      </c>
      <c r="B121" s="217">
        <v>10782</v>
      </c>
      <c r="C121" s="246"/>
      <c r="D121" s="672">
        <f>'[16]novembris'!$C$15</f>
        <v>10779</v>
      </c>
      <c r="E121" s="243"/>
      <c r="F121" s="245">
        <f>D121-'[6]Oktobris'!D121</f>
        <v>10779</v>
      </c>
      <c r="G121" s="248" t="s">
        <v>107</v>
      </c>
      <c r="H121" s="217">
        <f>ROUND(B121/1000,0)</f>
        <v>11</v>
      </c>
      <c r="I121" s="217"/>
      <c r="J121" s="672">
        <f>ROUND(D121/1000,0)</f>
        <v>11</v>
      </c>
      <c r="K121" s="247"/>
      <c r="L121" s="245">
        <f>J121-'[6]Oktobris'!J121</f>
        <v>11</v>
      </c>
      <c r="O121" s="788">
        <f t="shared" si="13"/>
        <v>11</v>
      </c>
      <c r="Q121">
        <f t="shared" si="14"/>
        <v>11</v>
      </c>
    </row>
    <row r="122" spans="1:17" ht="12.75" customHeight="1">
      <c r="A122" s="215" t="s">
        <v>70</v>
      </c>
      <c r="B122" s="217">
        <v>3425000</v>
      </c>
      <c r="C122" s="246">
        <f>234780+215420+194320+168470+222820+478190+278819+286800+370641+662940</f>
        <v>3113200</v>
      </c>
      <c r="D122" s="246">
        <f>'[16]novembris'!$C$31</f>
        <v>1955797</v>
      </c>
      <c r="E122" s="243">
        <f>D122/B122*100</f>
        <v>57.10356204379562</v>
      </c>
      <c r="F122" s="245">
        <f>D122-'[6]Oktobris'!D122</f>
        <v>106417</v>
      </c>
      <c r="G122" s="215" t="s">
        <v>70</v>
      </c>
      <c r="H122" s="217">
        <f>ROUND(B122/1000,0)</f>
        <v>3425</v>
      </c>
      <c r="I122" s="217">
        <f>ROUND(C122/1000,0)</f>
        <v>3113</v>
      </c>
      <c r="J122" s="672">
        <f>ROUND(D122/1000,0)</f>
        <v>1956</v>
      </c>
      <c r="K122" s="247">
        <f>J122/H122*100</f>
        <v>57.10948905109488</v>
      </c>
      <c r="L122" s="245">
        <f>J122-'[6]Oktobris'!J122</f>
        <v>107</v>
      </c>
      <c r="O122" s="788">
        <f t="shared" si="13"/>
        <v>1956</v>
      </c>
      <c r="P122">
        <v>1849</v>
      </c>
      <c r="Q122">
        <f t="shared" si="14"/>
        <v>107</v>
      </c>
    </row>
    <row r="123" spans="1:17" ht="12.75" customHeight="1">
      <c r="A123" s="215" t="s">
        <v>978</v>
      </c>
      <c r="B123" s="217">
        <f>B115-B119</f>
        <v>-28308209</v>
      </c>
      <c r="C123" s="217">
        <f>C115-C119</f>
        <v>-36321596</v>
      </c>
      <c r="D123" s="217">
        <f>D115-D119</f>
        <v>-17745865</v>
      </c>
      <c r="E123" s="243">
        <f>D123/B123*100</f>
        <v>62.6880527835583</v>
      </c>
      <c r="F123" s="245">
        <f>D123-'[6]Oktobris'!D123</f>
        <v>-2429413</v>
      </c>
      <c r="G123" s="215" t="s">
        <v>978</v>
      </c>
      <c r="H123" s="217">
        <f>H115-H119</f>
        <v>-28309</v>
      </c>
      <c r="I123" s="217">
        <f>ROUND(C123/1000,0)</f>
        <v>-36322</v>
      </c>
      <c r="J123" s="672">
        <f>J115-J119</f>
        <v>-17747</v>
      </c>
      <c r="K123" s="247"/>
      <c r="L123" s="245">
        <f>J123-'[6]Oktobris'!J123</f>
        <v>-2431</v>
      </c>
      <c r="O123" s="788">
        <f t="shared" si="13"/>
        <v>-17747</v>
      </c>
      <c r="P123">
        <v>-15316</v>
      </c>
      <c r="Q123">
        <f t="shared" si="14"/>
        <v>-2431</v>
      </c>
    </row>
    <row r="124" spans="1:17" ht="12.75" customHeight="1">
      <c r="A124" s="215" t="s">
        <v>100</v>
      </c>
      <c r="B124" s="217">
        <v>27710492</v>
      </c>
      <c r="C124" s="246">
        <f>C133+C142+C157+C167</f>
        <v>35413084</v>
      </c>
      <c r="D124" s="246">
        <f>'[16]novembris'!$C$40+'[16]novembris'!$C$44</f>
        <v>21156450</v>
      </c>
      <c r="E124" s="243">
        <f>D124/B124*100</f>
        <v>76.34815722506839</v>
      </c>
      <c r="F124" s="245">
        <f>D124-'[6]Oktobris'!D124</f>
        <v>2676445</v>
      </c>
      <c r="G124" s="215" t="s">
        <v>100</v>
      </c>
      <c r="H124" s="217">
        <f>ROUND(B124/1000,0)</f>
        <v>27710</v>
      </c>
      <c r="I124" s="217">
        <f>ROUND(C124/1000,0)</f>
        <v>35413</v>
      </c>
      <c r="J124" s="672">
        <f>ROUND(D124/1000,0)</f>
        <v>21156</v>
      </c>
      <c r="K124" s="247">
        <f>J124/H124*100</f>
        <v>76.34788884879104</v>
      </c>
      <c r="L124" s="245">
        <f>J124-'[6]Oktobris'!J124</f>
        <v>2676</v>
      </c>
      <c r="O124" s="788">
        <f t="shared" si="13"/>
        <v>21156</v>
      </c>
      <c r="P124">
        <v>18480</v>
      </c>
      <c r="Q124">
        <f t="shared" si="14"/>
        <v>2676</v>
      </c>
    </row>
    <row r="125" spans="1:17" ht="12.75" customHeight="1">
      <c r="A125" s="209" t="s">
        <v>119</v>
      </c>
      <c r="B125" s="245"/>
      <c r="C125" s="245"/>
      <c r="D125" s="245"/>
      <c r="E125" s="243"/>
      <c r="F125" s="245"/>
      <c r="G125" s="209" t="s">
        <v>119</v>
      </c>
      <c r="H125" s="245"/>
      <c r="I125" s="217"/>
      <c r="J125" s="672"/>
      <c r="K125" s="247"/>
      <c r="L125" s="245"/>
      <c r="O125" s="788">
        <f t="shared" si="13"/>
        <v>0</v>
      </c>
      <c r="Q125">
        <f t="shared" si="14"/>
        <v>0</v>
      </c>
    </row>
    <row r="126" spans="1:17" ht="12.75" customHeight="1">
      <c r="A126" s="215" t="s">
        <v>73</v>
      </c>
      <c r="B126" s="245">
        <f>SUM(B127:B129)</f>
        <v>404005990</v>
      </c>
      <c r="C126" s="249">
        <f>29912540+30602264+32086097+32550828+34175954+33983068+34733804+34006406+34012477+33443286+32919641</f>
        <v>362426365</v>
      </c>
      <c r="D126" s="245">
        <f>SUM(D127:D129)</f>
        <v>355792064</v>
      </c>
      <c r="E126" s="243">
        <f aca="true" t="shared" si="23" ref="E126:E133">D126/B126*100</f>
        <v>88.06603684267156</v>
      </c>
      <c r="F126" s="245">
        <f>SUM(F127:F129)</f>
        <v>31383493</v>
      </c>
      <c r="G126" s="215" t="s">
        <v>73</v>
      </c>
      <c r="H126" s="245">
        <f>SUM(H127:H129)</f>
        <v>404006</v>
      </c>
      <c r="I126" s="217">
        <f>ROUND(C126/1000,0)</f>
        <v>362426</v>
      </c>
      <c r="J126" s="672">
        <f>SUM(J127:J129)</f>
        <v>355792</v>
      </c>
      <c r="K126" s="247">
        <f aca="true" t="shared" si="24" ref="K126:K131">J126/H126*100</f>
        <v>88.06601882150265</v>
      </c>
      <c r="L126" s="245">
        <f>SUM(L127:L129)</f>
        <v>31383</v>
      </c>
      <c r="O126" s="788">
        <f t="shared" si="13"/>
        <v>355792</v>
      </c>
      <c r="P126">
        <v>324409</v>
      </c>
      <c r="Q126">
        <f t="shared" si="14"/>
        <v>31383</v>
      </c>
    </row>
    <row r="127" spans="1:17" ht="12.75" customHeight="1">
      <c r="A127" s="248" t="s">
        <v>115</v>
      </c>
      <c r="B127" s="255">
        <v>381116067</v>
      </c>
      <c r="C127" s="256"/>
      <c r="D127" s="256">
        <v>335036948</v>
      </c>
      <c r="E127" s="243">
        <f t="shared" si="23"/>
        <v>87.90942629033796</v>
      </c>
      <c r="F127" s="245">
        <f>D127-'[6]Oktobris'!D127</f>
        <v>29819938</v>
      </c>
      <c r="G127" s="248" t="s">
        <v>115</v>
      </c>
      <c r="H127" s="217">
        <f>ROUND(B127/1000,0)</f>
        <v>381116</v>
      </c>
      <c r="I127" s="217"/>
      <c r="J127" s="672">
        <f>ROUND(D127/1000,0)</f>
        <v>335037</v>
      </c>
      <c r="K127" s="247">
        <f t="shared" si="24"/>
        <v>87.90945538891046</v>
      </c>
      <c r="L127" s="245">
        <f>J127-'[6]Oktobris'!J127</f>
        <v>29820</v>
      </c>
      <c r="O127" s="788">
        <f t="shared" si="13"/>
        <v>335037</v>
      </c>
      <c r="P127">
        <v>305217</v>
      </c>
      <c r="Q127">
        <f t="shared" si="14"/>
        <v>29820</v>
      </c>
    </row>
    <row r="128" spans="1:17" ht="12.75" customHeight="1">
      <c r="A128" s="248" t="s">
        <v>116</v>
      </c>
      <c r="B128" s="255">
        <v>3958763</v>
      </c>
      <c r="C128" s="256"/>
      <c r="D128" s="256">
        <v>3615391</v>
      </c>
      <c r="E128" s="243">
        <f t="shared" si="23"/>
        <v>91.32628045679925</v>
      </c>
      <c r="F128" s="245">
        <f>D128-'[6]Oktobris'!D128</f>
        <v>349691</v>
      </c>
      <c r="G128" s="248" t="s">
        <v>116</v>
      </c>
      <c r="H128" s="217">
        <f>ROUND(B128/1000,0)</f>
        <v>3959</v>
      </c>
      <c r="I128" s="217"/>
      <c r="J128" s="672">
        <f>ROUND(D128/1000,0)</f>
        <v>3615</v>
      </c>
      <c r="K128" s="247">
        <f t="shared" si="24"/>
        <v>91.31093710532963</v>
      </c>
      <c r="L128" s="245">
        <f>J128-'[6]Oktobris'!J128</f>
        <v>349</v>
      </c>
      <c r="O128" s="788">
        <f t="shared" si="13"/>
        <v>3615</v>
      </c>
      <c r="P128">
        <v>3266</v>
      </c>
      <c r="Q128">
        <f t="shared" si="14"/>
        <v>349</v>
      </c>
    </row>
    <row r="129" spans="1:17" ht="12.75" customHeight="1">
      <c r="A129" s="248" t="s">
        <v>117</v>
      </c>
      <c r="B129" s="255">
        <f>22889923-B128</f>
        <v>18931160</v>
      </c>
      <c r="C129" s="256"/>
      <c r="D129" s="256">
        <f>20755116-D128</f>
        <v>17139725</v>
      </c>
      <c r="E129" s="243">
        <f t="shared" si="23"/>
        <v>90.53710918929426</v>
      </c>
      <c r="F129" s="245">
        <f>D129-'[6]Oktobris'!D129</f>
        <v>1213864</v>
      </c>
      <c r="G129" s="248" t="s">
        <v>117</v>
      </c>
      <c r="H129" s="217">
        <f>ROUND(B129/1000,0)</f>
        <v>18931</v>
      </c>
      <c r="I129" s="217"/>
      <c r="J129" s="672">
        <f>ROUND(D129/1000,0)</f>
        <v>17140</v>
      </c>
      <c r="K129" s="247">
        <f t="shared" si="24"/>
        <v>90.53932702973958</v>
      </c>
      <c r="L129" s="245">
        <f>J129-'[6]Oktobris'!J129</f>
        <v>1214</v>
      </c>
      <c r="O129" s="788">
        <f t="shared" si="13"/>
        <v>17140</v>
      </c>
      <c r="P129">
        <v>15926</v>
      </c>
      <c r="Q129">
        <f t="shared" si="14"/>
        <v>1214</v>
      </c>
    </row>
    <row r="130" spans="1:17" ht="12.75" customHeight="1">
      <c r="A130" s="215" t="s">
        <v>75</v>
      </c>
      <c r="B130" s="245">
        <f>B131</f>
        <v>420646538</v>
      </c>
      <c r="C130" s="245">
        <f>C131</f>
        <v>386034206</v>
      </c>
      <c r="D130" s="245">
        <f>D131</f>
        <v>368395177</v>
      </c>
      <c r="E130" s="243">
        <f t="shared" si="23"/>
        <v>87.57832139819014</v>
      </c>
      <c r="F130" s="246">
        <f>F131</f>
        <v>33554687</v>
      </c>
      <c r="G130" s="215" t="s">
        <v>75</v>
      </c>
      <c r="H130" s="245">
        <f>H131</f>
        <v>420647</v>
      </c>
      <c r="I130" s="246">
        <f>I131</f>
        <v>386034</v>
      </c>
      <c r="J130" s="672">
        <f>J131</f>
        <v>368395</v>
      </c>
      <c r="K130" s="247">
        <f t="shared" si="24"/>
        <v>87.57818313217496</v>
      </c>
      <c r="L130" s="246">
        <f>L131</f>
        <v>33555</v>
      </c>
      <c r="O130" s="788">
        <f t="shared" si="13"/>
        <v>368395</v>
      </c>
      <c r="P130">
        <v>334840</v>
      </c>
      <c r="Q130">
        <f t="shared" si="14"/>
        <v>33555</v>
      </c>
    </row>
    <row r="131" spans="1:17" ht="12.75" customHeight="1">
      <c r="A131" s="248" t="s">
        <v>120</v>
      </c>
      <c r="B131" s="255">
        <v>420646538</v>
      </c>
      <c r="C131" s="256">
        <f>37274115+35396966+33400791+35356641+35354519+33315640+36283505+34346538+31400885+38215273+35689333</f>
        <v>386034206</v>
      </c>
      <c r="D131" s="256">
        <v>368395177</v>
      </c>
      <c r="E131" s="243">
        <f t="shared" si="23"/>
        <v>87.57832139819014</v>
      </c>
      <c r="F131" s="245">
        <f>D131-'[6]Oktobris'!D131</f>
        <v>33554687</v>
      </c>
      <c r="G131" s="248" t="s">
        <v>120</v>
      </c>
      <c r="H131" s="217">
        <f>ROUND(B131/1000,0)</f>
        <v>420647</v>
      </c>
      <c r="I131" s="217">
        <f>ROUND(C131/1000,0)</f>
        <v>386034</v>
      </c>
      <c r="J131" s="672">
        <f>ROUND(D131/1000,0)</f>
        <v>368395</v>
      </c>
      <c r="K131" s="247">
        <f t="shared" si="24"/>
        <v>87.57818313217496</v>
      </c>
      <c r="L131" s="245">
        <f>J131-'[6]Oktobris'!J131</f>
        <v>33555</v>
      </c>
      <c r="O131" s="788">
        <f t="shared" si="13"/>
        <v>368395</v>
      </c>
      <c r="P131">
        <v>334840</v>
      </c>
      <c r="Q131">
        <f t="shared" si="14"/>
        <v>33555</v>
      </c>
    </row>
    <row r="132" spans="1:17" ht="12.75" customHeight="1">
      <c r="A132" s="215" t="s">
        <v>978</v>
      </c>
      <c r="B132" s="217">
        <f>B126-B130</f>
        <v>-16640548</v>
      </c>
      <c r="C132" s="217">
        <f>C126-C130</f>
        <v>-23607841</v>
      </c>
      <c r="D132" s="217">
        <f>D126-D130</f>
        <v>-12603113</v>
      </c>
      <c r="E132" s="243">
        <f t="shared" si="23"/>
        <v>75.73736754342465</v>
      </c>
      <c r="F132" s="245">
        <f>F126-F130</f>
        <v>-2171194</v>
      </c>
      <c r="G132" s="215" t="s">
        <v>978</v>
      </c>
      <c r="H132" s="217">
        <f>H126-H130</f>
        <v>-16641</v>
      </c>
      <c r="I132" s="217">
        <f>ROUND(C132/1000,0)</f>
        <v>-23608</v>
      </c>
      <c r="J132" s="672">
        <f>J126-J130</f>
        <v>-12603</v>
      </c>
      <c r="K132" s="247"/>
      <c r="L132" s="245">
        <f>L126-L130</f>
        <v>-2172</v>
      </c>
      <c r="O132" s="788">
        <f t="shared" si="13"/>
        <v>-12603</v>
      </c>
      <c r="P132">
        <v>-10431</v>
      </c>
      <c r="Q132">
        <f t="shared" si="14"/>
        <v>-2172</v>
      </c>
    </row>
    <row r="133" spans="1:17" ht="12.75" customHeight="1">
      <c r="A133" s="215" t="s">
        <v>100</v>
      </c>
      <c r="B133" s="217">
        <v>16640548</v>
      </c>
      <c r="C133" s="246">
        <f>7361575+4794702+1314694+2805813+1178565-667428+1549701+340132-2611592+4771987+2769692</f>
        <v>23607841</v>
      </c>
      <c r="D133" s="246">
        <v>12607664</v>
      </c>
      <c r="E133" s="243">
        <f t="shared" si="23"/>
        <v>75.76471640236848</v>
      </c>
      <c r="F133" s="245">
        <f>D133-'[6]Oktobris'!D133</f>
        <v>2173105</v>
      </c>
      <c r="G133" s="215" t="s">
        <v>100</v>
      </c>
      <c r="H133" s="217">
        <f>ROUND(B133/1000,0)</f>
        <v>16641</v>
      </c>
      <c r="I133" s="217">
        <f>ROUND(C133/1000,0)</f>
        <v>23608</v>
      </c>
      <c r="J133" s="672">
        <f>ROUND(D133/1000,0)</f>
        <v>12608</v>
      </c>
      <c r="K133" s="247">
        <f>J133/H133*100</f>
        <v>75.7646776035094</v>
      </c>
      <c r="L133" s="245">
        <f>J133-'[6]Oktobris'!J133</f>
        <v>2173</v>
      </c>
      <c r="O133" s="788">
        <f t="shared" si="13"/>
        <v>12608</v>
      </c>
      <c r="P133">
        <v>10435</v>
      </c>
      <c r="Q133">
        <f t="shared" si="14"/>
        <v>2173</v>
      </c>
    </row>
    <row r="134" spans="1:17" ht="12.75" customHeight="1">
      <c r="A134" s="209" t="s">
        <v>121</v>
      </c>
      <c r="B134" s="245"/>
      <c r="C134" s="245"/>
      <c r="D134" s="245"/>
      <c r="E134" s="243"/>
      <c r="F134" s="245"/>
      <c r="G134" s="209" t="s">
        <v>121</v>
      </c>
      <c r="H134" s="245"/>
      <c r="I134" s="217"/>
      <c r="J134" s="672"/>
      <c r="K134" s="247"/>
      <c r="L134" s="245"/>
      <c r="O134" s="788">
        <f t="shared" si="13"/>
        <v>0</v>
      </c>
      <c r="Q134">
        <f t="shared" si="14"/>
        <v>0</v>
      </c>
    </row>
    <row r="135" spans="1:17" ht="12.75" customHeight="1">
      <c r="A135" s="215" t="s">
        <v>73</v>
      </c>
      <c r="B135" s="245">
        <f>SUM(B136:B138)</f>
        <v>33701584</v>
      </c>
      <c r="C135" s="249">
        <f>3339472+3396859+2514169+2553669+2682912+2666825+2726758+2667908+2668791+2624049+2582231</f>
        <v>30423643</v>
      </c>
      <c r="D135" s="245">
        <f>SUM(D136:D138)</f>
        <v>29624913</v>
      </c>
      <c r="E135" s="243">
        <f aca="true" t="shared" si="25" ref="E135:E141">D135/B135*100</f>
        <v>87.90362197812424</v>
      </c>
      <c r="F135" s="245">
        <f>SUM(F136:F138)</f>
        <v>2498166</v>
      </c>
      <c r="G135" s="215" t="s">
        <v>73</v>
      </c>
      <c r="H135" s="245">
        <f>SUM(H136:H138)</f>
        <v>33701</v>
      </c>
      <c r="I135" s="217">
        <f>ROUND(C135/1000,0)</f>
        <v>30424</v>
      </c>
      <c r="J135" s="672">
        <f>SUM(J136:J138)</f>
        <v>29625</v>
      </c>
      <c r="K135" s="247">
        <f aca="true" t="shared" si="26" ref="K135:K140">J135/H135*100</f>
        <v>87.90540340049256</v>
      </c>
      <c r="L135" s="245">
        <f>SUM(L136:L138)</f>
        <v>2498</v>
      </c>
      <c r="O135" s="788">
        <f t="shared" si="13"/>
        <v>29625</v>
      </c>
      <c r="P135">
        <v>27127</v>
      </c>
      <c r="Q135">
        <f t="shared" si="14"/>
        <v>2498</v>
      </c>
    </row>
    <row r="136" spans="1:17" ht="12.75" customHeight="1">
      <c r="A136" s="248" t="s">
        <v>115</v>
      </c>
      <c r="B136" s="255">
        <v>30619372</v>
      </c>
      <c r="C136" s="256"/>
      <c r="D136" s="256">
        <v>26721835</v>
      </c>
      <c r="E136" s="243">
        <f t="shared" si="25"/>
        <v>87.27100934663193</v>
      </c>
      <c r="F136" s="245">
        <f>D136-'[6]Oktobris'!D136</f>
        <v>2425029</v>
      </c>
      <c r="G136" s="248" t="s">
        <v>115</v>
      </c>
      <c r="H136" s="217">
        <f>ROUND(B136/1000,0)</f>
        <v>30619</v>
      </c>
      <c r="I136" s="217"/>
      <c r="J136" s="672">
        <f>ROUND(D136/1000,0)</f>
        <v>26722</v>
      </c>
      <c r="K136" s="247">
        <f t="shared" si="26"/>
        <v>87.27260851105522</v>
      </c>
      <c r="L136" s="245">
        <f>J136-'[6]Oktobris'!J136</f>
        <v>2425</v>
      </c>
      <c r="O136" s="788">
        <f t="shared" si="13"/>
        <v>26722</v>
      </c>
      <c r="P136">
        <v>24297</v>
      </c>
      <c r="Q136">
        <f t="shared" si="14"/>
        <v>2425</v>
      </c>
    </row>
    <row r="137" spans="1:17" ht="12.75" customHeight="1">
      <c r="A137" s="248" t="s">
        <v>116</v>
      </c>
      <c r="B137" s="255">
        <v>443931</v>
      </c>
      <c r="C137" s="256"/>
      <c r="D137" s="256">
        <v>398282</v>
      </c>
      <c r="E137" s="243">
        <f t="shared" si="25"/>
        <v>89.71709567477829</v>
      </c>
      <c r="F137" s="245">
        <f>D137-'[6]Oktobris'!D137</f>
        <v>39326</v>
      </c>
      <c r="G137" s="248" t="s">
        <v>116</v>
      </c>
      <c r="H137" s="217">
        <f>ROUND(B137/1000,0)</f>
        <v>444</v>
      </c>
      <c r="I137" s="217"/>
      <c r="J137" s="672">
        <f>ROUND(D137/1000,0)</f>
        <v>398</v>
      </c>
      <c r="K137" s="247">
        <f t="shared" si="26"/>
        <v>89.63963963963964</v>
      </c>
      <c r="L137" s="245">
        <f>J137-'[6]Oktobris'!J137</f>
        <v>39</v>
      </c>
      <c r="O137" s="788">
        <f t="shared" si="13"/>
        <v>398</v>
      </c>
      <c r="P137">
        <v>359</v>
      </c>
      <c r="Q137">
        <f t="shared" si="14"/>
        <v>39</v>
      </c>
    </row>
    <row r="138" spans="1:17" ht="12.75" customHeight="1">
      <c r="A138" s="248" t="s">
        <v>117</v>
      </c>
      <c r="B138" s="255">
        <f>3082212-B137</f>
        <v>2638281</v>
      </c>
      <c r="C138" s="256"/>
      <c r="D138" s="256">
        <f>2903078-398282</f>
        <v>2504796</v>
      </c>
      <c r="E138" s="243">
        <f t="shared" si="25"/>
        <v>94.94045554662297</v>
      </c>
      <c r="F138" s="245">
        <f>D138-'[6]Oktobris'!D138</f>
        <v>33811</v>
      </c>
      <c r="G138" s="248" t="s">
        <v>117</v>
      </c>
      <c r="H138" s="217">
        <f>ROUND(B138/1000,0)</f>
        <v>2638</v>
      </c>
      <c r="I138" s="217"/>
      <c r="J138" s="672">
        <f>ROUND(D138/1000,0)</f>
        <v>2505</v>
      </c>
      <c r="K138" s="247">
        <f t="shared" si="26"/>
        <v>94.95830174374527</v>
      </c>
      <c r="L138" s="245">
        <f>J138-'[6]Oktobris'!J138</f>
        <v>34</v>
      </c>
      <c r="O138" s="788">
        <f t="shared" si="13"/>
        <v>2505</v>
      </c>
      <c r="P138">
        <v>2471</v>
      </c>
      <c r="Q138">
        <f t="shared" si="14"/>
        <v>34</v>
      </c>
    </row>
    <row r="139" spans="1:17" ht="12.75" customHeight="1">
      <c r="A139" s="215" t="s">
        <v>75</v>
      </c>
      <c r="B139" s="245">
        <f>B140</f>
        <v>34362196</v>
      </c>
      <c r="C139" s="245">
        <f>C140</f>
        <v>31498303</v>
      </c>
      <c r="D139" s="245">
        <f>D140</f>
        <v>26586239</v>
      </c>
      <c r="E139" s="243">
        <f t="shared" si="25"/>
        <v>77.37060518483743</v>
      </c>
      <c r="F139" s="245">
        <f>D139-'[6]Oktobris'!D139</f>
        <v>2411562</v>
      </c>
      <c r="G139" s="215" t="s">
        <v>75</v>
      </c>
      <c r="H139" s="245">
        <f>H140</f>
        <v>34362</v>
      </c>
      <c r="I139" s="217">
        <f>ROUND(C139/1000,0)</f>
        <v>31498</v>
      </c>
      <c r="J139" s="672">
        <f>J140</f>
        <v>26586</v>
      </c>
      <c r="K139" s="247">
        <f t="shared" si="26"/>
        <v>77.37035096909378</v>
      </c>
      <c r="L139" s="245">
        <f>J139-'[6]Oktobris'!J139</f>
        <v>2411</v>
      </c>
      <c r="O139" s="788">
        <f aca="true" t="shared" si="27" ref="O139:O193">J139</f>
        <v>26586</v>
      </c>
      <c r="P139">
        <v>24175</v>
      </c>
      <c r="Q139">
        <f aca="true" t="shared" si="28" ref="Q139:Q193">O139-P139</f>
        <v>2411</v>
      </c>
    </row>
    <row r="140" spans="1:17" ht="12.75" customHeight="1">
      <c r="A140" s="248" t="s">
        <v>120</v>
      </c>
      <c r="B140" s="255">
        <v>34362196</v>
      </c>
      <c r="C140" s="256">
        <f>2584412+2945732+2933079+2871294+2887008+2872571+2873174+2881068+2866441+2873735+2909789</f>
        <v>31498303</v>
      </c>
      <c r="D140" s="256">
        <v>26586239</v>
      </c>
      <c r="E140" s="243">
        <f t="shared" si="25"/>
        <v>77.37060518483743</v>
      </c>
      <c r="F140" s="245">
        <f>D140-'[6]Oktobris'!D140</f>
        <v>2411562</v>
      </c>
      <c r="G140" s="248" t="s">
        <v>120</v>
      </c>
      <c r="H140" s="217">
        <f>ROUND(B140/1000,0)</f>
        <v>34362</v>
      </c>
      <c r="I140" s="217">
        <f>ROUND(C140/1000,0)</f>
        <v>31498</v>
      </c>
      <c r="J140" s="672">
        <f>ROUND(D140/1000,0)</f>
        <v>26586</v>
      </c>
      <c r="K140" s="247">
        <f t="shared" si="26"/>
        <v>77.37035096909378</v>
      </c>
      <c r="L140" s="245">
        <f>J140-'[6]Oktobris'!J140</f>
        <v>2411</v>
      </c>
      <c r="O140" s="788">
        <f t="shared" si="27"/>
        <v>26586</v>
      </c>
      <c r="P140">
        <v>24175</v>
      </c>
      <c r="Q140">
        <f t="shared" si="28"/>
        <v>2411</v>
      </c>
    </row>
    <row r="141" spans="1:17" ht="15" customHeight="1">
      <c r="A141" s="215" t="s">
        <v>978</v>
      </c>
      <c r="B141" s="245">
        <f>B135-B139</f>
        <v>-660612</v>
      </c>
      <c r="C141" s="245">
        <f>C135-C139</f>
        <v>-1074660</v>
      </c>
      <c r="D141" s="245">
        <f>D135-D139</f>
        <v>3038674</v>
      </c>
      <c r="E141" s="243">
        <f t="shared" si="25"/>
        <v>-459.97862588024435</v>
      </c>
      <c r="F141" s="245">
        <f>D141-'[6]Oktobris'!D141</f>
        <v>86604</v>
      </c>
      <c r="G141" s="215" t="s">
        <v>978</v>
      </c>
      <c r="H141" s="245">
        <f>H135-H139</f>
        <v>-661</v>
      </c>
      <c r="I141" s="217">
        <f>ROUND(C141/1000,0)</f>
        <v>-1075</v>
      </c>
      <c r="J141" s="672">
        <f>J135-J139</f>
        <v>3039</v>
      </c>
      <c r="K141" s="247"/>
      <c r="L141" s="245">
        <f>J141-'[6]Oktobris'!J141</f>
        <v>87</v>
      </c>
      <c r="O141" s="788">
        <f t="shared" si="27"/>
        <v>3039</v>
      </c>
      <c r="P141">
        <v>2952</v>
      </c>
      <c r="Q141">
        <f t="shared" si="28"/>
        <v>87</v>
      </c>
    </row>
    <row r="142" spans="1:17" s="677" customFormat="1" ht="12.75" customHeight="1" hidden="1">
      <c r="A142" s="123" t="s">
        <v>100</v>
      </c>
      <c r="B142" s="670"/>
      <c r="C142" s="671"/>
      <c r="D142" s="671"/>
      <c r="E142" s="674"/>
      <c r="F142" s="670">
        <v>146416</v>
      </c>
      <c r="G142" s="123" t="s">
        <v>100</v>
      </c>
      <c r="H142" s="675">
        <f>ROUND(B142/1000,0)</f>
        <v>0</v>
      </c>
      <c r="I142" s="675">
        <f>ROUND(C142/1000,0)</f>
        <v>0</v>
      </c>
      <c r="J142" s="672">
        <f>ROUND(D142/1000,0)</f>
        <v>0</v>
      </c>
      <c r="K142" s="676"/>
      <c r="L142" s="670">
        <v>146</v>
      </c>
      <c r="O142" s="788">
        <f t="shared" si="27"/>
        <v>0</v>
      </c>
      <c r="P142" s="677">
        <v>0</v>
      </c>
      <c r="Q142">
        <f t="shared" si="28"/>
        <v>0</v>
      </c>
    </row>
    <row r="143" spans="1:17" ht="12.75" customHeight="1">
      <c r="A143" s="209" t="s">
        <v>122</v>
      </c>
      <c r="B143" s="245"/>
      <c r="C143" s="245"/>
      <c r="D143" s="245"/>
      <c r="E143" s="243"/>
      <c r="F143" s="245"/>
      <c r="G143" s="209" t="s">
        <v>122</v>
      </c>
      <c r="H143" s="245"/>
      <c r="I143" s="217"/>
      <c r="J143" s="672"/>
      <c r="K143" s="247"/>
      <c r="L143" s="245"/>
      <c r="O143" s="788">
        <f t="shared" si="27"/>
        <v>0</v>
      </c>
      <c r="Q143">
        <f t="shared" si="28"/>
        <v>0</v>
      </c>
    </row>
    <row r="144" spans="1:17" ht="12.75" customHeight="1">
      <c r="A144" s="215" t="s">
        <v>73</v>
      </c>
      <c r="B144" s="245">
        <f>SUM(B145:B146)</f>
        <v>1323732</v>
      </c>
      <c r="C144" s="249">
        <f>97688+99893+105015+106335+112018+111373+113973+111523+111516+109492+107641</f>
        <v>1186467</v>
      </c>
      <c r="D144" s="245">
        <f>SUM(D145:D146)</f>
        <v>1146349</v>
      </c>
      <c r="E144" s="243">
        <f aca="true" t="shared" si="29" ref="E144:E149">D144/B144*100</f>
        <v>86.59978001589445</v>
      </c>
      <c r="F144" s="245">
        <f>D144-'[6]Oktobris'!D144</f>
        <v>103234</v>
      </c>
      <c r="G144" s="215" t="s">
        <v>73</v>
      </c>
      <c r="H144" s="245">
        <f>SUM(H145:H146)</f>
        <v>1324</v>
      </c>
      <c r="I144" s="217">
        <f>ROUND(C144/1000,0)</f>
        <v>1186</v>
      </c>
      <c r="J144" s="672">
        <f>SUM(J145:J146)</f>
        <v>1146</v>
      </c>
      <c r="K144" s="247">
        <f>J144/H144*100</f>
        <v>86.5558912386707</v>
      </c>
      <c r="L144" s="245">
        <f>J144-'[6]Oktobris'!J144</f>
        <v>103</v>
      </c>
      <c r="O144" s="788">
        <f t="shared" si="27"/>
        <v>1146</v>
      </c>
      <c r="P144">
        <v>1043</v>
      </c>
      <c r="Q144">
        <f t="shared" si="28"/>
        <v>103</v>
      </c>
    </row>
    <row r="145" spans="1:17" ht="12.75" customHeight="1">
      <c r="A145" s="248" t="s">
        <v>115</v>
      </c>
      <c r="B145" s="255">
        <v>1302952</v>
      </c>
      <c r="C145" s="256"/>
      <c r="D145" s="256">
        <v>1137099</v>
      </c>
      <c r="E145" s="243">
        <f t="shared" si="29"/>
        <v>87.27098158642835</v>
      </c>
      <c r="F145" s="245">
        <f>D145-'[6]Oktobris'!D145</f>
        <v>103192</v>
      </c>
      <c r="G145" s="248" t="s">
        <v>115</v>
      </c>
      <c r="H145" s="217">
        <f>ROUND(B145/1000,0)</f>
        <v>1303</v>
      </c>
      <c r="I145" s="217"/>
      <c r="J145" s="672">
        <f>ROUND(D145/1000,0)</f>
        <v>1137</v>
      </c>
      <c r="K145" s="247">
        <f>J145/H145*100</f>
        <v>87.26016884113584</v>
      </c>
      <c r="L145" s="245">
        <f>J145-'[6]Oktobris'!J145</f>
        <v>103</v>
      </c>
      <c r="O145" s="788">
        <f t="shared" si="27"/>
        <v>1137</v>
      </c>
      <c r="P145">
        <v>1034</v>
      </c>
      <c r="Q145">
        <f t="shared" si="28"/>
        <v>103</v>
      </c>
    </row>
    <row r="146" spans="1:17" ht="12.75" customHeight="1">
      <c r="A146" s="248" t="s">
        <v>117</v>
      </c>
      <c r="B146" s="255">
        <v>20780</v>
      </c>
      <c r="C146" s="256"/>
      <c r="D146" s="256">
        <v>9250</v>
      </c>
      <c r="E146" s="243">
        <f t="shared" si="29"/>
        <v>44.51395572666025</v>
      </c>
      <c r="F146" s="245">
        <f>D146-'[6]Oktobris'!D146</f>
        <v>42</v>
      </c>
      <c r="G146" s="248" t="s">
        <v>117</v>
      </c>
      <c r="H146" s="217">
        <f>ROUND(B146/1000,0)</f>
        <v>21</v>
      </c>
      <c r="I146" s="217"/>
      <c r="J146" s="672">
        <f>ROUND(D146/1000,0)</f>
        <v>9</v>
      </c>
      <c r="K146" s="247">
        <f>J146/H146*100</f>
        <v>42.857142857142854</v>
      </c>
      <c r="L146" s="245">
        <f>J146-'[6]Oktobris'!J146</f>
        <v>0</v>
      </c>
      <c r="O146" s="788">
        <f t="shared" si="27"/>
        <v>9</v>
      </c>
      <c r="P146">
        <v>9</v>
      </c>
      <c r="Q146">
        <f t="shared" si="28"/>
        <v>0</v>
      </c>
    </row>
    <row r="147" spans="1:17" ht="12.75" customHeight="1">
      <c r="A147" s="215" t="s">
        <v>75</v>
      </c>
      <c r="B147" s="245">
        <f>B148</f>
        <v>1260837</v>
      </c>
      <c r="C147" s="245">
        <f>C148</f>
        <v>1020319</v>
      </c>
      <c r="D147" s="245">
        <f>D148</f>
        <v>972860</v>
      </c>
      <c r="E147" s="243">
        <f t="shared" si="29"/>
        <v>77.15985492177022</v>
      </c>
      <c r="F147" s="245">
        <f>D147-'[6]Oktobris'!D147</f>
        <v>109583</v>
      </c>
      <c r="G147" s="215" t="s">
        <v>75</v>
      </c>
      <c r="H147" s="245">
        <f>H148</f>
        <v>1261</v>
      </c>
      <c r="I147" s="246">
        <f>I148</f>
        <v>1020</v>
      </c>
      <c r="J147" s="672">
        <f>J148</f>
        <v>973</v>
      </c>
      <c r="K147" s="247">
        <f>J147/H147*100</f>
        <v>77.16098334655037</v>
      </c>
      <c r="L147" s="245">
        <f>J147-'[6]Oktobris'!J147</f>
        <v>110</v>
      </c>
      <c r="O147" s="788">
        <f t="shared" si="27"/>
        <v>973</v>
      </c>
      <c r="P147">
        <v>863</v>
      </c>
      <c r="Q147">
        <f t="shared" si="28"/>
        <v>110</v>
      </c>
    </row>
    <row r="148" spans="1:17" ht="12.75" customHeight="1">
      <c r="A148" s="248" t="s">
        <v>120</v>
      </c>
      <c r="B148" s="255">
        <v>1260837</v>
      </c>
      <c r="C148" s="256">
        <f>93302+96381+85502+85729+91309+92697+91136+88960+88834+93188+113281</f>
        <v>1020319</v>
      </c>
      <c r="D148" s="256">
        <v>972860</v>
      </c>
      <c r="E148" s="243">
        <f t="shared" si="29"/>
        <v>77.15985492177022</v>
      </c>
      <c r="F148" s="245">
        <f>D148-'[6]Oktobris'!D148</f>
        <v>109583</v>
      </c>
      <c r="G148" s="248" t="s">
        <v>120</v>
      </c>
      <c r="H148" s="217">
        <f>ROUND(B148/1000,0)</f>
        <v>1261</v>
      </c>
      <c r="I148" s="217">
        <f>ROUND(C148/1000,0)</f>
        <v>1020</v>
      </c>
      <c r="J148" s="672">
        <f>ROUND(D148/1000,0)</f>
        <v>973</v>
      </c>
      <c r="K148" s="247">
        <f>J148/H148*100</f>
        <v>77.16098334655037</v>
      </c>
      <c r="L148" s="245">
        <f>J148-'[6]Oktobris'!J148</f>
        <v>110</v>
      </c>
      <c r="O148" s="788">
        <f t="shared" si="27"/>
        <v>973</v>
      </c>
      <c r="P148">
        <v>863</v>
      </c>
      <c r="Q148">
        <f t="shared" si="28"/>
        <v>110</v>
      </c>
    </row>
    <row r="149" spans="1:17" ht="12.75" customHeight="1">
      <c r="A149" s="215" t="s">
        <v>978</v>
      </c>
      <c r="B149" s="245">
        <f>B144-B147</f>
        <v>62895</v>
      </c>
      <c r="C149" s="245">
        <f>C144-C147</f>
        <v>166148</v>
      </c>
      <c r="D149" s="245">
        <f>D144-D147</f>
        <v>173489</v>
      </c>
      <c r="E149" s="243">
        <f t="shared" si="29"/>
        <v>275.83909690754433</v>
      </c>
      <c r="F149" s="245">
        <f>D149-'[6]Oktobris'!D149</f>
        <v>-6349</v>
      </c>
      <c r="G149" s="215" t="s">
        <v>978</v>
      </c>
      <c r="H149" s="245">
        <f>H144-H147</f>
        <v>63</v>
      </c>
      <c r="I149" s="217">
        <f>ROUND(C149/1000,0)</f>
        <v>166</v>
      </c>
      <c r="J149" s="672">
        <f>J144-J147</f>
        <v>173</v>
      </c>
      <c r="K149" s="247"/>
      <c r="L149" s="245">
        <f>J149-'[6]Oktobris'!J149</f>
        <v>-7</v>
      </c>
      <c r="O149" s="788">
        <f t="shared" si="27"/>
        <v>173</v>
      </c>
      <c r="P149">
        <v>180</v>
      </c>
      <c r="Q149">
        <f t="shared" si="28"/>
        <v>-7</v>
      </c>
    </row>
    <row r="150" spans="1:17" ht="25.5">
      <c r="A150" s="92" t="s">
        <v>123</v>
      </c>
      <c r="B150" s="245"/>
      <c r="C150" s="245"/>
      <c r="D150" s="245"/>
      <c r="E150" s="243"/>
      <c r="F150" s="245"/>
      <c r="G150" s="92" t="s">
        <v>123</v>
      </c>
      <c r="H150" s="245"/>
      <c r="I150" s="217"/>
      <c r="J150" s="672"/>
      <c r="K150" s="247"/>
      <c r="L150" s="245"/>
      <c r="O150" s="788">
        <f t="shared" si="27"/>
        <v>0</v>
      </c>
      <c r="Q150">
        <f t="shared" si="28"/>
        <v>0</v>
      </c>
    </row>
    <row r="151" spans="1:17" ht="12.75" customHeight="1">
      <c r="A151" s="215" t="s">
        <v>73</v>
      </c>
      <c r="B151" s="245">
        <f>SUM(B152:B153)</f>
        <v>82726409</v>
      </c>
      <c r="C151" s="249">
        <f>6094293+6233924+6558403+6641974+7002035+6961149+7125853+6970612+6970206+6841989+6724738</f>
        <v>74125176</v>
      </c>
      <c r="D151" s="245">
        <f>SUM(D152:D153)</f>
        <v>72375016</v>
      </c>
      <c r="E151" s="243">
        <f aca="true" t="shared" si="30" ref="E151:E157">D151/B151*100</f>
        <v>87.48719650093841</v>
      </c>
      <c r="F151" s="245">
        <f>D151-'[6]Oktobris'!D151</f>
        <v>6541175</v>
      </c>
      <c r="G151" s="215" t="s">
        <v>73</v>
      </c>
      <c r="H151" s="245">
        <f>SUM(H152:H153)</f>
        <v>82726</v>
      </c>
      <c r="I151" s="217">
        <f>ROUND(C151/1000,0)</f>
        <v>74125</v>
      </c>
      <c r="J151" s="672">
        <f>SUM(J152:J153)</f>
        <v>72375</v>
      </c>
      <c r="K151" s="247">
        <f aca="true" t="shared" si="31" ref="K151:K157">J151/H151*100</f>
        <v>87.4876096994899</v>
      </c>
      <c r="L151" s="245">
        <f>J151-'[6]Oktobris'!J151</f>
        <v>6541</v>
      </c>
      <c r="O151" s="788">
        <f t="shared" si="27"/>
        <v>72375</v>
      </c>
      <c r="P151">
        <v>65834</v>
      </c>
      <c r="Q151">
        <f t="shared" si="28"/>
        <v>6541</v>
      </c>
    </row>
    <row r="152" spans="1:17" ht="12.75" customHeight="1">
      <c r="A152" s="248" t="s">
        <v>115</v>
      </c>
      <c r="B152" s="255">
        <v>82546999</v>
      </c>
      <c r="C152" s="256"/>
      <c r="D152" s="256">
        <v>72030872</v>
      </c>
      <c r="E152" s="243">
        <f t="shared" si="30"/>
        <v>87.26043692999669</v>
      </c>
      <c r="F152" s="245">
        <f>D152-'[6]Oktobris'!D152</f>
        <v>6536862</v>
      </c>
      <c r="G152" s="248" t="s">
        <v>115</v>
      </c>
      <c r="H152" s="217">
        <f>ROUND(B152/1000,0)</f>
        <v>82547</v>
      </c>
      <c r="I152" s="217"/>
      <c r="J152" s="672">
        <f>ROUND(D152/1000,0)</f>
        <v>72031</v>
      </c>
      <c r="K152" s="247">
        <f t="shared" si="31"/>
        <v>87.26059093607277</v>
      </c>
      <c r="L152" s="245">
        <f>J152-'[6]Oktobris'!J152</f>
        <v>6537</v>
      </c>
      <c r="O152" s="788">
        <f t="shared" si="27"/>
        <v>72031</v>
      </c>
      <c r="P152">
        <v>65494</v>
      </c>
      <c r="Q152">
        <f t="shared" si="28"/>
        <v>6537</v>
      </c>
    </row>
    <row r="153" spans="1:17" ht="12.75" customHeight="1">
      <c r="A153" s="248" t="s">
        <v>117</v>
      </c>
      <c r="B153" s="255">
        <v>179410</v>
      </c>
      <c r="C153" s="256"/>
      <c r="D153" s="256">
        <v>344144</v>
      </c>
      <c r="E153" s="243">
        <f t="shared" si="30"/>
        <v>191.81985396577673</v>
      </c>
      <c r="F153" s="245">
        <f>D153-'[6]Oktobris'!D153</f>
        <v>4313</v>
      </c>
      <c r="G153" s="248" t="s">
        <v>117</v>
      </c>
      <c r="H153" s="217">
        <f>ROUND(B153/1000,0)</f>
        <v>179</v>
      </c>
      <c r="I153" s="217"/>
      <c r="J153" s="672">
        <f>ROUND(D153/1000,0)</f>
        <v>344</v>
      </c>
      <c r="K153" s="247">
        <f t="shared" si="31"/>
        <v>192.17877094972067</v>
      </c>
      <c r="L153" s="245">
        <f>J153-'[6]Oktobris'!J153</f>
        <v>4</v>
      </c>
      <c r="O153" s="788">
        <f t="shared" si="27"/>
        <v>344</v>
      </c>
      <c r="P153">
        <v>340</v>
      </c>
      <c r="Q153">
        <f t="shared" si="28"/>
        <v>4</v>
      </c>
    </row>
    <row r="154" spans="1:17" ht="12.75" customHeight="1">
      <c r="A154" s="215" t="s">
        <v>75</v>
      </c>
      <c r="B154" s="245">
        <f>B155</f>
        <v>91531353</v>
      </c>
      <c r="C154" s="245">
        <f>C155</f>
        <v>83925419</v>
      </c>
      <c r="D154" s="245">
        <f>D155</f>
        <v>79818947</v>
      </c>
      <c r="E154" s="243">
        <f t="shared" si="30"/>
        <v>87.2039409272143</v>
      </c>
      <c r="F154" s="245">
        <f>D154-'[6]Oktobris'!D154</f>
        <v>7026368</v>
      </c>
      <c r="G154" s="215" t="s">
        <v>75</v>
      </c>
      <c r="H154" s="245">
        <f>H155</f>
        <v>91531</v>
      </c>
      <c r="I154" s="217">
        <f>ROUND(C154/1000,0)</f>
        <v>83925</v>
      </c>
      <c r="J154" s="672">
        <f>J155</f>
        <v>79819</v>
      </c>
      <c r="K154" s="247">
        <f t="shared" si="31"/>
        <v>87.20433514328478</v>
      </c>
      <c r="L154" s="245">
        <f>J154-'[6]Oktobris'!J154</f>
        <v>7026</v>
      </c>
      <c r="O154" s="788">
        <f t="shared" si="27"/>
        <v>79819</v>
      </c>
      <c r="P154">
        <v>72793</v>
      </c>
      <c r="Q154">
        <f t="shared" si="28"/>
        <v>7026</v>
      </c>
    </row>
    <row r="155" spans="1:17" ht="12.75" customHeight="1">
      <c r="A155" s="248" t="s">
        <v>120</v>
      </c>
      <c r="B155" s="255">
        <v>91531353</v>
      </c>
      <c r="C155" s="256">
        <f>7788524+7918298+7754776+7945134+7521575+7499131+7556300+7405473+7273019+7603914+7659275</f>
        <v>83925419</v>
      </c>
      <c r="D155" s="256">
        <v>79818947</v>
      </c>
      <c r="E155" s="243">
        <f t="shared" si="30"/>
        <v>87.2039409272143</v>
      </c>
      <c r="F155" s="245">
        <f>D155-'[6]Oktobris'!D155</f>
        <v>7026368</v>
      </c>
      <c r="G155" s="248" t="s">
        <v>120</v>
      </c>
      <c r="H155" s="217">
        <f>ROUND(B155/1000,0)</f>
        <v>91531</v>
      </c>
      <c r="I155" s="217">
        <f>ROUND(C155/1000,0)</f>
        <v>83925</v>
      </c>
      <c r="J155" s="672">
        <f>ROUND(D155/1000,0)</f>
        <v>79819</v>
      </c>
      <c r="K155" s="247">
        <f t="shared" si="31"/>
        <v>87.20433514328478</v>
      </c>
      <c r="L155" s="245">
        <f>J155-'[6]Oktobris'!J155</f>
        <v>7026</v>
      </c>
      <c r="O155" s="788">
        <f t="shared" si="27"/>
        <v>79819</v>
      </c>
      <c r="P155">
        <v>72793</v>
      </c>
      <c r="Q155">
        <f t="shared" si="28"/>
        <v>7026</v>
      </c>
    </row>
    <row r="156" spans="1:17" ht="12.75" customHeight="1">
      <c r="A156" s="215" t="s">
        <v>978</v>
      </c>
      <c r="B156" s="245">
        <f>B151-B154</f>
        <v>-8804944</v>
      </c>
      <c r="C156" s="245">
        <f>C151-C154</f>
        <v>-9800243</v>
      </c>
      <c r="D156" s="245">
        <f>D151-D154</f>
        <v>-7443931</v>
      </c>
      <c r="E156" s="243">
        <f t="shared" si="30"/>
        <v>84.54262741477969</v>
      </c>
      <c r="F156" s="245">
        <f>D156-'[6]Oktobris'!D156</f>
        <v>-485193</v>
      </c>
      <c r="G156" s="215" t="s">
        <v>978</v>
      </c>
      <c r="H156" s="245">
        <f>H151-H154</f>
        <v>-8805</v>
      </c>
      <c r="I156" s="217">
        <f>ROUND(C156/1000,0)</f>
        <v>-9800</v>
      </c>
      <c r="J156" s="672">
        <f>J151-J154</f>
        <v>-7444</v>
      </c>
      <c r="K156" s="247">
        <f t="shared" si="31"/>
        <v>84.54287336740488</v>
      </c>
      <c r="L156" s="245">
        <f>J156-'[6]Oktobris'!J156</f>
        <v>-485</v>
      </c>
      <c r="O156" s="788">
        <f t="shared" si="27"/>
        <v>-7444</v>
      </c>
      <c r="P156">
        <v>-6959</v>
      </c>
      <c r="Q156">
        <f t="shared" si="28"/>
        <v>-485</v>
      </c>
    </row>
    <row r="157" spans="1:17" ht="12.75" customHeight="1">
      <c r="A157" s="215" t="s">
        <v>100</v>
      </c>
      <c r="B157" s="217">
        <v>8804944</v>
      </c>
      <c r="C157" s="246">
        <f>1694231+1684374+1196373+1303160+519540+537982+430447+434861+302813+761925+934537</f>
        <v>9800243</v>
      </c>
      <c r="D157" s="246">
        <v>7444023</v>
      </c>
      <c r="E157" s="243">
        <f t="shared" si="30"/>
        <v>84.54367228229958</v>
      </c>
      <c r="F157" s="245">
        <f>D157-'[6]Oktobris'!D157</f>
        <v>485206</v>
      </c>
      <c r="G157" s="215" t="s">
        <v>100</v>
      </c>
      <c r="H157" s="217">
        <f>ROUND(B157/1000,0)</f>
        <v>8805</v>
      </c>
      <c r="I157" s="217">
        <f>ROUND(C157/1000,0)</f>
        <v>9800</v>
      </c>
      <c r="J157" s="672">
        <f>ROUND(D157/1000,0)</f>
        <v>7444</v>
      </c>
      <c r="K157" s="247">
        <f t="shared" si="31"/>
        <v>84.54287336740488</v>
      </c>
      <c r="L157" s="245">
        <f>J157-'[6]Oktobris'!J157</f>
        <v>485</v>
      </c>
      <c r="O157" s="788">
        <f t="shared" si="27"/>
        <v>7444</v>
      </c>
      <c r="P157">
        <v>6959</v>
      </c>
      <c r="Q157">
        <f t="shared" si="28"/>
        <v>485</v>
      </c>
    </row>
    <row r="158" spans="1:17" ht="25.5">
      <c r="A158" s="126" t="s">
        <v>124</v>
      </c>
      <c r="B158" s="245"/>
      <c r="C158" s="245"/>
      <c r="D158" s="245"/>
      <c r="E158" s="243"/>
      <c r="F158" s="245"/>
      <c r="G158" s="92" t="s">
        <v>124</v>
      </c>
      <c r="H158" s="245"/>
      <c r="I158" s="217"/>
      <c r="J158" s="672"/>
      <c r="K158" s="247"/>
      <c r="L158" s="245"/>
      <c r="O158" s="788">
        <f t="shared" si="27"/>
        <v>0</v>
      </c>
      <c r="Q158">
        <f t="shared" si="28"/>
        <v>0</v>
      </c>
    </row>
    <row r="159" spans="1:17" ht="12.75" customHeight="1">
      <c r="A159" s="215" t="s">
        <v>73</v>
      </c>
      <c r="B159" s="245">
        <f>SUM(B160:B161)</f>
        <v>10029047</v>
      </c>
      <c r="C159" s="249">
        <f>591852+775370+827390+788270+939160+955370+857500+848929+819720+838141+1000664</f>
        <v>9242366</v>
      </c>
      <c r="D159" s="245">
        <f>SUM(D160:D161)</f>
        <v>9048541</v>
      </c>
      <c r="E159" s="243">
        <f aca="true" t="shared" si="32" ref="E159:E167">D159/B159*100</f>
        <v>90.22333826932908</v>
      </c>
      <c r="F159" s="245">
        <f>D159-'[6]Oktobris'!D159</f>
        <v>1191710</v>
      </c>
      <c r="G159" s="215" t="s">
        <v>73</v>
      </c>
      <c r="H159" s="245">
        <f>SUM(H160:H161)</f>
        <v>10029</v>
      </c>
      <c r="I159" s="217">
        <f>ROUND(C159/1000,0)</f>
        <v>9242</v>
      </c>
      <c r="J159" s="672">
        <f>SUM(J160:J161)</f>
        <v>9049</v>
      </c>
      <c r="K159" s="247">
        <f>J159/H159*100</f>
        <v>90.22833782032107</v>
      </c>
      <c r="L159" s="245">
        <f>J159-'[6]Oktobris'!J159</f>
        <v>1192</v>
      </c>
      <c r="O159" s="788">
        <f t="shared" si="27"/>
        <v>9049</v>
      </c>
      <c r="P159">
        <v>7857</v>
      </c>
      <c r="Q159">
        <f t="shared" si="28"/>
        <v>1192</v>
      </c>
    </row>
    <row r="160" spans="1:17" ht="12.75" customHeight="1">
      <c r="A160" s="248" t="s">
        <v>116</v>
      </c>
      <c r="B160" s="255">
        <f>300000+1890000+26000</f>
        <v>2216000</v>
      </c>
      <c r="C160" s="256"/>
      <c r="D160" s="256">
        <v>2047790</v>
      </c>
      <c r="E160" s="243">
        <f t="shared" si="32"/>
        <v>92.40929602888087</v>
      </c>
      <c r="F160" s="245">
        <f>D160-'[6]Oktobris'!D160-1</f>
        <v>176709</v>
      </c>
      <c r="G160" s="248" t="s">
        <v>116</v>
      </c>
      <c r="H160" s="217">
        <f>ROUND(B160/1000,0)</f>
        <v>2216</v>
      </c>
      <c r="I160" s="217"/>
      <c r="J160" s="672">
        <f>ROUND(D160/1000,0)</f>
        <v>2048</v>
      </c>
      <c r="K160" s="247">
        <f>J160/H160*100</f>
        <v>92.4187725631769</v>
      </c>
      <c r="L160" s="245">
        <f>J160-'[6]Oktobris'!J160</f>
        <v>177</v>
      </c>
      <c r="O160" s="788">
        <f t="shared" si="27"/>
        <v>2048</v>
      </c>
      <c r="P160">
        <v>1871</v>
      </c>
      <c r="Q160">
        <f t="shared" si="28"/>
        <v>177</v>
      </c>
    </row>
    <row r="161" spans="1:17" ht="12.75" customHeight="1">
      <c r="A161" s="248" t="s">
        <v>117</v>
      </c>
      <c r="B161" s="255">
        <f>10029047-B160</f>
        <v>7813047</v>
      </c>
      <c r="C161" s="256"/>
      <c r="D161" s="256">
        <f>9048541-D160</f>
        <v>7000751</v>
      </c>
      <c r="E161" s="243">
        <f t="shared" si="32"/>
        <v>89.60333913260729</v>
      </c>
      <c r="F161" s="245">
        <f>D161-'[6]Oktobris'!D161</f>
        <v>1015000</v>
      </c>
      <c r="G161" s="248" t="s">
        <v>117</v>
      </c>
      <c r="H161" s="217">
        <f>ROUND(B161/1000,0)</f>
        <v>7813</v>
      </c>
      <c r="I161" s="217"/>
      <c r="J161" s="672">
        <f>ROUND(D161/1000,0)</f>
        <v>7001</v>
      </c>
      <c r="K161" s="247">
        <f>J161/H161*100</f>
        <v>89.60706514783054</v>
      </c>
      <c r="L161" s="245">
        <f>J161-'[6]Oktobris'!J161</f>
        <v>1015</v>
      </c>
      <c r="O161" s="788">
        <f t="shared" si="27"/>
        <v>7001</v>
      </c>
      <c r="P161">
        <v>5986</v>
      </c>
      <c r="Q161">
        <f t="shared" si="28"/>
        <v>1015</v>
      </c>
    </row>
    <row r="162" spans="1:17" ht="12.75" customHeight="1">
      <c r="A162" s="215" t="s">
        <v>75</v>
      </c>
      <c r="B162" s="245">
        <f>B163+B165</f>
        <v>12294047</v>
      </c>
      <c r="C162" s="245">
        <f>C163+C165</f>
        <v>11247366</v>
      </c>
      <c r="D162" s="245">
        <f>D163+D165</f>
        <v>9959608</v>
      </c>
      <c r="E162" s="243">
        <f t="shared" si="32"/>
        <v>81.01163107640633</v>
      </c>
      <c r="F162" s="245">
        <f>D162-'[6]Oktobris'!D162</f>
        <v>1045073</v>
      </c>
      <c r="G162" s="215" t="s">
        <v>75</v>
      </c>
      <c r="H162" s="245">
        <f>H163+H165</f>
        <v>12294</v>
      </c>
      <c r="I162" s="246">
        <f>I163+I165</f>
        <v>11247</v>
      </c>
      <c r="J162" s="672">
        <f>J163+J165</f>
        <v>9960</v>
      </c>
      <c r="K162" s="247">
        <f>J162/H162*100</f>
        <v>81.01512933138116</v>
      </c>
      <c r="L162" s="245">
        <f>J162-'[6]Oktobris'!J162</f>
        <v>1046</v>
      </c>
      <c r="O162" s="788">
        <f t="shared" si="27"/>
        <v>9960</v>
      </c>
      <c r="P162">
        <v>8914</v>
      </c>
      <c r="Q162">
        <f t="shared" si="28"/>
        <v>1046</v>
      </c>
    </row>
    <row r="163" spans="1:17" ht="12.75" customHeight="1">
      <c r="A163" s="77" t="s">
        <v>120</v>
      </c>
      <c r="B163" s="255">
        <v>8869047</v>
      </c>
      <c r="C163" s="256">
        <f>535782+680000+701500+703500+826500+707500+857500+757500+757000+748500+858884</f>
        <v>8134166</v>
      </c>
      <c r="D163" s="256">
        <v>8003812</v>
      </c>
      <c r="E163" s="243">
        <f t="shared" si="32"/>
        <v>90.24432952040956</v>
      </c>
      <c r="F163" s="245">
        <f>D163-'[6]Oktobris'!D163</f>
        <v>938658</v>
      </c>
      <c r="G163" s="77" t="s">
        <v>120</v>
      </c>
      <c r="H163" s="217">
        <f>ROUND(B163/1000,0)</f>
        <v>8869</v>
      </c>
      <c r="I163" s="217">
        <f>ROUND(C163/1000,0)</f>
        <v>8134</v>
      </c>
      <c r="J163" s="672">
        <f>ROUND(D163/1000,0)</f>
        <v>8004</v>
      </c>
      <c r="K163" s="247">
        <f>J163/H163*100</f>
        <v>90.24692750028188</v>
      </c>
      <c r="L163" s="245">
        <f>J163-'[6]Oktobris'!J163</f>
        <v>939</v>
      </c>
      <c r="O163" s="788">
        <f t="shared" si="27"/>
        <v>8004</v>
      </c>
      <c r="P163">
        <v>7065</v>
      </c>
      <c r="Q163">
        <f t="shared" si="28"/>
        <v>939</v>
      </c>
    </row>
    <row r="164" spans="1:17" ht="12.75" customHeight="1">
      <c r="A164" s="248" t="s">
        <v>107</v>
      </c>
      <c r="B164" s="255">
        <v>10782</v>
      </c>
      <c r="C164" s="256"/>
      <c r="D164" s="256">
        <v>10779</v>
      </c>
      <c r="E164" s="243">
        <f t="shared" si="32"/>
        <v>99.97217584863661</v>
      </c>
      <c r="F164" s="245"/>
      <c r="G164" s="248" t="s">
        <v>107</v>
      </c>
      <c r="H164" s="217">
        <f>ROUND(B164/1000,0)</f>
        <v>11</v>
      </c>
      <c r="I164" s="217"/>
      <c r="J164" s="672"/>
      <c r="K164" s="247"/>
      <c r="L164" s="245"/>
      <c r="O164" s="788">
        <f t="shared" si="27"/>
        <v>0</v>
      </c>
      <c r="Q164">
        <f t="shared" si="28"/>
        <v>0</v>
      </c>
    </row>
    <row r="165" spans="1:17" ht="12.75" customHeight="1">
      <c r="A165" s="77" t="s">
        <v>125</v>
      </c>
      <c r="B165" s="255">
        <v>3425000</v>
      </c>
      <c r="C165" s="256">
        <f>234780+215420+194320+168470+222820+478190+278819+286800+370641+662940</f>
        <v>3113200</v>
      </c>
      <c r="D165" s="256">
        <v>1955796</v>
      </c>
      <c r="E165" s="243">
        <f t="shared" si="32"/>
        <v>57.10353284671533</v>
      </c>
      <c r="F165" s="245">
        <f>D165-'[6]Oktobris'!D165</f>
        <v>106415</v>
      </c>
      <c r="G165" s="77" t="s">
        <v>125</v>
      </c>
      <c r="H165" s="217">
        <f>ROUND(B165/1000,0)</f>
        <v>3425</v>
      </c>
      <c r="I165" s="217">
        <f>ROUND(C165/1000,0)</f>
        <v>3113</v>
      </c>
      <c r="J165" s="672">
        <f>ROUND(D165/1000,0)</f>
        <v>1956</v>
      </c>
      <c r="K165" s="247">
        <f>J165/H165*100</f>
        <v>57.10948905109488</v>
      </c>
      <c r="L165" s="245">
        <f>J165-'[6]Oktobris'!J165</f>
        <v>107</v>
      </c>
      <c r="O165" s="788">
        <f t="shared" si="27"/>
        <v>1956</v>
      </c>
      <c r="P165">
        <v>1849</v>
      </c>
      <c r="Q165">
        <f t="shared" si="28"/>
        <v>107</v>
      </c>
    </row>
    <row r="166" spans="1:17" ht="12.75" customHeight="1">
      <c r="A166" s="215" t="s">
        <v>978</v>
      </c>
      <c r="B166" s="245">
        <f>B159-B162</f>
        <v>-2265000</v>
      </c>
      <c r="C166" s="245">
        <f>C159-C162</f>
        <v>-2005000</v>
      </c>
      <c r="D166" s="245">
        <f>D159-D162</f>
        <v>-911067</v>
      </c>
      <c r="E166" s="243">
        <f t="shared" si="32"/>
        <v>40.223708609271526</v>
      </c>
      <c r="F166" s="245">
        <f>D166-'[6]Oktobris'!D166</f>
        <v>146637</v>
      </c>
      <c r="G166" s="215" t="s">
        <v>978</v>
      </c>
      <c r="H166" s="245">
        <f>H159-H162</f>
        <v>-2265</v>
      </c>
      <c r="I166" s="217">
        <f>ROUND(C166/1000,0)</f>
        <v>-2005</v>
      </c>
      <c r="J166" s="672">
        <f>J159-J162</f>
        <v>-911</v>
      </c>
      <c r="K166" s="247"/>
      <c r="L166" s="245">
        <f>J166-'[6]Oktobris'!J166</f>
        <v>146</v>
      </c>
      <c r="O166" s="788">
        <f t="shared" si="27"/>
        <v>-911</v>
      </c>
      <c r="P166">
        <v>-1057</v>
      </c>
      <c r="Q166">
        <f t="shared" si="28"/>
        <v>146</v>
      </c>
    </row>
    <row r="167" spans="1:17" ht="12.75" customHeight="1">
      <c r="A167" s="215" t="s">
        <v>100</v>
      </c>
      <c r="B167" s="217">
        <v>2265000</v>
      </c>
      <c r="C167" s="246">
        <f>178710+120050+68430+83700+110160+230320+187390+224080+281000+521160</f>
        <v>2005000</v>
      </c>
      <c r="D167" s="672">
        <v>1104763</v>
      </c>
      <c r="E167" s="243">
        <f t="shared" si="32"/>
        <v>48.77540838852097</v>
      </c>
      <c r="F167" s="245">
        <f>D167-'[6]Oktobris'!D167</f>
        <v>18134</v>
      </c>
      <c r="G167" s="215" t="s">
        <v>100</v>
      </c>
      <c r="H167" s="217">
        <f>ROUND(B167/1000,0)</f>
        <v>2265</v>
      </c>
      <c r="I167" s="217">
        <f>ROUND(C167/1000,0)</f>
        <v>2005</v>
      </c>
      <c r="J167" s="672">
        <f>ROUND(D167/1000,0)</f>
        <v>1105</v>
      </c>
      <c r="K167" s="247">
        <f>J167/H167*100</f>
        <v>48.78587196467991</v>
      </c>
      <c r="L167" s="245">
        <f>J167-'[6]Oktobris'!J167</f>
        <v>18</v>
      </c>
      <c r="O167" s="788">
        <f t="shared" si="27"/>
        <v>1105</v>
      </c>
      <c r="P167">
        <v>1087</v>
      </c>
      <c r="Q167">
        <f t="shared" si="28"/>
        <v>18</v>
      </c>
    </row>
    <row r="168" spans="1:17" ht="24" customHeight="1">
      <c r="A168" s="76" t="s">
        <v>1007</v>
      </c>
      <c r="B168" s="245"/>
      <c r="C168" s="245"/>
      <c r="D168" s="245"/>
      <c r="E168" s="243"/>
      <c r="F168" s="245"/>
      <c r="G168" s="76" t="s">
        <v>471</v>
      </c>
      <c r="H168" s="245"/>
      <c r="I168" s="217"/>
      <c r="J168" s="672"/>
      <c r="K168" s="247"/>
      <c r="L168" s="245"/>
      <c r="O168" s="788">
        <f t="shared" si="27"/>
        <v>0</v>
      </c>
      <c r="Q168">
        <f t="shared" si="28"/>
        <v>0</v>
      </c>
    </row>
    <row r="169" spans="1:17" ht="12.75" customHeight="1">
      <c r="A169" s="209" t="s">
        <v>126</v>
      </c>
      <c r="B169" s="245"/>
      <c r="C169" s="245"/>
      <c r="D169" s="245"/>
      <c r="E169" s="243"/>
      <c r="F169" s="245"/>
      <c r="G169" s="209" t="s">
        <v>126</v>
      </c>
      <c r="H169" s="245"/>
      <c r="I169" s="217"/>
      <c r="J169" s="672"/>
      <c r="K169" s="247"/>
      <c r="L169" s="245"/>
      <c r="O169" s="788">
        <f t="shared" si="27"/>
        <v>0</v>
      </c>
      <c r="Q169">
        <f t="shared" si="28"/>
        <v>0</v>
      </c>
    </row>
    <row r="170" spans="1:17" ht="12.75" customHeight="1">
      <c r="A170" s="215" t="s">
        <v>73</v>
      </c>
      <c r="B170" s="245">
        <f>SUM(B171:B174)</f>
        <v>9687250</v>
      </c>
      <c r="C170" s="249">
        <v>8654784</v>
      </c>
      <c r="D170" s="245">
        <f>SUM(D171:D174)</f>
        <v>8138152</v>
      </c>
      <c r="E170" s="243">
        <f>D170/B170*100</f>
        <v>84.00889829414953</v>
      </c>
      <c r="F170" s="245">
        <f>D170-'[6]Oktobris'!D170</f>
        <v>1078871</v>
      </c>
      <c r="G170" s="215" t="s">
        <v>472</v>
      </c>
      <c r="H170" s="245">
        <f>SUM(H171:H174)</f>
        <v>9687</v>
      </c>
      <c r="I170" s="217">
        <f>ROUND(C170/1000,0)</f>
        <v>8655</v>
      </c>
      <c r="J170" s="672">
        <f>SUM(J171:J174)</f>
        <v>8138</v>
      </c>
      <c r="K170" s="247">
        <f>J170/H170*100</f>
        <v>84.00949726437493</v>
      </c>
      <c r="L170" s="245">
        <f>J170-'[6]Oktobris'!J170</f>
        <v>1079</v>
      </c>
      <c r="O170" s="788">
        <f t="shared" si="27"/>
        <v>8138</v>
      </c>
      <c r="P170">
        <v>7059</v>
      </c>
      <c r="Q170">
        <f t="shared" si="28"/>
        <v>1079</v>
      </c>
    </row>
    <row r="171" spans="1:17" ht="12.75" customHeight="1">
      <c r="A171" s="215" t="s">
        <v>127</v>
      </c>
      <c r="B171" s="217">
        <v>8951000</v>
      </c>
      <c r="C171" s="246"/>
      <c r="D171" s="246">
        <f>142452+5502030+139448+64166+1660000</f>
        <v>7508096</v>
      </c>
      <c r="E171" s="243">
        <f>D171/B171*100</f>
        <v>83.87996871857894</v>
      </c>
      <c r="F171" s="245">
        <f>D171-'[6]Oktobris'!D171</f>
        <v>1040898</v>
      </c>
      <c r="G171" s="215" t="s">
        <v>127</v>
      </c>
      <c r="H171" s="217">
        <f>ROUND(B171/1000,0)</f>
        <v>8951</v>
      </c>
      <c r="I171" s="217"/>
      <c r="J171" s="672">
        <f>ROUND(D171/1000,0)</f>
        <v>7508</v>
      </c>
      <c r="K171" s="247">
        <f>J171/H171*100</f>
        <v>83.87889621271366</v>
      </c>
      <c r="L171" s="245">
        <f>J171-'[6]Oktobris'!J171</f>
        <v>1041</v>
      </c>
      <c r="O171" s="788">
        <f t="shared" si="27"/>
        <v>7508</v>
      </c>
      <c r="P171">
        <v>6467</v>
      </c>
      <c r="Q171">
        <f t="shared" si="28"/>
        <v>1041</v>
      </c>
    </row>
    <row r="172" spans="1:17" ht="24.75" customHeight="1">
      <c r="A172" s="69" t="s">
        <v>128</v>
      </c>
      <c r="B172" s="217">
        <v>350000</v>
      </c>
      <c r="C172" s="246"/>
      <c r="D172" s="246">
        <v>348010</v>
      </c>
      <c r="E172" s="243">
        <f>D172/B172*100</f>
        <v>99.43142857142857</v>
      </c>
      <c r="F172" s="245">
        <f>D172-'[6]Oktobris'!D172</f>
        <v>28309</v>
      </c>
      <c r="G172" s="69" t="s">
        <v>128</v>
      </c>
      <c r="H172" s="217">
        <f>ROUND(B172/1000,0)</f>
        <v>350</v>
      </c>
      <c r="I172" s="217"/>
      <c r="J172" s="672">
        <f>ROUND(D172/1000,0)</f>
        <v>348</v>
      </c>
      <c r="K172" s="247">
        <f>J172/H172*100</f>
        <v>99.42857142857143</v>
      </c>
      <c r="L172" s="245">
        <f>J172-'[6]Oktobris'!J172</f>
        <v>28</v>
      </c>
      <c r="O172" s="788">
        <f t="shared" si="27"/>
        <v>348</v>
      </c>
      <c r="P172">
        <v>320</v>
      </c>
      <c r="Q172">
        <f t="shared" si="28"/>
        <v>28</v>
      </c>
    </row>
    <row r="173" spans="1:17" ht="12.75" customHeight="1">
      <c r="A173" s="254" t="s">
        <v>1051</v>
      </c>
      <c r="B173" s="217">
        <f>150000+68100</f>
        <v>218100</v>
      </c>
      <c r="C173" s="246"/>
      <c r="D173" s="246">
        <f>968+30+56112+461+1810+47902+18853</f>
        <v>126136</v>
      </c>
      <c r="E173" s="243">
        <f>D173/B173*100</f>
        <v>57.83402109124255</v>
      </c>
      <c r="F173" s="245">
        <f>D173-'[6]Oktobris'!D173</f>
        <v>9664</v>
      </c>
      <c r="G173" s="123" t="s">
        <v>1051</v>
      </c>
      <c r="H173" s="217">
        <f>ROUND(B173/1000,0)</f>
        <v>218</v>
      </c>
      <c r="I173" s="217"/>
      <c r="J173" s="672">
        <f>ROUND(D173/1000,0)</f>
        <v>126</v>
      </c>
      <c r="K173" s="247">
        <f>J173/H173*100</f>
        <v>57.798165137614674</v>
      </c>
      <c r="L173" s="245">
        <f>J173-'[6]Oktobris'!J173</f>
        <v>10</v>
      </c>
      <c r="O173" s="788">
        <f t="shared" si="27"/>
        <v>126</v>
      </c>
      <c r="P173">
        <v>116</v>
      </c>
      <c r="Q173">
        <f t="shared" si="28"/>
        <v>10</v>
      </c>
    </row>
    <row r="174" spans="1:17" ht="12.75" customHeight="1">
      <c r="A174" s="123" t="s">
        <v>550</v>
      </c>
      <c r="B174" s="217">
        <v>168150</v>
      </c>
      <c r="C174" s="246"/>
      <c r="D174" s="246">
        <v>155910</v>
      </c>
      <c r="E174" s="243"/>
      <c r="F174" s="245">
        <f>D174-'[6]Oktobris'!D174</f>
        <v>0</v>
      </c>
      <c r="G174" s="123" t="s">
        <v>473</v>
      </c>
      <c r="H174" s="217">
        <f>ROUND(B174/1000,0)</f>
        <v>168</v>
      </c>
      <c r="I174" s="217"/>
      <c r="J174" s="672">
        <f>ROUND(D174/1000,0)</f>
        <v>156</v>
      </c>
      <c r="K174" s="247"/>
      <c r="L174" s="245">
        <f>J174-'[6]Oktobris'!J174</f>
        <v>0</v>
      </c>
      <c r="O174" s="788">
        <f t="shared" si="27"/>
        <v>156</v>
      </c>
      <c r="P174">
        <v>156</v>
      </c>
      <c r="Q174">
        <f t="shared" si="28"/>
        <v>0</v>
      </c>
    </row>
    <row r="175" spans="1:17" ht="12.75" customHeight="1">
      <c r="A175" s="215" t="s">
        <v>75</v>
      </c>
      <c r="B175" s="245">
        <f>SUM(B176:B177)</f>
        <v>9539074</v>
      </c>
      <c r="C175" s="245">
        <f>SUM(C176:C177)</f>
        <v>8648108</v>
      </c>
      <c r="D175" s="245">
        <f>SUM(D176:D177)</f>
        <v>6314500</v>
      </c>
      <c r="E175" s="243">
        <f>D175/B175*100</f>
        <v>66.19615279218927</v>
      </c>
      <c r="F175" s="245">
        <f>D175-'[6]Oktobris'!D175</f>
        <v>1124862</v>
      </c>
      <c r="G175" s="215" t="s">
        <v>474</v>
      </c>
      <c r="H175" s="245">
        <f>SUM(H176:H177)</f>
        <v>9539</v>
      </c>
      <c r="I175" s="246">
        <f>SUM(I176:I177)</f>
        <v>8648</v>
      </c>
      <c r="J175" s="672">
        <f>SUM(J176:J177)</f>
        <v>6314</v>
      </c>
      <c r="K175" s="247">
        <f>J175/H175*100</f>
        <v>66.19142467763916</v>
      </c>
      <c r="L175" s="245">
        <f>J175-'[6]Oktobris'!J175</f>
        <v>1124</v>
      </c>
      <c r="O175" s="788">
        <f t="shared" si="27"/>
        <v>6314</v>
      </c>
      <c r="P175">
        <v>5190</v>
      </c>
      <c r="Q175">
        <f t="shared" si="28"/>
        <v>1124</v>
      </c>
    </row>
    <row r="176" spans="1:17" ht="12.75" customHeight="1">
      <c r="A176" s="215" t="s">
        <v>76</v>
      </c>
      <c r="B176" s="217">
        <f>6547804+168150</f>
        <v>6715954</v>
      </c>
      <c r="C176" s="246">
        <v>6081688</v>
      </c>
      <c r="D176" s="246">
        <f>'[16]novembris'!$E$8</f>
        <v>4943477</v>
      </c>
      <c r="E176" s="243">
        <f>D176/B176*100</f>
        <v>73.60796396163524</v>
      </c>
      <c r="F176" s="245">
        <f>D176-'[6]Oktobris'!D176</f>
        <v>623616</v>
      </c>
      <c r="G176" s="215" t="s">
        <v>475</v>
      </c>
      <c r="H176" s="217">
        <f aca="true" t="shared" si="33" ref="H176:J177">ROUND(B176/1000,0)</f>
        <v>6716</v>
      </c>
      <c r="I176" s="217">
        <f t="shared" si="33"/>
        <v>6082</v>
      </c>
      <c r="J176" s="672">
        <f t="shared" si="33"/>
        <v>4943</v>
      </c>
      <c r="K176" s="247">
        <f>J176/H176*100</f>
        <v>73.60035735556879</v>
      </c>
      <c r="L176" s="245">
        <f>J176-'[6]Oktobris'!J176</f>
        <v>623</v>
      </c>
      <c r="O176" s="788">
        <f t="shared" si="27"/>
        <v>4943</v>
      </c>
      <c r="P176">
        <v>4320</v>
      </c>
      <c r="Q176">
        <f t="shared" si="28"/>
        <v>623</v>
      </c>
    </row>
    <row r="177" spans="1:17" ht="12.75" customHeight="1">
      <c r="A177" s="215" t="s">
        <v>70</v>
      </c>
      <c r="B177" s="217">
        <v>2823120</v>
      </c>
      <c r="C177" s="246">
        <v>2566420</v>
      </c>
      <c r="D177" s="246">
        <f>'[16]novembris'!$E$31</f>
        <v>1371023</v>
      </c>
      <c r="E177" s="243">
        <f>D177/B177*100</f>
        <v>48.564106378758254</v>
      </c>
      <c r="F177" s="245">
        <f>D177-'[6]Oktobris'!D177</f>
        <v>501246</v>
      </c>
      <c r="G177" s="215" t="s">
        <v>70</v>
      </c>
      <c r="H177" s="217">
        <f t="shared" si="33"/>
        <v>2823</v>
      </c>
      <c r="I177" s="217">
        <f t="shared" si="33"/>
        <v>2566</v>
      </c>
      <c r="J177" s="672">
        <f t="shared" si="33"/>
        <v>1371</v>
      </c>
      <c r="K177" s="247">
        <f>J177/H177*100</f>
        <v>48.565356004250795</v>
      </c>
      <c r="L177" s="245">
        <f>J177-'[6]Oktobris'!J177</f>
        <v>501</v>
      </c>
      <c r="O177" s="788">
        <f t="shared" si="27"/>
        <v>1371</v>
      </c>
      <c r="P177">
        <v>870</v>
      </c>
      <c r="Q177">
        <f t="shared" si="28"/>
        <v>501</v>
      </c>
    </row>
    <row r="178" spans="1:17" ht="12.75" customHeight="1">
      <c r="A178" s="32" t="s">
        <v>1009</v>
      </c>
      <c r="B178" s="245"/>
      <c r="C178" s="245"/>
      <c r="D178" s="245"/>
      <c r="E178" s="243"/>
      <c r="F178" s="245"/>
      <c r="G178" s="32" t="s">
        <v>1009</v>
      </c>
      <c r="H178" s="245"/>
      <c r="I178" s="217"/>
      <c r="J178" s="672"/>
      <c r="K178" s="247"/>
      <c r="L178" s="245"/>
      <c r="O178" s="788">
        <f t="shared" si="27"/>
        <v>0</v>
      </c>
      <c r="Q178">
        <f t="shared" si="28"/>
        <v>0</v>
      </c>
    </row>
    <row r="179" spans="1:17" ht="12.75" customHeight="1">
      <c r="A179" s="209" t="s">
        <v>129</v>
      </c>
      <c r="B179" s="245"/>
      <c r="C179" s="245"/>
      <c r="D179" s="245"/>
      <c r="E179" s="243"/>
      <c r="F179" s="245"/>
      <c r="G179" s="209" t="s">
        <v>129</v>
      </c>
      <c r="H179" s="245"/>
      <c r="I179" s="217"/>
      <c r="J179" s="672"/>
      <c r="K179" s="247"/>
      <c r="L179" s="245"/>
      <c r="O179" s="788">
        <f t="shared" si="27"/>
        <v>0</v>
      </c>
      <c r="Q179">
        <f t="shared" si="28"/>
        <v>0</v>
      </c>
    </row>
    <row r="180" spans="1:17" ht="12.75" customHeight="1">
      <c r="A180" s="215" t="s">
        <v>73</v>
      </c>
      <c r="B180" s="245">
        <f>SUM(B181:B182)</f>
        <v>2272860</v>
      </c>
      <c r="C180" s="249">
        <v>2065000</v>
      </c>
      <c r="D180" s="245">
        <f>SUM(D181:D182)</f>
        <v>1688321</v>
      </c>
      <c r="E180" s="243">
        <f>D180/B180*100</f>
        <v>74.28178594370088</v>
      </c>
      <c r="F180" s="245">
        <f>D180-'[6]Oktobris'!D180</f>
        <v>165104</v>
      </c>
      <c r="G180" s="215" t="s">
        <v>73</v>
      </c>
      <c r="H180" s="245">
        <f>SUM(H181:H182)</f>
        <v>2273</v>
      </c>
      <c r="I180" s="217">
        <f>ROUND(C180/1000,0)</f>
        <v>2065</v>
      </c>
      <c r="J180" s="672">
        <f>SUM(J181:J182)</f>
        <v>1689</v>
      </c>
      <c r="K180" s="247">
        <f>J180/H180*100</f>
        <v>74.307083150022</v>
      </c>
      <c r="L180" s="245">
        <f>J180-'[6]Oktobris'!J180</f>
        <v>165</v>
      </c>
      <c r="O180" s="788">
        <f t="shared" si="27"/>
        <v>1689</v>
      </c>
      <c r="P180">
        <v>1524</v>
      </c>
      <c r="Q180">
        <f t="shared" si="28"/>
        <v>165</v>
      </c>
    </row>
    <row r="181" spans="1:17" ht="24.75" customHeight="1">
      <c r="A181" s="69" t="s">
        <v>130</v>
      </c>
      <c r="B181" s="217">
        <v>1608660</v>
      </c>
      <c r="C181" s="246"/>
      <c r="D181" s="246">
        <v>602638</v>
      </c>
      <c r="E181" s="243">
        <f>D181/B181*100</f>
        <v>37.462111322467145</v>
      </c>
      <c r="F181" s="245">
        <f>D181-'[6]Oktobris'!D181</f>
        <v>-359979</v>
      </c>
      <c r="G181" s="69" t="s">
        <v>130</v>
      </c>
      <c r="H181" s="217">
        <f>ROUND(B181/1000,0)</f>
        <v>1609</v>
      </c>
      <c r="I181" s="217"/>
      <c r="J181" s="672">
        <f>ROUND(D181/1000,0)</f>
        <v>603</v>
      </c>
      <c r="K181" s="247">
        <f>J181/H181*100</f>
        <v>37.47669359850839</v>
      </c>
      <c r="L181" s="245">
        <f>J181-'[6]Oktobris'!J181</f>
        <v>-360</v>
      </c>
      <c r="O181" s="788">
        <f t="shared" si="27"/>
        <v>603</v>
      </c>
      <c r="P181">
        <v>963</v>
      </c>
      <c r="Q181">
        <f t="shared" si="28"/>
        <v>-360</v>
      </c>
    </row>
    <row r="182" spans="1:17" ht="24" customHeight="1">
      <c r="A182" s="69" t="s">
        <v>131</v>
      </c>
      <c r="B182" s="217">
        <v>664200</v>
      </c>
      <c r="C182" s="246"/>
      <c r="D182" s="246">
        <f>1688321-602638</f>
        <v>1085683</v>
      </c>
      <c r="E182" s="243">
        <f>D182/B182*100</f>
        <v>163.45724179464017</v>
      </c>
      <c r="F182" s="245">
        <f>D182-'[6]Oktobris'!D182</f>
        <v>525083</v>
      </c>
      <c r="G182" s="69" t="s">
        <v>131</v>
      </c>
      <c r="H182" s="217">
        <f>ROUND(B182/1000,0)</f>
        <v>664</v>
      </c>
      <c r="I182" s="217"/>
      <c r="J182" s="672">
        <f>ROUND(D182/1000,0)</f>
        <v>1086</v>
      </c>
      <c r="K182" s="247">
        <f>J182/H182*100</f>
        <v>163.55421686746988</v>
      </c>
      <c r="L182" s="245">
        <f>J182-'[6]Oktobris'!J182</f>
        <v>525</v>
      </c>
      <c r="O182" s="788">
        <f t="shared" si="27"/>
        <v>1086</v>
      </c>
      <c r="P182">
        <v>561</v>
      </c>
      <c r="Q182">
        <f t="shared" si="28"/>
        <v>525</v>
      </c>
    </row>
    <row r="183" spans="1:17" ht="12.75" customHeight="1">
      <c r="A183" s="215" t="s">
        <v>75</v>
      </c>
      <c r="B183" s="245">
        <f>B184</f>
        <v>2272860</v>
      </c>
      <c r="C183" s="245">
        <f>C184</f>
        <v>2065000</v>
      </c>
      <c r="D183" s="245">
        <f>D184</f>
        <v>1689574</v>
      </c>
      <c r="E183" s="243">
        <f>D183/B183*100</f>
        <v>74.3369147241801</v>
      </c>
      <c r="F183" s="245">
        <f>D183-'[6]Oktobris'!D183</f>
        <v>165994</v>
      </c>
      <c r="G183" s="215" t="s">
        <v>75</v>
      </c>
      <c r="H183" s="245">
        <f>H184</f>
        <v>2273</v>
      </c>
      <c r="I183" s="246">
        <f>I184</f>
        <v>2065</v>
      </c>
      <c r="J183" s="672">
        <f>J184</f>
        <v>1690</v>
      </c>
      <c r="K183" s="247">
        <f>J183/H183*100</f>
        <v>74.35107787065553</v>
      </c>
      <c r="L183" s="245">
        <f>J183-'[6]Oktobris'!J183</f>
        <v>166</v>
      </c>
      <c r="O183" s="788">
        <f t="shared" si="27"/>
        <v>1690</v>
      </c>
      <c r="P183">
        <v>1524</v>
      </c>
      <c r="Q183">
        <f t="shared" si="28"/>
        <v>166</v>
      </c>
    </row>
    <row r="184" spans="1:17" ht="12.75" customHeight="1">
      <c r="A184" s="215" t="s">
        <v>76</v>
      </c>
      <c r="B184" s="217">
        <v>2272860</v>
      </c>
      <c r="C184" s="246">
        <v>2065000</v>
      </c>
      <c r="D184" s="246">
        <f>'[16]novembris'!$Q$8</f>
        <v>1689574</v>
      </c>
      <c r="E184" s="243">
        <f>D184/B184*100</f>
        <v>74.3369147241801</v>
      </c>
      <c r="F184" s="245">
        <f>D184-'[6]Oktobris'!D184</f>
        <v>165994</v>
      </c>
      <c r="G184" s="215" t="s">
        <v>76</v>
      </c>
      <c r="H184" s="217">
        <f>ROUND(B184/1000,0)</f>
        <v>2273</v>
      </c>
      <c r="I184" s="217">
        <f>ROUND(C184/1000,0)</f>
        <v>2065</v>
      </c>
      <c r="J184" s="672">
        <f>ROUND(D184/1000,0)</f>
        <v>1690</v>
      </c>
      <c r="K184" s="247">
        <f>J184/H184*100</f>
        <v>74.35107787065553</v>
      </c>
      <c r="L184" s="245">
        <f>J184-'[6]Oktobris'!J184</f>
        <v>166</v>
      </c>
      <c r="O184" s="788">
        <f t="shared" si="27"/>
        <v>1690</v>
      </c>
      <c r="P184">
        <v>1524</v>
      </c>
      <c r="Q184">
        <f t="shared" si="28"/>
        <v>166</v>
      </c>
    </row>
    <row r="185" spans="1:17" ht="25.5" customHeight="1">
      <c r="A185" s="76" t="s">
        <v>132</v>
      </c>
      <c r="B185" s="245"/>
      <c r="C185" s="245"/>
      <c r="D185" s="245"/>
      <c r="E185" s="243"/>
      <c r="F185" s="245"/>
      <c r="G185" s="76" t="s">
        <v>132</v>
      </c>
      <c r="H185" s="245"/>
      <c r="I185" s="217"/>
      <c r="J185" s="672"/>
      <c r="K185" s="247"/>
      <c r="L185" s="245"/>
      <c r="O185" s="788">
        <f t="shared" si="27"/>
        <v>0</v>
      </c>
      <c r="Q185">
        <f t="shared" si="28"/>
        <v>0</v>
      </c>
    </row>
    <row r="186" spans="1:17" ht="12.75" customHeight="1">
      <c r="A186" s="254" t="s">
        <v>73</v>
      </c>
      <c r="B186" s="245">
        <f>B187</f>
        <v>129565</v>
      </c>
      <c r="C186" s="249">
        <v>122912</v>
      </c>
      <c r="D186" s="245">
        <f>D187</f>
        <v>47136</v>
      </c>
      <c r="E186" s="243">
        <f aca="true" t="shared" si="34" ref="E186:E193">D186/B186*100</f>
        <v>36.38019526878401</v>
      </c>
      <c r="F186" s="245">
        <f>D186-'[6]Oktobris'!D186</f>
        <v>12026</v>
      </c>
      <c r="G186" s="123" t="s">
        <v>73</v>
      </c>
      <c r="H186" s="245">
        <f>H187</f>
        <v>130</v>
      </c>
      <c r="I186" s="217">
        <f>ROUND(C186/1000,0)</f>
        <v>123</v>
      </c>
      <c r="J186" s="672">
        <f>J187</f>
        <v>47</v>
      </c>
      <c r="K186" s="247">
        <f aca="true" t="shared" si="35" ref="K186:K193">J186/H186*100</f>
        <v>36.15384615384615</v>
      </c>
      <c r="L186" s="245">
        <f>J186-'[6]Oktobris'!J186</f>
        <v>12</v>
      </c>
      <c r="O186" s="788">
        <f t="shared" si="27"/>
        <v>47</v>
      </c>
      <c r="P186">
        <v>35</v>
      </c>
      <c r="Q186">
        <f t="shared" si="28"/>
        <v>12</v>
      </c>
    </row>
    <row r="187" spans="1:17" ht="12.75" customHeight="1">
      <c r="A187" s="69" t="s">
        <v>1051</v>
      </c>
      <c r="B187" s="217">
        <v>129565</v>
      </c>
      <c r="C187" s="246"/>
      <c r="D187" s="246">
        <f>'[16]novembris'!$P$6</f>
        <v>47136</v>
      </c>
      <c r="E187" s="243">
        <f t="shared" si="34"/>
        <v>36.38019526878401</v>
      </c>
      <c r="F187" s="245">
        <f>D187-'[6]Oktobris'!D187</f>
        <v>12026</v>
      </c>
      <c r="G187" s="69" t="s">
        <v>1051</v>
      </c>
      <c r="H187" s="217">
        <f>ROUND(B187/1000,0)</f>
        <v>130</v>
      </c>
      <c r="I187" s="217"/>
      <c r="J187" s="672">
        <f>ROUND(D187/1000,0)</f>
        <v>47</v>
      </c>
      <c r="K187" s="247">
        <f t="shared" si="35"/>
        <v>36.15384615384615</v>
      </c>
      <c r="L187" s="245">
        <f>J187-'[6]Oktobris'!J187</f>
        <v>12</v>
      </c>
      <c r="O187" s="788">
        <f t="shared" si="27"/>
        <v>47</v>
      </c>
      <c r="P187">
        <v>35</v>
      </c>
      <c r="Q187">
        <f t="shared" si="28"/>
        <v>12</v>
      </c>
    </row>
    <row r="188" spans="1:17" ht="12.75" customHeight="1">
      <c r="A188" s="215" t="s">
        <v>75</v>
      </c>
      <c r="B188" s="245">
        <f>B189+B191</f>
        <v>756987</v>
      </c>
      <c r="C188" s="245">
        <f>C189+C191</f>
        <v>651287</v>
      </c>
      <c r="D188" s="245">
        <f>D189+D191</f>
        <v>115246</v>
      </c>
      <c r="E188" s="243">
        <f t="shared" si="34"/>
        <v>15.22430371987894</v>
      </c>
      <c r="F188" s="245">
        <f>D188-'[6]Oktobris'!D188</f>
        <v>10879</v>
      </c>
      <c r="G188" s="215" t="s">
        <v>75</v>
      </c>
      <c r="H188" s="245">
        <f>H189+H191</f>
        <v>757</v>
      </c>
      <c r="I188" s="246">
        <f>I189+I191</f>
        <v>651</v>
      </c>
      <c r="J188" s="672">
        <f>J189+J191</f>
        <v>115</v>
      </c>
      <c r="K188" s="247">
        <f t="shared" si="35"/>
        <v>15.191545574636725</v>
      </c>
      <c r="L188" s="245">
        <f>J188-'[6]Oktobris'!J188</f>
        <v>11</v>
      </c>
      <c r="O188" s="788">
        <f t="shared" si="27"/>
        <v>115</v>
      </c>
      <c r="P188">
        <v>104</v>
      </c>
      <c r="Q188">
        <f t="shared" si="28"/>
        <v>11</v>
      </c>
    </row>
    <row r="189" spans="1:17" ht="12.75" customHeight="1">
      <c r="A189" s="215" t="s">
        <v>76</v>
      </c>
      <c r="B189" s="217">
        <v>753987</v>
      </c>
      <c r="C189" s="246">
        <v>648287</v>
      </c>
      <c r="D189" s="246">
        <f>'[16]novembris'!$P$8</f>
        <v>115076</v>
      </c>
      <c r="E189" s="243">
        <f t="shared" si="34"/>
        <v>15.262332109174295</v>
      </c>
      <c r="F189" s="245">
        <f>D189-'[6]Oktobris'!D189</f>
        <v>10879</v>
      </c>
      <c r="G189" s="215" t="s">
        <v>76</v>
      </c>
      <c r="H189" s="217">
        <f>ROUND(B189/1000,0)</f>
        <v>754</v>
      </c>
      <c r="I189" s="217">
        <f>ROUND(C189/1000,0)</f>
        <v>648</v>
      </c>
      <c r="J189" s="672">
        <f>ROUND(D189/1000,0)</f>
        <v>115</v>
      </c>
      <c r="K189" s="247">
        <f t="shared" si="35"/>
        <v>15.251989389920425</v>
      </c>
      <c r="L189" s="245">
        <f>J189-'[6]Oktobris'!J189</f>
        <v>11</v>
      </c>
      <c r="O189" s="788">
        <f t="shared" si="27"/>
        <v>115</v>
      </c>
      <c r="P189">
        <v>104</v>
      </c>
      <c r="Q189">
        <f t="shared" si="28"/>
        <v>11</v>
      </c>
    </row>
    <row r="190" spans="1:17" ht="12.75" customHeight="1">
      <c r="A190" s="248" t="s">
        <v>107</v>
      </c>
      <c r="B190" s="217">
        <v>14999</v>
      </c>
      <c r="C190" s="246"/>
      <c r="D190" s="246">
        <f>'[16]novembris'!$P$15</f>
        <v>5449</v>
      </c>
      <c r="E190" s="243">
        <f t="shared" si="34"/>
        <v>36.32908860590706</v>
      </c>
      <c r="F190" s="245">
        <f>D190-'[6]Oktobris'!D190</f>
        <v>0</v>
      </c>
      <c r="G190" s="248" t="s">
        <v>107</v>
      </c>
      <c r="H190" s="217">
        <f>ROUND(B190/1000,0)</f>
        <v>15</v>
      </c>
      <c r="I190" s="217"/>
      <c r="J190" s="672">
        <f>ROUND(D190/1000,0)</f>
        <v>5</v>
      </c>
      <c r="K190" s="247">
        <f t="shared" si="35"/>
        <v>33.33333333333333</v>
      </c>
      <c r="L190" s="245">
        <f>J190-'[6]Oktobris'!J190</f>
        <v>0</v>
      </c>
      <c r="O190" s="788">
        <f t="shared" si="27"/>
        <v>5</v>
      </c>
      <c r="P190">
        <v>5</v>
      </c>
      <c r="Q190">
        <f t="shared" si="28"/>
        <v>0</v>
      </c>
    </row>
    <row r="191" spans="1:17" ht="12.75" customHeight="1">
      <c r="A191" s="215" t="s">
        <v>70</v>
      </c>
      <c r="B191" s="217">
        <v>3000</v>
      </c>
      <c r="C191" s="246">
        <v>3000</v>
      </c>
      <c r="D191" s="246">
        <f>'[16]novembris'!$P$31</f>
        <v>170</v>
      </c>
      <c r="E191" s="243">
        <f t="shared" si="34"/>
        <v>5.666666666666666</v>
      </c>
      <c r="F191" s="245">
        <f>D191-'[6]Oktobris'!D191</f>
        <v>0</v>
      </c>
      <c r="G191" s="215" t="s">
        <v>70</v>
      </c>
      <c r="H191" s="217">
        <f>ROUND(B191/1000,0)</f>
        <v>3</v>
      </c>
      <c r="I191" s="217">
        <f>ROUND(C191/1000,0)</f>
        <v>3</v>
      </c>
      <c r="J191" s="672">
        <f>ROUND(D191/1000,0)</f>
        <v>0</v>
      </c>
      <c r="K191" s="247">
        <f t="shared" si="35"/>
        <v>0</v>
      </c>
      <c r="L191" s="245">
        <f>J191-'[6]Oktobris'!J191</f>
        <v>0</v>
      </c>
      <c r="O191" s="788">
        <f t="shared" si="27"/>
        <v>0</v>
      </c>
      <c r="P191">
        <v>0</v>
      </c>
      <c r="Q191">
        <f t="shared" si="28"/>
        <v>0</v>
      </c>
    </row>
    <row r="192" spans="1:17" ht="12.75" customHeight="1">
      <c r="A192" s="215" t="s">
        <v>978</v>
      </c>
      <c r="B192" s="245">
        <f>B186-B188</f>
        <v>-627422</v>
      </c>
      <c r="C192" s="249">
        <f>C186-C188</f>
        <v>-528375</v>
      </c>
      <c r="D192" s="245">
        <f>D186-D188</f>
        <v>-68110</v>
      </c>
      <c r="E192" s="243">
        <f t="shared" si="34"/>
        <v>10.855532639913806</v>
      </c>
      <c r="F192" s="245">
        <f>D192-'[6]Oktobris'!D192</f>
        <v>1147</v>
      </c>
      <c r="G192" s="215" t="s">
        <v>978</v>
      </c>
      <c r="H192" s="245">
        <f>H186-H188</f>
        <v>-627</v>
      </c>
      <c r="I192" s="217">
        <f>I186-I188</f>
        <v>-528</v>
      </c>
      <c r="J192" s="675">
        <f>J186-J188</f>
        <v>-68</v>
      </c>
      <c r="K192" s="247">
        <f t="shared" si="35"/>
        <v>10.845295055821373</v>
      </c>
      <c r="L192" s="245">
        <f>J192-'[6]Oktobris'!J192</f>
        <v>1</v>
      </c>
      <c r="O192" s="788">
        <f t="shared" si="27"/>
        <v>-68</v>
      </c>
      <c r="P192">
        <v>-69</v>
      </c>
      <c r="Q192">
        <f t="shared" si="28"/>
        <v>1</v>
      </c>
    </row>
    <row r="193" spans="1:17" ht="12.75" customHeight="1">
      <c r="A193" s="215" t="s">
        <v>100</v>
      </c>
      <c r="B193" s="245">
        <v>628375</v>
      </c>
      <c r="C193" s="249">
        <f>628375-100000</f>
        <v>528375</v>
      </c>
      <c r="D193" s="249">
        <f>'[16]novembris'!$P$44</f>
        <v>27435</v>
      </c>
      <c r="E193" s="243">
        <f t="shared" si="34"/>
        <v>4.36602347324448</v>
      </c>
      <c r="F193" s="245">
        <f>D193-'[6]Oktobris'!D193</f>
        <v>0</v>
      </c>
      <c r="G193" s="215" t="s">
        <v>100</v>
      </c>
      <c r="H193" s="217">
        <f>ROUND(B193/1000,0)</f>
        <v>628</v>
      </c>
      <c r="I193" s="217">
        <f>ROUND(C193/1000,0)</f>
        <v>528</v>
      </c>
      <c r="J193" s="672">
        <f>ROUND(D193/1000,0)</f>
        <v>27</v>
      </c>
      <c r="K193" s="247">
        <f t="shared" si="35"/>
        <v>4.2993630573248405</v>
      </c>
      <c r="L193" s="245">
        <f>J193-'[6]Oktobris'!J193</f>
        <v>0</v>
      </c>
      <c r="O193" s="788">
        <f t="shared" si="27"/>
        <v>27</v>
      </c>
      <c r="P193">
        <v>27</v>
      </c>
      <c r="Q193">
        <f t="shared" si="28"/>
        <v>0</v>
      </c>
    </row>
    <row r="194" spans="1:15" ht="12.75" customHeight="1">
      <c r="A194" s="84"/>
      <c r="B194" s="389"/>
      <c r="C194" s="798"/>
      <c r="D194" s="798"/>
      <c r="E194" s="257"/>
      <c r="F194" s="389"/>
      <c r="G194" s="84" t="s">
        <v>476</v>
      </c>
      <c r="H194" s="833"/>
      <c r="I194" s="833"/>
      <c r="J194" s="834"/>
      <c r="K194" s="258"/>
      <c r="L194" s="389"/>
      <c r="O194" s="788"/>
    </row>
    <row r="195" spans="1:12" ht="16.5" customHeight="1">
      <c r="A195" s="84"/>
      <c r="B195" s="389"/>
      <c r="C195" s="798"/>
      <c r="D195" s="798"/>
      <c r="E195" s="257"/>
      <c r="F195" s="389"/>
      <c r="G195" s="426" t="s">
        <v>184</v>
      </c>
      <c r="I195" s="799">
        <v>2441</v>
      </c>
      <c r="J195" s="800" t="s">
        <v>185</v>
      </c>
      <c r="L195" s="389"/>
    </row>
    <row r="196" spans="2:12" ht="17.25" customHeight="1">
      <c r="B196" s="84"/>
      <c r="C196" s="84"/>
      <c r="D196" s="84"/>
      <c r="E196" s="257"/>
      <c r="F196" s="84"/>
      <c r="G196" s="801" t="s">
        <v>186</v>
      </c>
      <c r="H196" s="802"/>
      <c r="I196" s="803">
        <v>500000</v>
      </c>
      <c r="J196" s="678" t="s">
        <v>185</v>
      </c>
      <c r="K196" s="258"/>
      <c r="L196" s="84"/>
    </row>
    <row r="197" spans="1:12" ht="17.25" customHeight="1">
      <c r="A197" s="867"/>
      <c r="B197" s="867"/>
      <c r="C197" s="867"/>
      <c r="D197" s="867"/>
      <c r="E197" s="867"/>
      <c r="F197" s="229"/>
      <c r="G197" s="868" t="s">
        <v>734</v>
      </c>
      <c r="H197" s="868"/>
      <c r="I197" s="868"/>
      <c r="J197" s="744">
        <v>25565</v>
      </c>
      <c r="K197" s="869" t="s">
        <v>133</v>
      </c>
      <c r="L197" s="869"/>
    </row>
    <row r="198" spans="3:12" ht="17.25" customHeight="1">
      <c r="C198" s="259"/>
      <c r="D198" s="259"/>
      <c r="E198" s="257"/>
      <c r="F198" s="229"/>
      <c r="L198" s="229"/>
    </row>
    <row r="199" spans="1:12" ht="17.25" customHeight="1">
      <c r="A199" s="41"/>
      <c r="B199" s="39"/>
      <c r="C199" s="39"/>
      <c r="D199" s="39"/>
      <c r="E199" s="260"/>
      <c r="F199" s="229"/>
      <c r="K199" s="261"/>
      <c r="L199" s="229"/>
    </row>
    <row r="200" spans="5:12" ht="17.25" customHeight="1">
      <c r="E200" s="262"/>
      <c r="F200" s="229"/>
      <c r="K200" s="263"/>
      <c r="L200" s="229"/>
    </row>
    <row r="201" spans="2:12" ht="17.25" customHeight="1">
      <c r="B201" s="229"/>
      <c r="C201" s="229"/>
      <c r="D201" s="229"/>
      <c r="E201" s="262"/>
      <c r="F201" s="229"/>
      <c r="H201" s="229"/>
      <c r="I201" s="229"/>
      <c r="J201" s="681"/>
      <c r="K201" s="263"/>
      <c r="L201" s="229"/>
    </row>
    <row r="202" spans="1:12" ht="17.25" customHeight="1">
      <c r="A202" s="229"/>
      <c r="B202" s="229"/>
      <c r="C202" s="229"/>
      <c r="D202" s="229"/>
      <c r="E202" s="262"/>
      <c r="F202" s="229"/>
      <c r="G202" s="679" t="s">
        <v>551</v>
      </c>
      <c r="H202" s="172"/>
      <c r="I202" s="172"/>
      <c r="J202" s="680" t="s">
        <v>959</v>
      </c>
      <c r="K202" s="263"/>
      <c r="L202" s="229"/>
    </row>
    <row r="203" spans="1:12" ht="17.25" customHeight="1">
      <c r="A203" s="264"/>
      <c r="D203" s="229"/>
      <c r="E203" s="262"/>
      <c r="F203" s="229"/>
      <c r="J203" s="681"/>
      <c r="K203" s="263"/>
      <c r="L203" s="229"/>
    </row>
    <row r="204" spans="1:12" ht="17.25" customHeight="1">
      <c r="A204" s="264"/>
      <c r="B204" s="229"/>
      <c r="C204" s="229"/>
      <c r="D204" s="229"/>
      <c r="E204" s="262"/>
      <c r="F204" s="229"/>
      <c r="H204" s="229"/>
      <c r="I204" s="229"/>
      <c r="J204" s="681"/>
      <c r="K204" s="263"/>
      <c r="L204" s="229"/>
    </row>
    <row r="205" spans="5:12" ht="17.25" customHeight="1">
      <c r="E205" s="262"/>
      <c r="F205" s="229"/>
      <c r="K205" s="263"/>
      <c r="L205" s="229"/>
    </row>
    <row r="206" spans="1:12" ht="17.25" customHeight="1">
      <c r="A206" s="229"/>
      <c r="B206" s="229"/>
      <c r="C206" s="229"/>
      <c r="D206" s="229"/>
      <c r="E206" s="262"/>
      <c r="F206" s="229"/>
      <c r="G206" s="264" t="s">
        <v>134</v>
      </c>
      <c r="H206" s="229"/>
      <c r="I206" s="229"/>
      <c r="J206" s="681"/>
      <c r="K206" s="263"/>
      <c r="L206" s="229"/>
    </row>
    <row r="207" spans="2:12" ht="17.25" customHeight="1">
      <c r="B207" s="229"/>
      <c r="C207" s="229"/>
      <c r="D207" s="229"/>
      <c r="E207" s="262"/>
      <c r="F207" s="229"/>
      <c r="G207" s="264" t="s">
        <v>316</v>
      </c>
      <c r="H207" s="229"/>
      <c r="I207" s="229"/>
      <c r="J207" s="681"/>
      <c r="K207" s="263"/>
      <c r="L207" s="229"/>
    </row>
    <row r="208" ht="17.25" customHeight="1">
      <c r="D208" s="229"/>
    </row>
  </sheetData>
  <mergeCells count="9">
    <mergeCell ref="A197:E197"/>
    <mergeCell ref="G197:I197"/>
    <mergeCell ref="K197:L197"/>
    <mergeCell ref="A2:F2"/>
    <mergeCell ref="G2:L2"/>
    <mergeCell ref="A4:F4"/>
    <mergeCell ref="G4:L4"/>
    <mergeCell ref="A5:F5"/>
    <mergeCell ref="G5:L5"/>
  </mergeCells>
  <printOptions horizontalCentered="1"/>
  <pageMargins left="0.9448818897637796" right="0.35433070866141736" top="0.984251968503937" bottom="0.69" header="0.5118110236220472" footer="0.5118110236220472"/>
  <pageSetup firstPageNumber="16" useFirstPageNumber="1" horizontalDpi="600" verticalDpi="600" orientation="portrait" paperSize="9" scale="87" r:id="rId1"/>
  <headerFooter alignWithMargins="0">
    <oddFooter>&amp;R&amp;9&amp;P</oddFooter>
  </headerFooter>
  <rowBreaks count="3" manualBreakCount="3">
    <brk id="48" min="6" max="11" man="1"/>
    <brk id="100" min="6" max="11" man="1"/>
    <brk id="157" min="6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S92"/>
  <sheetViews>
    <sheetView workbookViewId="0" topLeftCell="H47">
      <selection activeCell="H52" sqref="H52"/>
    </sheetView>
  </sheetViews>
  <sheetFormatPr defaultColWidth="9.140625" defaultRowHeight="17.25" customHeight="1"/>
  <cols>
    <col min="1" max="1" width="40.00390625" style="5" hidden="1" customWidth="1"/>
    <col min="2" max="3" width="13.57421875" style="5" hidden="1" customWidth="1"/>
    <col min="4" max="4" width="14.57421875" style="5" hidden="1" customWidth="1"/>
    <col min="5" max="5" width="9.57421875" style="269" hidden="1" customWidth="1"/>
    <col min="6" max="6" width="11.8515625" style="270" hidden="1" customWidth="1"/>
    <col min="7" max="7" width="13.8515625" style="5" hidden="1" customWidth="1"/>
    <col min="8" max="8" width="35.57421875" style="5" customWidth="1"/>
    <col min="9" max="9" width="12.421875" style="5" customWidth="1"/>
    <col min="10" max="10" width="12.140625" style="5" customWidth="1"/>
    <col min="11" max="11" width="11.140625" style="5" customWidth="1"/>
    <col min="12" max="12" width="11.00390625" style="269" customWidth="1"/>
    <col min="13" max="13" width="11.8515625" style="270" customWidth="1"/>
    <col min="14" max="14" width="12.00390625" style="5" customWidth="1"/>
  </cols>
  <sheetData>
    <row r="1" spans="1:14" ht="17.25" customHeight="1">
      <c r="A1" s="265" t="s">
        <v>135</v>
      </c>
      <c r="B1" s="265"/>
      <c r="C1" s="265"/>
      <c r="D1" s="265"/>
      <c r="E1" s="266"/>
      <c r="F1" s="267"/>
      <c r="G1" s="268" t="s">
        <v>136</v>
      </c>
      <c r="I1" s="265"/>
      <c r="J1" s="265"/>
      <c r="K1" s="265"/>
      <c r="L1" s="266"/>
      <c r="M1" s="267"/>
      <c r="N1" s="268" t="s">
        <v>136</v>
      </c>
    </row>
    <row r="2" spans="8:14" ht="17.25" customHeight="1">
      <c r="H2" s="854" t="s">
        <v>135</v>
      </c>
      <c r="I2" s="854"/>
      <c r="J2" s="854"/>
      <c r="K2" s="854"/>
      <c r="L2" s="854"/>
      <c r="M2" s="854"/>
      <c r="N2" s="854"/>
    </row>
    <row r="4" spans="1:14" ht="17.25" customHeight="1">
      <c r="A4" s="837" t="s">
        <v>137</v>
      </c>
      <c r="B4" s="837"/>
      <c r="C4" s="837"/>
      <c r="D4" s="837"/>
      <c r="E4" s="837"/>
      <c r="F4" s="837"/>
      <c r="G4" s="837"/>
      <c r="H4" s="838" t="s">
        <v>137</v>
      </c>
      <c r="I4" s="838"/>
      <c r="J4" s="838"/>
      <c r="K4" s="838"/>
      <c r="L4" s="838"/>
      <c r="M4" s="838"/>
      <c r="N4" s="838"/>
    </row>
    <row r="5" spans="1:14" ht="17.25" customHeight="1">
      <c r="A5" s="837" t="s">
        <v>138</v>
      </c>
      <c r="B5" s="837"/>
      <c r="C5" s="837"/>
      <c r="D5" s="837"/>
      <c r="E5" s="837"/>
      <c r="F5" s="837"/>
      <c r="G5" s="837"/>
      <c r="H5" s="838" t="s">
        <v>138</v>
      </c>
      <c r="I5" s="838"/>
      <c r="J5" s="838"/>
      <c r="K5" s="838"/>
      <c r="L5" s="838"/>
      <c r="M5" s="838"/>
      <c r="N5" s="838"/>
    </row>
    <row r="6" spans="1:14" ht="17.25" customHeight="1">
      <c r="A6" s="850" t="s">
        <v>318</v>
      </c>
      <c r="B6" s="850"/>
      <c r="C6" s="850"/>
      <c r="D6" s="850"/>
      <c r="E6" s="850"/>
      <c r="F6" s="850"/>
      <c r="G6" s="850"/>
      <c r="H6" s="851" t="s">
        <v>318</v>
      </c>
      <c r="I6" s="851"/>
      <c r="J6" s="851"/>
      <c r="K6" s="851"/>
      <c r="L6" s="851"/>
      <c r="M6" s="851"/>
      <c r="N6" s="851"/>
    </row>
    <row r="7" spans="7:14" ht="17.25" customHeight="1">
      <c r="G7" s="271" t="s">
        <v>63</v>
      </c>
      <c r="N7" s="271" t="s">
        <v>842</v>
      </c>
    </row>
    <row r="8" spans="1:14" ht="76.5" customHeight="1">
      <c r="A8" s="235" t="s">
        <v>738</v>
      </c>
      <c r="B8" s="235" t="s">
        <v>843</v>
      </c>
      <c r="C8" s="235" t="s">
        <v>1043</v>
      </c>
      <c r="D8" s="235" t="s">
        <v>844</v>
      </c>
      <c r="E8" s="272" t="s">
        <v>1044</v>
      </c>
      <c r="F8" s="273" t="s">
        <v>139</v>
      </c>
      <c r="G8" s="9" t="s">
        <v>327</v>
      </c>
      <c r="H8" s="235" t="s">
        <v>738</v>
      </c>
      <c r="I8" s="235" t="s">
        <v>843</v>
      </c>
      <c r="J8" s="235" t="s">
        <v>1043</v>
      </c>
      <c r="K8" s="235" t="s">
        <v>844</v>
      </c>
      <c r="L8" s="272" t="s">
        <v>1044</v>
      </c>
      <c r="M8" s="273" t="s">
        <v>139</v>
      </c>
      <c r="N8" s="9" t="s">
        <v>327</v>
      </c>
    </row>
    <row r="9" spans="1:14" s="49" customFormat="1" ht="12.75">
      <c r="A9" s="274">
        <v>1</v>
      </c>
      <c r="B9" s="274">
        <v>2</v>
      </c>
      <c r="C9" s="274">
        <v>3</v>
      </c>
      <c r="D9" s="274">
        <v>4</v>
      </c>
      <c r="E9" s="275">
        <v>5</v>
      </c>
      <c r="F9" s="276">
        <v>6</v>
      </c>
      <c r="G9" s="274">
        <v>7</v>
      </c>
      <c r="H9" s="274">
        <v>1</v>
      </c>
      <c r="I9" s="274">
        <v>2</v>
      </c>
      <c r="J9" s="274">
        <v>3</v>
      </c>
      <c r="K9" s="274">
        <v>4</v>
      </c>
      <c r="L9" s="275">
        <v>5</v>
      </c>
      <c r="M9" s="276">
        <v>6</v>
      </c>
      <c r="N9" s="274">
        <v>7</v>
      </c>
    </row>
    <row r="10" spans="1:19" ht="17.25" customHeight="1">
      <c r="A10" s="277" t="s">
        <v>140</v>
      </c>
      <c r="B10" s="278">
        <f>SUM(B11:B14)</f>
        <v>727302389</v>
      </c>
      <c r="C10" s="814">
        <f>SUM(C11:C14)</f>
        <v>657558347</v>
      </c>
      <c r="D10" s="278">
        <f>SUM(D11:D14)</f>
        <v>639717710</v>
      </c>
      <c r="E10" s="279">
        <f aca="true" t="shared" si="0" ref="E10:E18">D10/B10*100</f>
        <v>87.95759778536902</v>
      </c>
      <c r="F10" s="280">
        <f aca="true" t="shared" si="1" ref="F10:F18">D10/C10*100</f>
        <v>97.2868359011189</v>
      </c>
      <c r="G10" s="278">
        <f>SUM(G11:G14)</f>
        <v>57344231</v>
      </c>
      <c r="H10" s="277" t="s">
        <v>477</v>
      </c>
      <c r="I10" s="278">
        <f>SUM(I11:I14)</f>
        <v>727302</v>
      </c>
      <c r="J10" s="278">
        <f>SUM(J11:J14)</f>
        <v>657558</v>
      </c>
      <c r="K10" s="281">
        <f>SUM(K11:K14)</f>
        <v>639717</v>
      </c>
      <c r="L10" s="282">
        <f aca="true" t="shared" si="2" ref="L10:L18">K10/I10*100</f>
        <v>87.95754720872485</v>
      </c>
      <c r="M10" s="282">
        <f aca="true" t="shared" si="3" ref="M10:M18">K10/J10*100</f>
        <v>97.28677926509904</v>
      </c>
      <c r="N10" s="278">
        <f>SUM(N11:N14)</f>
        <v>57343</v>
      </c>
      <c r="Q10" s="336">
        <f>K10</f>
        <v>639717</v>
      </c>
      <c r="R10">
        <v>582374</v>
      </c>
      <c r="S10" s="336">
        <f>Q10-R10</f>
        <v>57343</v>
      </c>
    </row>
    <row r="11" spans="1:19" ht="14.25">
      <c r="A11" s="69" t="s">
        <v>141</v>
      </c>
      <c r="B11" s="283">
        <v>721069222</v>
      </c>
      <c r="C11" s="815">
        <f>200495446+37020270+37889203+39825423+40449323+42619883+42381558+43325703+42438340+42421346+41663797+40932826</f>
        <v>651463118</v>
      </c>
      <c r="D11" s="374">
        <f>'[6]novembris'!$D$20+'[6]novembris'!$D$28+'[6]novembris'!$D$40+'[6]novembris'!$D$45+'[6]novembris'!$D$51+'[6]novembris'!$D$58+'[6]novembris'!$D$70+'[6]novembris'!$D$79+'[6]novembris'!$D$80+'[6]novembris'!$D$90+'[6]novembris'!$D$96+'[6]novembris'!$D$104+'[6]novembris'!$D$105+'[6]novembris'!$D$115+'[6]novembris'!$D$171+'[6]novembris'!$D$172+'[6]novembris'!$D$180</f>
        <v>634193597</v>
      </c>
      <c r="E11" s="284">
        <f t="shared" si="0"/>
        <v>87.95183286855087</v>
      </c>
      <c r="F11" s="280">
        <f t="shared" si="1"/>
        <v>97.34911762111452</v>
      </c>
      <c r="G11" s="285">
        <f>D11-'[17]Oktobris'!D11</f>
        <v>56745378</v>
      </c>
      <c r="H11" s="69" t="s">
        <v>141</v>
      </c>
      <c r="I11" s="283">
        <f aca="true" t="shared" si="4" ref="I11:J14">ROUND(B11/1000,0)</f>
        <v>721069</v>
      </c>
      <c r="J11" s="283">
        <f t="shared" si="4"/>
        <v>651463</v>
      </c>
      <c r="K11" s="283">
        <f>ROUND(D11/1000,0)-1</f>
        <v>634193</v>
      </c>
      <c r="L11" s="286">
        <f t="shared" si="2"/>
        <v>87.95177715308799</v>
      </c>
      <c r="M11" s="286">
        <f t="shared" si="3"/>
        <v>97.34904361414233</v>
      </c>
      <c r="N11" s="285">
        <f>K11-'[17]Oktobris'!K11</f>
        <v>56744</v>
      </c>
      <c r="Q11" s="336">
        <f aca="true" t="shared" si="5" ref="Q11:Q51">K11</f>
        <v>634193</v>
      </c>
      <c r="R11">
        <v>577449</v>
      </c>
      <c r="S11" s="336">
        <f aca="true" t="shared" si="6" ref="S11:S51">Q11-R11</f>
        <v>56744</v>
      </c>
    </row>
    <row r="12" spans="1:19" ht="14.25" hidden="1">
      <c r="A12" s="77" t="s">
        <v>142</v>
      </c>
      <c r="B12" s="283"/>
      <c r="C12" s="815"/>
      <c r="D12" s="283"/>
      <c r="E12" s="284" t="e">
        <f t="shared" si="0"/>
        <v>#DIV/0!</v>
      </c>
      <c r="F12" s="280" t="e">
        <f t="shared" si="1"/>
        <v>#DIV/0!</v>
      </c>
      <c r="G12" s="285">
        <f>D12-'[17]Oktobris'!D12</f>
        <v>0</v>
      </c>
      <c r="H12" s="77" t="s">
        <v>142</v>
      </c>
      <c r="I12" s="283">
        <f t="shared" si="4"/>
        <v>0</v>
      </c>
      <c r="J12" s="283">
        <f t="shared" si="4"/>
        <v>0</v>
      </c>
      <c r="K12" s="283">
        <f>ROUND(D12/1000,0)</f>
        <v>0</v>
      </c>
      <c r="L12" s="286" t="e">
        <f t="shared" si="2"/>
        <v>#DIV/0!</v>
      </c>
      <c r="M12" s="286" t="e">
        <f t="shared" si="3"/>
        <v>#DIV/0!</v>
      </c>
      <c r="N12" s="285">
        <f>K12-'[17]Oktobris'!K12</f>
        <v>0</v>
      </c>
      <c r="Q12" s="336">
        <f t="shared" si="5"/>
        <v>0</v>
      </c>
      <c r="R12">
        <v>0</v>
      </c>
      <c r="S12" s="336">
        <f t="shared" si="6"/>
        <v>0</v>
      </c>
    </row>
    <row r="13" spans="1:19" ht="25.5">
      <c r="A13" s="69" t="s">
        <v>972</v>
      </c>
      <c r="B13" s="283">
        <v>3459911</v>
      </c>
      <c r="C13" s="815">
        <v>3321973</v>
      </c>
      <c r="D13" s="283">
        <f>'[6]novembris'!$D$186+'[6]novembris'!$D$173+'[6]novembris'!$D$106+'[6]novembris'!$D$81</f>
        <v>3018354</v>
      </c>
      <c r="E13" s="284">
        <f t="shared" si="0"/>
        <v>87.23790872077345</v>
      </c>
      <c r="F13" s="280">
        <f t="shared" si="1"/>
        <v>90.86028092341509</v>
      </c>
      <c r="G13" s="285">
        <f>D13-'[17]Oktobris'!D13</f>
        <v>447925</v>
      </c>
      <c r="H13" s="69" t="s">
        <v>972</v>
      </c>
      <c r="I13" s="283">
        <f t="shared" si="4"/>
        <v>3460</v>
      </c>
      <c r="J13" s="283">
        <f t="shared" si="4"/>
        <v>3322</v>
      </c>
      <c r="K13" s="283">
        <f>ROUND(D13/1000,0)</f>
        <v>3018</v>
      </c>
      <c r="L13" s="286">
        <f t="shared" si="2"/>
        <v>87.22543352601157</v>
      </c>
      <c r="M13" s="286">
        <f t="shared" si="3"/>
        <v>90.84888621312463</v>
      </c>
      <c r="N13" s="285">
        <f>K13-'[17]Oktobris'!K13</f>
        <v>448</v>
      </c>
      <c r="Q13" s="336">
        <f t="shared" si="5"/>
        <v>3018</v>
      </c>
      <c r="R13">
        <v>2570</v>
      </c>
      <c r="S13" s="336">
        <f t="shared" si="6"/>
        <v>448</v>
      </c>
    </row>
    <row r="14" spans="1:19" ht="14.25">
      <c r="A14" s="69" t="s">
        <v>973</v>
      </c>
      <c r="B14" s="283">
        <f>2605106+168150</f>
        <v>2773256</v>
      </c>
      <c r="C14" s="815">
        <v>2773256</v>
      </c>
      <c r="D14" s="283">
        <f>SUM('[6]novembris'!$D$82,'[6]novembris'!$D$107+'[6]novembris'!$D$174)</f>
        <v>2505759</v>
      </c>
      <c r="E14" s="284">
        <f t="shared" si="0"/>
        <v>90.3544065171048</v>
      </c>
      <c r="F14" s="280">
        <f t="shared" si="1"/>
        <v>90.3544065171048</v>
      </c>
      <c r="G14" s="285">
        <f>D14-'[17]Oktobris'!D14</f>
        <v>150928</v>
      </c>
      <c r="H14" s="69" t="s">
        <v>973</v>
      </c>
      <c r="I14" s="283">
        <f t="shared" si="4"/>
        <v>2773</v>
      </c>
      <c r="J14" s="283">
        <f t="shared" si="4"/>
        <v>2773</v>
      </c>
      <c r="K14" s="283">
        <f>ROUND(D14/1000,0)</f>
        <v>2506</v>
      </c>
      <c r="L14" s="286">
        <f t="shared" si="2"/>
        <v>90.37143887486477</v>
      </c>
      <c r="M14" s="286">
        <f t="shared" si="3"/>
        <v>90.37143887486477</v>
      </c>
      <c r="N14" s="285">
        <f>K14-'[17]Oktobris'!K14</f>
        <v>151</v>
      </c>
      <c r="Q14" s="336">
        <f t="shared" si="5"/>
        <v>2506</v>
      </c>
      <c r="R14">
        <v>2355</v>
      </c>
      <c r="S14" s="336">
        <f t="shared" si="6"/>
        <v>151</v>
      </c>
    </row>
    <row r="15" spans="1:19" ht="17.25" customHeight="1">
      <c r="A15" s="277" t="s">
        <v>1053</v>
      </c>
      <c r="B15" s="287">
        <f>B16+B42</f>
        <v>769845749</v>
      </c>
      <c r="C15" s="816">
        <f>SUM(C16,C42)</f>
        <v>710289446</v>
      </c>
      <c r="D15" s="287">
        <f>SUM(D16,D42)</f>
        <v>661236901.16</v>
      </c>
      <c r="E15" s="279">
        <f t="shared" si="0"/>
        <v>85.89212865290499</v>
      </c>
      <c r="F15" s="280">
        <f t="shared" si="1"/>
        <v>93.09400623700101</v>
      </c>
      <c r="G15" s="288">
        <f>SUM(G16,G42)</f>
        <v>61090486.16</v>
      </c>
      <c r="H15" s="277" t="s">
        <v>1053</v>
      </c>
      <c r="I15" s="281">
        <f>SUM(I42,I16)</f>
        <v>770013</v>
      </c>
      <c r="J15" s="281">
        <f>J16+J42</f>
        <v>710289</v>
      </c>
      <c r="K15" s="281">
        <f>SUM(K42,K16)</f>
        <v>661236</v>
      </c>
      <c r="L15" s="282">
        <f t="shared" si="2"/>
        <v>85.87335538490909</v>
      </c>
      <c r="M15" s="282">
        <f t="shared" si="3"/>
        <v>93.09393781967621</v>
      </c>
      <c r="N15" s="287">
        <f>SUM(N16,N42)</f>
        <v>61089</v>
      </c>
      <c r="Q15" s="336">
        <f t="shared" si="5"/>
        <v>661236</v>
      </c>
      <c r="R15">
        <v>600147</v>
      </c>
      <c r="S15" s="336">
        <f t="shared" si="6"/>
        <v>61089</v>
      </c>
    </row>
    <row r="16" spans="1:19" ht="17.25" customHeight="1">
      <c r="A16" s="289" t="s">
        <v>143</v>
      </c>
      <c r="B16" s="290">
        <v>736820824</v>
      </c>
      <c r="C16" s="817">
        <f>SUM(C17,C22,C25)</f>
        <v>678944717</v>
      </c>
      <c r="D16" s="290">
        <f>SUM(D17,D22,D25)</f>
        <v>639748347.16</v>
      </c>
      <c r="E16" s="279">
        <f t="shared" si="0"/>
        <v>86.82549764092985</v>
      </c>
      <c r="F16" s="280">
        <f t="shared" si="1"/>
        <v>94.2268687186795</v>
      </c>
      <c r="G16" s="291">
        <f>SUM(G17,G22,G25)</f>
        <v>58397433.16</v>
      </c>
      <c r="H16" s="289" t="s">
        <v>143</v>
      </c>
      <c r="I16" s="281">
        <v>736988</v>
      </c>
      <c r="J16" s="281">
        <f>ROUND(C16/1000,0)-1</f>
        <v>678944</v>
      </c>
      <c r="K16" s="281">
        <f>SUM(K25,K22,K17)</f>
        <v>639749</v>
      </c>
      <c r="L16" s="282">
        <f t="shared" si="2"/>
        <v>86.80589100500958</v>
      </c>
      <c r="M16" s="282">
        <f t="shared" si="3"/>
        <v>94.22706438233493</v>
      </c>
      <c r="N16" s="281">
        <f>SUM(N25,N22,N17)</f>
        <v>58398</v>
      </c>
      <c r="Q16" s="336">
        <f t="shared" si="5"/>
        <v>639749</v>
      </c>
      <c r="R16">
        <v>581351</v>
      </c>
      <c r="S16" s="336">
        <f t="shared" si="6"/>
        <v>58398</v>
      </c>
    </row>
    <row r="17" spans="1:19" ht="17.25" customHeight="1">
      <c r="A17" s="289" t="s">
        <v>1055</v>
      </c>
      <c r="B17" s="290">
        <v>31334901</v>
      </c>
      <c r="C17" s="817">
        <f>29104271+10782</f>
        <v>29115053</v>
      </c>
      <c r="D17" s="290">
        <f>'[16]novembris'!$Z$9</f>
        <v>26677623.16</v>
      </c>
      <c r="E17" s="279">
        <f t="shared" si="0"/>
        <v>85.13709093895015</v>
      </c>
      <c r="F17" s="280">
        <f t="shared" si="1"/>
        <v>91.62828300535809</v>
      </c>
      <c r="G17" s="285">
        <f>G18+G19+G20+G21</f>
        <v>2432385.16</v>
      </c>
      <c r="H17" s="289" t="s">
        <v>1055</v>
      </c>
      <c r="I17" s="281">
        <f>ROUND(B17/1000,0)</f>
        <v>31335</v>
      </c>
      <c r="J17" s="281">
        <f>ROUND(C17/1000,0)</f>
        <v>29115</v>
      </c>
      <c r="K17" s="281">
        <f>SUM(K18:K21)</f>
        <v>26678</v>
      </c>
      <c r="L17" s="282">
        <f t="shared" si="2"/>
        <v>85.138024573161</v>
      </c>
      <c r="M17" s="282">
        <f t="shared" si="3"/>
        <v>91.62974411815216</v>
      </c>
      <c r="N17" s="281">
        <f>SUM(N18:N21)</f>
        <v>2434</v>
      </c>
      <c r="Q17" s="336">
        <f t="shared" si="5"/>
        <v>26678</v>
      </c>
      <c r="R17">
        <v>24244</v>
      </c>
      <c r="S17" s="336">
        <f t="shared" si="6"/>
        <v>2434</v>
      </c>
    </row>
    <row r="18" spans="1:19" ht="15">
      <c r="A18" s="215" t="s">
        <v>144</v>
      </c>
      <c r="B18" s="292">
        <v>1539261</v>
      </c>
      <c r="C18" s="818">
        <v>1404150</v>
      </c>
      <c r="D18" s="682">
        <f>'[16]novembris'!$Z$10</f>
        <v>1364304</v>
      </c>
      <c r="E18" s="279">
        <f t="shared" si="0"/>
        <v>88.63370149701707</v>
      </c>
      <c r="F18" s="280">
        <f t="shared" si="1"/>
        <v>97.16226898835595</v>
      </c>
      <c r="G18" s="285">
        <f>D18-'[17]Oktobris'!D18</f>
        <v>239185</v>
      </c>
      <c r="H18" s="215" t="s">
        <v>144</v>
      </c>
      <c r="I18" s="283">
        <f>ROUND(B18/1000,0)</f>
        <v>1539</v>
      </c>
      <c r="J18" s="283">
        <f>ROUND(C18/1000,0)</f>
        <v>1404</v>
      </c>
      <c r="K18" s="283">
        <f>ROUND(D18/1000,0)</f>
        <v>1364</v>
      </c>
      <c r="L18" s="286">
        <f t="shared" si="2"/>
        <v>88.62897985705003</v>
      </c>
      <c r="M18" s="286">
        <f t="shared" si="3"/>
        <v>97.15099715099716</v>
      </c>
      <c r="N18" s="285">
        <f>K18-'[17]Oktobris'!K18</f>
        <v>239</v>
      </c>
      <c r="Q18" s="336">
        <f t="shared" si="5"/>
        <v>1364</v>
      </c>
      <c r="R18">
        <v>1125</v>
      </c>
      <c r="S18" s="336">
        <f t="shared" si="6"/>
        <v>239</v>
      </c>
    </row>
    <row r="19" spans="1:19" ht="26.25">
      <c r="A19" s="69" t="s">
        <v>145</v>
      </c>
      <c r="B19" s="293" t="s">
        <v>744</v>
      </c>
      <c r="C19" s="819" t="s">
        <v>744</v>
      </c>
      <c r="D19" s="682">
        <f>'[16]novembris'!$Z$11</f>
        <v>344274</v>
      </c>
      <c r="E19" s="279"/>
      <c r="F19" s="112" t="s">
        <v>744</v>
      </c>
      <c r="G19" s="285">
        <f>D19-'[17]Oktobris'!D19</f>
        <v>58351</v>
      </c>
      <c r="H19" s="69" t="s">
        <v>145</v>
      </c>
      <c r="I19" s="293" t="s">
        <v>744</v>
      </c>
      <c r="J19" s="293" t="s">
        <v>744</v>
      </c>
      <c r="K19" s="283">
        <f>ROUND(D19/1000,0)</f>
        <v>344</v>
      </c>
      <c r="L19" s="294" t="s">
        <v>744</v>
      </c>
      <c r="M19" s="294" t="s">
        <v>744</v>
      </c>
      <c r="N19" s="285">
        <f>K19-'[17]Oktobris'!K19</f>
        <v>58</v>
      </c>
      <c r="Q19" s="336">
        <f t="shared" si="5"/>
        <v>344</v>
      </c>
      <c r="R19">
        <v>286</v>
      </c>
      <c r="S19" s="336">
        <f t="shared" si="6"/>
        <v>58</v>
      </c>
    </row>
    <row r="20" spans="1:19" ht="15">
      <c r="A20" s="69" t="s">
        <v>146</v>
      </c>
      <c r="B20" s="293" t="s">
        <v>744</v>
      </c>
      <c r="C20" s="819"/>
      <c r="D20" s="283">
        <f>'[16]novembris'!$Z$12</f>
        <v>19826001.16</v>
      </c>
      <c r="E20" s="279"/>
      <c r="F20" s="280" t="e">
        <f>D20/C20*100</f>
        <v>#DIV/0!</v>
      </c>
      <c r="G20" s="285">
        <f>D20-'[17]Oktobris'!D20</f>
        <v>1603611.1600000001</v>
      </c>
      <c r="H20" s="69" t="s">
        <v>146</v>
      </c>
      <c r="I20" s="293" t="s">
        <v>744</v>
      </c>
      <c r="J20" s="283">
        <v>27711</v>
      </c>
      <c r="K20" s="283">
        <f>ROUND(D20/1000,0)+1</f>
        <v>19827</v>
      </c>
      <c r="L20" s="294" t="s">
        <v>744</v>
      </c>
      <c r="M20" s="286">
        <f>K20/J20*100</f>
        <v>71.5492042871062</v>
      </c>
      <c r="N20" s="285">
        <f>K20-'[17]Oktobris'!K20</f>
        <v>1605</v>
      </c>
      <c r="Q20" s="336">
        <f t="shared" si="5"/>
        <v>19827</v>
      </c>
      <c r="R20">
        <v>18222</v>
      </c>
      <c r="S20" s="336">
        <f t="shared" si="6"/>
        <v>1605</v>
      </c>
    </row>
    <row r="21" spans="1:19" ht="15">
      <c r="A21" s="69" t="s">
        <v>147</v>
      </c>
      <c r="B21" s="293">
        <v>5690057</v>
      </c>
      <c r="C21" s="819" t="s">
        <v>744</v>
      </c>
      <c r="D21" s="283">
        <f>'[16]novembris'!$Z$15</f>
        <v>5143044</v>
      </c>
      <c r="E21" s="279">
        <f>D21/B21*100</f>
        <v>90.3865110665851</v>
      </c>
      <c r="F21" s="112" t="s">
        <v>744</v>
      </c>
      <c r="G21" s="285">
        <f>D21-'[17]Oktobris'!D21</f>
        <v>531238</v>
      </c>
      <c r="H21" s="69" t="s">
        <v>147</v>
      </c>
      <c r="I21" s="283">
        <f>ROUND(B21/1000,0)</f>
        <v>5690</v>
      </c>
      <c r="J21" s="293" t="s">
        <v>744</v>
      </c>
      <c r="K21" s="682">
        <f>ROUND(D21/1000,0)</f>
        <v>5143</v>
      </c>
      <c r="L21" s="286">
        <f>K21/I21*100</f>
        <v>90.38664323374341</v>
      </c>
      <c r="M21" s="294" t="s">
        <v>744</v>
      </c>
      <c r="N21" s="285">
        <f>K21-'[17]Oktobris'!K21</f>
        <v>532</v>
      </c>
      <c r="Q21" s="336">
        <f t="shared" si="5"/>
        <v>5143</v>
      </c>
      <c r="R21">
        <v>4611</v>
      </c>
      <c r="S21" s="336">
        <f t="shared" si="6"/>
        <v>532</v>
      </c>
    </row>
    <row r="22" spans="1:19" ht="30">
      <c r="A22" s="295" t="s">
        <v>1059</v>
      </c>
      <c r="B22" s="278">
        <v>8594114</v>
      </c>
      <c r="C22" s="814">
        <f>4305046+1126661+1277020+119000+1267640+267341+64273+110384</f>
        <v>8537365</v>
      </c>
      <c r="D22" s="296">
        <f>'[16]novembris'!$Z$16</f>
        <v>8277483</v>
      </c>
      <c r="E22" s="279">
        <f>D22/B22*100</f>
        <v>96.31572259804791</v>
      </c>
      <c r="F22" s="280">
        <f>D22/C22*100</f>
        <v>96.95594600910235</v>
      </c>
      <c r="G22" s="285">
        <f>G23+G24</f>
        <v>267509</v>
      </c>
      <c r="H22" s="295" t="s">
        <v>1059</v>
      </c>
      <c r="I22" s="281">
        <f>ROUND(B22/1000,0)</f>
        <v>8594</v>
      </c>
      <c r="J22" s="281">
        <f>ROUND(C22/1000,0)</f>
        <v>8537</v>
      </c>
      <c r="K22" s="281">
        <f>SUM(K23:K24)</f>
        <v>8277</v>
      </c>
      <c r="L22" s="282">
        <f>K22/I22*100</f>
        <v>96.31138003258087</v>
      </c>
      <c r="M22" s="282">
        <f>K22/J22*100</f>
        <v>96.95443364179455</v>
      </c>
      <c r="N22" s="281">
        <f>SUM(N23:N24)</f>
        <v>267</v>
      </c>
      <c r="Q22" s="336">
        <f t="shared" si="5"/>
        <v>8277</v>
      </c>
      <c r="R22">
        <v>8010</v>
      </c>
      <c r="S22" s="336">
        <f t="shared" si="6"/>
        <v>267</v>
      </c>
    </row>
    <row r="23" spans="1:19" ht="26.25">
      <c r="A23" s="69" t="s">
        <v>148</v>
      </c>
      <c r="B23" s="293" t="s">
        <v>744</v>
      </c>
      <c r="C23" s="819" t="s">
        <v>744</v>
      </c>
      <c r="D23" s="297">
        <f>'[16]novembris'!$Z$17</f>
        <v>5841375</v>
      </c>
      <c r="E23" s="279"/>
      <c r="F23" s="112" t="s">
        <v>744</v>
      </c>
      <c r="G23" s="285">
        <f>D23-'[17]Oktobris'!D23</f>
        <v>147995</v>
      </c>
      <c r="H23" s="69" t="s">
        <v>148</v>
      </c>
      <c r="I23" s="293" t="s">
        <v>744</v>
      </c>
      <c r="J23" s="293" t="s">
        <v>744</v>
      </c>
      <c r="K23" s="283">
        <f>ROUND(D23/1000,0)</f>
        <v>5841</v>
      </c>
      <c r="L23" s="294" t="s">
        <v>744</v>
      </c>
      <c r="M23" s="294" t="s">
        <v>744</v>
      </c>
      <c r="N23" s="285">
        <f>K23-'[17]Oktobris'!K23</f>
        <v>148</v>
      </c>
      <c r="Q23" s="336">
        <f t="shared" si="5"/>
        <v>5841</v>
      </c>
      <c r="R23">
        <v>5693</v>
      </c>
      <c r="S23" s="336">
        <f t="shared" si="6"/>
        <v>148</v>
      </c>
    </row>
    <row r="24" spans="1:19" ht="26.25">
      <c r="A24" s="69" t="s">
        <v>149</v>
      </c>
      <c r="B24" s="293" t="s">
        <v>744</v>
      </c>
      <c r="C24" s="819" t="s">
        <v>744</v>
      </c>
      <c r="D24" s="298">
        <f>'[16]novembris'!$Z$18</f>
        <v>2436108</v>
      </c>
      <c r="E24" s="279"/>
      <c r="F24" s="112" t="s">
        <v>744</v>
      </c>
      <c r="G24" s="285">
        <f>D24-'[17]Oktobris'!D24</f>
        <v>119514</v>
      </c>
      <c r="H24" s="69" t="s">
        <v>149</v>
      </c>
      <c r="I24" s="293" t="s">
        <v>744</v>
      </c>
      <c r="J24" s="293" t="s">
        <v>744</v>
      </c>
      <c r="K24" s="283">
        <f>ROUND(D24/1000,0)</f>
        <v>2436</v>
      </c>
      <c r="L24" s="294" t="s">
        <v>744</v>
      </c>
      <c r="M24" s="294" t="s">
        <v>744</v>
      </c>
      <c r="N24" s="285">
        <f>K24-'[17]Oktobris'!K24</f>
        <v>119</v>
      </c>
      <c r="Q24" s="336">
        <f t="shared" si="5"/>
        <v>2436</v>
      </c>
      <c r="R24">
        <v>2317</v>
      </c>
      <c r="S24" s="336">
        <f t="shared" si="6"/>
        <v>119</v>
      </c>
    </row>
    <row r="25" spans="1:19" ht="17.25" customHeight="1">
      <c r="A25" s="32" t="s">
        <v>3</v>
      </c>
      <c r="B25" s="281">
        <v>696891809</v>
      </c>
      <c r="C25" s="820">
        <f>SUM(C26,C33,C34,C35,C40,C41)</f>
        <v>641292299</v>
      </c>
      <c r="D25" s="299">
        <f>SUM(D26,D28,D33,D34,D35,D40,D41)</f>
        <v>604793241</v>
      </c>
      <c r="E25" s="279">
        <f>D25/B25*100</f>
        <v>86.78438075887904</v>
      </c>
      <c r="F25" s="280">
        <f>D25/C25*100</f>
        <v>94.30851453277782</v>
      </c>
      <c r="G25" s="285">
        <f>D25-'[17]Oktobris'!D25</f>
        <v>55697539</v>
      </c>
      <c r="H25" s="32" t="s">
        <v>478</v>
      </c>
      <c r="I25" s="281">
        <v>697060</v>
      </c>
      <c r="J25" s="281">
        <f>ROUND(C25/1000,0)</f>
        <v>641292</v>
      </c>
      <c r="K25" s="299">
        <f>SUM(K26,K28,K33,K34,K35,K40,K41)</f>
        <v>604794</v>
      </c>
      <c r="L25" s="282">
        <f>K25/I25*100</f>
        <v>86.76354976616074</v>
      </c>
      <c r="M25" s="282">
        <f>K25/J25*100</f>
        <v>94.30867685859172</v>
      </c>
      <c r="N25" s="299">
        <f>SUM(N26,N28,N33,N34,N35,N40,N41)</f>
        <v>55697</v>
      </c>
      <c r="Q25" s="336">
        <f t="shared" si="5"/>
        <v>604794</v>
      </c>
      <c r="R25">
        <v>549097</v>
      </c>
      <c r="S25" s="336">
        <f t="shared" si="6"/>
        <v>55697</v>
      </c>
    </row>
    <row r="26" spans="1:19" ht="14.25">
      <c r="A26" s="215" t="s">
        <v>150</v>
      </c>
      <c r="B26" s="293" t="s">
        <v>744</v>
      </c>
      <c r="C26" s="819">
        <v>24872595</v>
      </c>
      <c r="D26" s="300">
        <f>'[16]novembris'!$Z$20+'[16]novembris'!$Z$30</f>
        <v>5805695</v>
      </c>
      <c r="E26" s="112" t="s">
        <v>744</v>
      </c>
      <c r="F26" s="280">
        <f>D26/C26*100</f>
        <v>23.341734145552564</v>
      </c>
      <c r="G26" s="285">
        <f>D26-'[17]Oktobris'!D26</f>
        <v>467793</v>
      </c>
      <c r="H26" s="215" t="s">
        <v>150</v>
      </c>
      <c r="I26" s="293" t="s">
        <v>744</v>
      </c>
      <c r="J26" s="283">
        <f>ROUND(C26/1000,0)</f>
        <v>24873</v>
      </c>
      <c r="K26" s="283">
        <f>ROUND(D26/1000,0)</f>
        <v>5806</v>
      </c>
      <c r="L26" s="294" t="s">
        <v>744</v>
      </c>
      <c r="M26" s="286">
        <f>K26/J26*100</f>
        <v>23.342580307964457</v>
      </c>
      <c r="N26" s="285">
        <f>K26-'[17]Oktobris'!K26</f>
        <v>468</v>
      </c>
      <c r="Q26" s="336">
        <f t="shared" si="5"/>
        <v>5806</v>
      </c>
      <c r="R26">
        <v>5338</v>
      </c>
      <c r="S26" s="336">
        <f t="shared" si="6"/>
        <v>468</v>
      </c>
    </row>
    <row r="27" spans="1:19" ht="14.25">
      <c r="A27" s="248" t="s">
        <v>151</v>
      </c>
      <c r="B27" s="293" t="s">
        <v>744</v>
      </c>
      <c r="C27" s="819" t="s">
        <v>744</v>
      </c>
      <c r="D27" s="301">
        <v>3424191</v>
      </c>
      <c r="E27" s="112" t="s">
        <v>744</v>
      </c>
      <c r="F27" s="112" t="s">
        <v>744</v>
      </c>
      <c r="G27" s="285">
        <f>D27-'[17]Oktobris'!D27</f>
        <v>207277</v>
      </c>
      <c r="H27" s="248" t="s">
        <v>152</v>
      </c>
      <c r="I27" s="293" t="s">
        <v>744</v>
      </c>
      <c r="J27" s="293" t="s">
        <v>744</v>
      </c>
      <c r="K27" s="283">
        <f aca="true" t="shared" si="7" ref="K27:K34">ROUND(D27/1000,0)</f>
        <v>3424</v>
      </c>
      <c r="L27" s="294" t="s">
        <v>744</v>
      </c>
      <c r="M27" s="294" t="s">
        <v>744</v>
      </c>
      <c r="N27" s="285">
        <f>K27-'[17]Oktobris'!K27</f>
        <v>207</v>
      </c>
      <c r="Q27" s="336">
        <f t="shared" si="5"/>
        <v>3424</v>
      </c>
      <c r="R27">
        <v>3217</v>
      </c>
      <c r="S27" s="336">
        <f t="shared" si="6"/>
        <v>207</v>
      </c>
    </row>
    <row r="28" spans="1:19" ht="14.25">
      <c r="A28" s="215" t="s">
        <v>153</v>
      </c>
      <c r="B28" s="293" t="s">
        <v>744</v>
      </c>
      <c r="C28" s="819" t="s">
        <v>744</v>
      </c>
      <c r="D28" s="300">
        <f>'[16]novembris'!$Z$21</f>
        <v>15475316</v>
      </c>
      <c r="E28" s="112" t="s">
        <v>744</v>
      </c>
      <c r="F28" s="112" t="s">
        <v>744</v>
      </c>
      <c r="G28" s="285">
        <f>D28-'[17]Oktobris'!D28</f>
        <v>1560075</v>
      </c>
      <c r="H28" s="215" t="s">
        <v>153</v>
      </c>
      <c r="I28" s="293" t="s">
        <v>744</v>
      </c>
      <c r="J28" s="293" t="s">
        <v>744</v>
      </c>
      <c r="K28" s="283">
        <f t="shared" si="7"/>
        <v>15475</v>
      </c>
      <c r="L28" s="294" t="s">
        <v>744</v>
      </c>
      <c r="M28" s="294" t="s">
        <v>744</v>
      </c>
      <c r="N28" s="285">
        <f>K28-'[17]Oktobris'!K28</f>
        <v>1560</v>
      </c>
      <c r="Q28" s="336">
        <f t="shared" si="5"/>
        <v>15475</v>
      </c>
      <c r="R28">
        <v>13915</v>
      </c>
      <c r="S28" s="336">
        <f t="shared" si="6"/>
        <v>1560</v>
      </c>
    </row>
    <row r="29" spans="1:19" ht="14.25">
      <c r="A29" s="248" t="s">
        <v>154</v>
      </c>
      <c r="B29" s="293" t="s">
        <v>744</v>
      </c>
      <c r="C29" s="819" t="s">
        <v>744</v>
      </c>
      <c r="D29" s="301">
        <v>10797120</v>
      </c>
      <c r="E29" s="112" t="s">
        <v>744</v>
      </c>
      <c r="F29" s="112" t="s">
        <v>744</v>
      </c>
      <c r="G29" s="285">
        <f>D29-'[17]Oktobris'!D29</f>
        <v>897518</v>
      </c>
      <c r="H29" s="248" t="s">
        <v>155</v>
      </c>
      <c r="I29" s="293" t="s">
        <v>744</v>
      </c>
      <c r="J29" s="293" t="s">
        <v>744</v>
      </c>
      <c r="K29" s="283">
        <f t="shared" si="7"/>
        <v>10797</v>
      </c>
      <c r="L29" s="294" t="s">
        <v>744</v>
      </c>
      <c r="M29" s="294" t="s">
        <v>744</v>
      </c>
      <c r="N29" s="285">
        <f>K29-'[17]Oktobris'!K29</f>
        <v>897</v>
      </c>
      <c r="Q29" s="336">
        <f t="shared" si="5"/>
        <v>10797</v>
      </c>
      <c r="R29">
        <v>9900</v>
      </c>
      <c r="S29" s="336">
        <f t="shared" si="6"/>
        <v>897</v>
      </c>
    </row>
    <row r="30" spans="1:19" ht="25.5">
      <c r="A30" s="77" t="s">
        <v>156</v>
      </c>
      <c r="B30" s="293" t="s">
        <v>744</v>
      </c>
      <c r="C30" s="819" t="s">
        <v>744</v>
      </c>
      <c r="D30" s="300">
        <f>SUM(D31:D32)</f>
        <v>4678196</v>
      </c>
      <c r="E30" s="112" t="s">
        <v>744</v>
      </c>
      <c r="F30" s="112" t="s">
        <v>744</v>
      </c>
      <c r="G30" s="285">
        <f>D30-'[17]Oktobris'!D30</f>
        <v>662557</v>
      </c>
      <c r="H30" s="77" t="s">
        <v>157</v>
      </c>
      <c r="I30" s="293" t="s">
        <v>744</v>
      </c>
      <c r="J30" s="293" t="s">
        <v>744</v>
      </c>
      <c r="K30" s="283">
        <f t="shared" si="7"/>
        <v>4678</v>
      </c>
      <c r="L30" s="294" t="s">
        <v>744</v>
      </c>
      <c r="M30" s="294" t="s">
        <v>744</v>
      </c>
      <c r="N30" s="285">
        <f>K30-'[17]Oktobris'!K30</f>
        <v>663</v>
      </c>
      <c r="Q30" s="336">
        <f t="shared" si="5"/>
        <v>4678</v>
      </c>
      <c r="R30">
        <v>4015</v>
      </c>
      <c r="S30" s="336">
        <f t="shared" si="6"/>
        <v>663</v>
      </c>
    </row>
    <row r="31" spans="1:19" ht="14.25">
      <c r="A31" s="302" t="s">
        <v>158</v>
      </c>
      <c r="B31" s="293" t="s">
        <v>744</v>
      </c>
      <c r="C31" s="819" t="s">
        <v>744</v>
      </c>
      <c r="D31" s="300">
        <v>2394111</v>
      </c>
      <c r="E31" s="112" t="s">
        <v>744</v>
      </c>
      <c r="F31" s="112" t="s">
        <v>744</v>
      </c>
      <c r="G31" s="285">
        <f>D31-'[17]Oktobris'!D31</f>
        <v>439558</v>
      </c>
      <c r="H31" s="302" t="s">
        <v>159</v>
      </c>
      <c r="I31" s="293" t="s">
        <v>744</v>
      </c>
      <c r="J31" s="293" t="s">
        <v>744</v>
      </c>
      <c r="K31" s="283">
        <f t="shared" si="7"/>
        <v>2394</v>
      </c>
      <c r="L31" s="294" t="s">
        <v>744</v>
      </c>
      <c r="M31" s="294" t="s">
        <v>744</v>
      </c>
      <c r="N31" s="285">
        <f>K31-'[17]Oktobris'!K31</f>
        <v>440</v>
      </c>
      <c r="Q31" s="336">
        <f t="shared" si="5"/>
        <v>2394</v>
      </c>
      <c r="R31">
        <v>1954</v>
      </c>
      <c r="S31" s="336">
        <f t="shared" si="6"/>
        <v>440</v>
      </c>
    </row>
    <row r="32" spans="1:19" ht="14.25">
      <c r="A32" s="302" t="s">
        <v>160</v>
      </c>
      <c r="B32" s="293" t="s">
        <v>744</v>
      </c>
      <c r="C32" s="819" t="s">
        <v>744</v>
      </c>
      <c r="D32" s="300">
        <v>2284085</v>
      </c>
      <c r="E32" s="112" t="s">
        <v>744</v>
      </c>
      <c r="F32" s="112" t="s">
        <v>744</v>
      </c>
      <c r="G32" s="285">
        <f>D32-'[17]Oktobris'!D32</f>
        <v>222999</v>
      </c>
      <c r="H32" s="302" t="s">
        <v>161</v>
      </c>
      <c r="I32" s="293" t="s">
        <v>744</v>
      </c>
      <c r="J32" s="293" t="s">
        <v>744</v>
      </c>
      <c r="K32" s="283">
        <f t="shared" si="7"/>
        <v>2284</v>
      </c>
      <c r="L32" s="294" t="s">
        <v>744</v>
      </c>
      <c r="M32" s="294" t="s">
        <v>744</v>
      </c>
      <c r="N32" s="285">
        <f>K32-'[17]Oktobris'!K32</f>
        <v>223</v>
      </c>
      <c r="Q32" s="336">
        <f t="shared" si="5"/>
        <v>2284</v>
      </c>
      <c r="R32">
        <v>2061</v>
      </c>
      <c r="S32" s="336">
        <f t="shared" si="6"/>
        <v>223</v>
      </c>
    </row>
    <row r="33" spans="1:19" ht="14.25">
      <c r="A33" s="215" t="s">
        <v>162</v>
      </c>
      <c r="B33" s="303" t="s">
        <v>744</v>
      </c>
      <c r="C33" s="821" t="s">
        <v>744</v>
      </c>
      <c r="D33" s="300">
        <v>0</v>
      </c>
      <c r="E33" s="112" t="s">
        <v>744</v>
      </c>
      <c r="F33" s="112" t="s">
        <v>744</v>
      </c>
      <c r="G33" s="285">
        <f>D33-'[17]Oktobris'!D33</f>
        <v>0</v>
      </c>
      <c r="H33" s="215" t="s">
        <v>162</v>
      </c>
      <c r="I33" s="303" t="s">
        <v>744</v>
      </c>
      <c r="J33" s="303" t="s">
        <v>744</v>
      </c>
      <c r="K33" s="809">
        <f t="shared" si="7"/>
        <v>0</v>
      </c>
      <c r="L33" s="294" t="s">
        <v>744</v>
      </c>
      <c r="M33" s="294" t="s">
        <v>744</v>
      </c>
      <c r="N33" s="809">
        <f>K33-'[17]Oktobris'!K33</f>
        <v>0</v>
      </c>
      <c r="Q33" s="336">
        <f t="shared" si="5"/>
        <v>0</v>
      </c>
      <c r="R33">
        <v>0</v>
      </c>
      <c r="S33" s="336">
        <f t="shared" si="6"/>
        <v>0</v>
      </c>
    </row>
    <row r="34" spans="1:19" ht="26.25">
      <c r="A34" s="69" t="s">
        <v>163</v>
      </c>
      <c r="B34" s="293">
        <v>159181838</v>
      </c>
      <c r="C34" s="822">
        <f>136059461+653315+1118302+1128230+1094947+1111947+1096947+1244948+1161948+1147448+1139948+1156448</f>
        <v>148113889</v>
      </c>
      <c r="D34" s="300">
        <f>'[16]novembris'!$Z$23-D41</f>
        <v>141114511</v>
      </c>
      <c r="E34" s="279">
        <f>D34/B34*100</f>
        <v>88.64988165295591</v>
      </c>
      <c r="F34" s="280">
        <f>D34/C34*100</f>
        <v>95.27432704167265</v>
      </c>
      <c r="G34" s="285">
        <f>D34-'[17]Oktobris'!D34</f>
        <v>13299892</v>
      </c>
      <c r="H34" s="69" t="s">
        <v>163</v>
      </c>
      <c r="I34" s="283">
        <f>ROUND(B34/1000,0)</f>
        <v>159182</v>
      </c>
      <c r="J34" s="283">
        <f>ROUND(C34/1000,0)</f>
        <v>148114</v>
      </c>
      <c r="K34" s="283">
        <f t="shared" si="7"/>
        <v>141115</v>
      </c>
      <c r="L34" s="286">
        <f>K34/I34*100</f>
        <v>88.650098629242</v>
      </c>
      <c r="M34" s="286">
        <f>K34/J34*100</f>
        <v>95.27458579202505</v>
      </c>
      <c r="N34" s="285">
        <f>K34-'[17]Oktobris'!K34</f>
        <v>13300</v>
      </c>
      <c r="Q34" s="336">
        <f t="shared" si="5"/>
        <v>141115</v>
      </c>
      <c r="R34">
        <v>127815</v>
      </c>
      <c r="S34" s="336">
        <f t="shared" si="6"/>
        <v>13300</v>
      </c>
    </row>
    <row r="35" spans="1:19" ht="17.25" customHeight="1">
      <c r="A35" s="69" t="s">
        <v>164</v>
      </c>
      <c r="B35" s="293">
        <v>509376221</v>
      </c>
      <c r="C35" s="822">
        <f>61140+43369702+42599868+41381667+42298478+43057668+40994265+42816742+41783112+38977267+46037129+43461541</f>
        <v>466838579</v>
      </c>
      <c r="D35" s="300">
        <f>SUM(D36:D39)</f>
        <v>441061217</v>
      </c>
      <c r="E35" s="279">
        <f>D35/B35*100</f>
        <v>86.58849762050436</v>
      </c>
      <c r="F35" s="280">
        <f>D35/C35*100</f>
        <v>94.47831366995914</v>
      </c>
      <c r="G35" s="285">
        <f>D35-'[17]Oktobris'!D35</f>
        <v>40369779</v>
      </c>
      <c r="H35" s="69" t="s">
        <v>164</v>
      </c>
      <c r="I35" s="283">
        <f>ROUND(B35/1000,0)</f>
        <v>509376</v>
      </c>
      <c r="J35" s="283">
        <f>ROUND(C35/1000,0)</f>
        <v>466839</v>
      </c>
      <c r="K35" s="283">
        <f>SUM(K36:K39)</f>
        <v>441061</v>
      </c>
      <c r="L35" s="286">
        <f>K35/I35*100</f>
        <v>86.58849258700842</v>
      </c>
      <c r="M35" s="286">
        <f>K35/J35*100</f>
        <v>94.47818198565244</v>
      </c>
      <c r="N35" s="283">
        <f>SUM(N36:N39)</f>
        <v>40369</v>
      </c>
      <c r="Q35" s="336">
        <f t="shared" si="5"/>
        <v>441061</v>
      </c>
      <c r="R35">
        <v>400692</v>
      </c>
      <c r="S35" s="336">
        <f t="shared" si="6"/>
        <v>40369</v>
      </c>
    </row>
    <row r="36" spans="1:19" ht="17.25" customHeight="1">
      <c r="A36" s="304" t="s">
        <v>165</v>
      </c>
      <c r="B36" s="305" t="s">
        <v>744</v>
      </c>
      <c r="C36" s="823" t="s">
        <v>744</v>
      </c>
      <c r="D36" s="306">
        <v>405659892</v>
      </c>
      <c r="E36" s="279"/>
      <c r="F36" s="112" t="s">
        <v>744</v>
      </c>
      <c r="G36" s="285">
        <f>D36-'[17]Oktobris'!D36</f>
        <v>37026147</v>
      </c>
      <c r="H36" s="304" t="s">
        <v>165</v>
      </c>
      <c r="I36" s="305" t="s">
        <v>744</v>
      </c>
      <c r="J36" s="305" t="s">
        <v>744</v>
      </c>
      <c r="K36" s="283">
        <f aca="true" t="shared" si="8" ref="K36:K41">ROUND(D36/1000,0)</f>
        <v>405660</v>
      </c>
      <c r="L36" s="294" t="s">
        <v>744</v>
      </c>
      <c r="M36" s="294" t="s">
        <v>744</v>
      </c>
      <c r="N36" s="285">
        <f>K36-'[17]Oktobris'!K36</f>
        <v>37026</v>
      </c>
      <c r="Q36" s="336">
        <f t="shared" si="5"/>
        <v>405660</v>
      </c>
      <c r="R36">
        <v>368634</v>
      </c>
      <c r="S36" s="336">
        <f t="shared" si="6"/>
        <v>37026</v>
      </c>
    </row>
    <row r="37" spans="1:19" ht="17.25" customHeight="1">
      <c r="A37" s="304" t="s">
        <v>166</v>
      </c>
      <c r="B37" s="305" t="s">
        <v>744</v>
      </c>
      <c r="C37" s="823" t="s">
        <v>744</v>
      </c>
      <c r="D37" s="306">
        <v>33481077</v>
      </c>
      <c r="E37" s="279"/>
      <c r="F37" s="112" t="s">
        <v>744</v>
      </c>
      <c r="G37" s="285">
        <f>D37-'[17]Oktobris'!D37</f>
        <v>3180970</v>
      </c>
      <c r="H37" s="304" t="s">
        <v>166</v>
      </c>
      <c r="I37" s="305" t="s">
        <v>744</v>
      </c>
      <c r="J37" s="305" t="s">
        <v>744</v>
      </c>
      <c r="K37" s="283">
        <f t="shared" si="8"/>
        <v>33481</v>
      </c>
      <c r="L37" s="294" t="s">
        <v>744</v>
      </c>
      <c r="M37" s="294" t="s">
        <v>744</v>
      </c>
      <c r="N37" s="285">
        <f>K37-'[17]Oktobris'!K37</f>
        <v>3181</v>
      </c>
      <c r="Q37" s="336">
        <f t="shared" si="5"/>
        <v>33481</v>
      </c>
      <c r="R37">
        <v>30300</v>
      </c>
      <c r="S37" s="336">
        <f t="shared" si="6"/>
        <v>3181</v>
      </c>
    </row>
    <row r="38" spans="1:19" ht="17.25" customHeight="1">
      <c r="A38" s="304" t="s">
        <v>167</v>
      </c>
      <c r="B38" s="305" t="s">
        <v>744</v>
      </c>
      <c r="C38" s="823" t="s">
        <v>744</v>
      </c>
      <c r="D38" s="745">
        <v>744796</v>
      </c>
      <c r="E38" s="279"/>
      <c r="F38" s="112" t="s">
        <v>744</v>
      </c>
      <c r="G38" s="285">
        <f>D38-'[17]Oktobris'!D38</f>
        <v>62286</v>
      </c>
      <c r="H38" s="304" t="s">
        <v>167</v>
      </c>
      <c r="I38" s="305" t="s">
        <v>744</v>
      </c>
      <c r="J38" s="305" t="s">
        <v>744</v>
      </c>
      <c r="K38" s="283">
        <f t="shared" si="8"/>
        <v>745</v>
      </c>
      <c r="L38" s="294" t="s">
        <v>744</v>
      </c>
      <c r="M38" s="294" t="s">
        <v>744</v>
      </c>
      <c r="N38" s="285">
        <f>K38-'[17]Oktobris'!K38</f>
        <v>62</v>
      </c>
      <c r="Q38" s="336">
        <f t="shared" si="5"/>
        <v>745</v>
      </c>
      <c r="R38">
        <v>683</v>
      </c>
      <c r="S38" s="336">
        <f t="shared" si="6"/>
        <v>62</v>
      </c>
    </row>
    <row r="39" spans="1:19" ht="17.25" customHeight="1">
      <c r="A39" s="304" t="s">
        <v>168</v>
      </c>
      <c r="B39" s="305" t="s">
        <v>744</v>
      </c>
      <c r="C39" s="823" t="s">
        <v>744</v>
      </c>
      <c r="D39" s="307">
        <v>1175452</v>
      </c>
      <c r="E39" s="279"/>
      <c r="F39" s="112" t="s">
        <v>744</v>
      </c>
      <c r="G39" s="285">
        <f>D39-'[17]Oktobris'!D39</f>
        <v>100376</v>
      </c>
      <c r="H39" s="304" t="s">
        <v>168</v>
      </c>
      <c r="I39" s="305" t="s">
        <v>744</v>
      </c>
      <c r="J39" s="305" t="s">
        <v>744</v>
      </c>
      <c r="K39" s="283">
        <f t="shared" si="8"/>
        <v>1175</v>
      </c>
      <c r="L39" s="294" t="s">
        <v>744</v>
      </c>
      <c r="M39" s="294" t="s">
        <v>744</v>
      </c>
      <c r="N39" s="285">
        <f>K39-'[17]Oktobris'!K39</f>
        <v>100</v>
      </c>
      <c r="Q39" s="336">
        <f t="shared" si="5"/>
        <v>1175</v>
      </c>
      <c r="R39">
        <v>1075</v>
      </c>
      <c r="S39" s="336">
        <f t="shared" si="6"/>
        <v>100</v>
      </c>
    </row>
    <row r="40" spans="1:19" ht="26.25">
      <c r="A40" s="69" t="s">
        <v>169</v>
      </c>
      <c r="B40" s="308">
        <v>279255</v>
      </c>
      <c r="C40" s="824">
        <v>366136</v>
      </c>
      <c r="D40" s="308">
        <f>'[16]novembris'!$Z$29</f>
        <v>335502</v>
      </c>
      <c r="E40" s="279">
        <f>D40/B40*100</f>
        <v>120.14180587634957</v>
      </c>
      <c r="F40" s="280">
        <f>D40/C40*100</f>
        <v>91.63316363318549</v>
      </c>
      <c r="G40" s="285">
        <f>D40-'[17]Oktobris'!D40</f>
        <v>0</v>
      </c>
      <c r="H40" s="69" t="s">
        <v>169</v>
      </c>
      <c r="I40" s="283">
        <f>ROUND(B40/1000,0)</f>
        <v>279</v>
      </c>
      <c r="J40" s="283">
        <f>ROUND(C40/1000,0)</f>
        <v>366</v>
      </c>
      <c r="K40" s="283">
        <f t="shared" si="8"/>
        <v>336</v>
      </c>
      <c r="L40" s="286">
        <f aca="true" t="shared" si="9" ref="L40:L45">K40/I40*100</f>
        <v>120.43010752688173</v>
      </c>
      <c r="M40" s="286">
        <f>K40/J40*100</f>
        <v>91.80327868852459</v>
      </c>
      <c r="N40" s="809">
        <f>K40-'[17]Oktobris'!K40</f>
        <v>0</v>
      </c>
      <c r="Q40" s="336">
        <f t="shared" si="5"/>
        <v>336</v>
      </c>
      <c r="R40">
        <v>336</v>
      </c>
      <c r="S40" s="336">
        <f t="shared" si="6"/>
        <v>0</v>
      </c>
    </row>
    <row r="41" spans="1:19" ht="39">
      <c r="A41" s="69" t="s">
        <v>192</v>
      </c>
      <c r="B41" s="308">
        <v>1201200</v>
      </c>
      <c r="C41" s="823">
        <v>1101100</v>
      </c>
      <c r="D41" s="283">
        <v>1001000</v>
      </c>
      <c r="E41" s="279">
        <f>D41/B41*100</f>
        <v>83.33333333333334</v>
      </c>
      <c r="F41" s="112" t="s">
        <v>744</v>
      </c>
      <c r="G41" s="285">
        <f>D41-'[17]Oktobris'!D41</f>
        <v>0</v>
      </c>
      <c r="H41" s="69" t="s">
        <v>192</v>
      </c>
      <c r="I41" s="283">
        <f>ROUND(B41/1000,0)</f>
        <v>1201</v>
      </c>
      <c r="J41" s="283">
        <f>ROUND(C41/1000,0)</f>
        <v>1101</v>
      </c>
      <c r="K41" s="283">
        <f t="shared" si="8"/>
        <v>1001</v>
      </c>
      <c r="L41" s="286">
        <f t="shared" si="9"/>
        <v>83.34721065778517</v>
      </c>
      <c r="M41" s="286">
        <f>K41/J41*100</f>
        <v>90.91734786557674</v>
      </c>
      <c r="N41" s="285">
        <f>K41-'[17]Oktobris'!K41</f>
        <v>0</v>
      </c>
      <c r="Q41" s="336">
        <f t="shared" si="5"/>
        <v>1001</v>
      </c>
      <c r="R41">
        <v>1001</v>
      </c>
      <c r="S41" s="336">
        <f t="shared" si="6"/>
        <v>0</v>
      </c>
    </row>
    <row r="42" spans="1:19" ht="17.25" customHeight="1">
      <c r="A42" s="309" t="s">
        <v>193</v>
      </c>
      <c r="B42" s="299">
        <f>SUM(B43:B44)</f>
        <v>33024925</v>
      </c>
      <c r="C42" s="820">
        <f>SUM(C43:C44)</f>
        <v>31344729</v>
      </c>
      <c r="D42" s="299">
        <f>SUM(D43:D44)</f>
        <v>21488554</v>
      </c>
      <c r="E42" s="279">
        <f>D42/B42*100</f>
        <v>65.0676844837649</v>
      </c>
      <c r="F42" s="280">
        <f>D42/C42*100</f>
        <v>68.5555584162173</v>
      </c>
      <c r="G42" s="285">
        <f>D42-'[17]Oktobris'!D42</f>
        <v>2693053</v>
      </c>
      <c r="H42" s="309" t="s">
        <v>193</v>
      </c>
      <c r="I42" s="281">
        <f>SUM(I43:I44)</f>
        <v>33025</v>
      </c>
      <c r="J42" s="281">
        <f>SUM(J43:J44)</f>
        <v>31345</v>
      </c>
      <c r="K42" s="281">
        <f>SUM(K43:K44)</f>
        <v>21487</v>
      </c>
      <c r="L42" s="282">
        <f t="shared" si="9"/>
        <v>65.06283118849356</v>
      </c>
      <c r="M42" s="282">
        <f>K42/J42*100</f>
        <v>68.55000797575372</v>
      </c>
      <c r="N42" s="281">
        <f>SUM(N43:N44)</f>
        <v>2691</v>
      </c>
      <c r="Q42" s="336">
        <f t="shared" si="5"/>
        <v>21487</v>
      </c>
      <c r="R42">
        <v>18796</v>
      </c>
      <c r="S42" s="336">
        <f t="shared" si="6"/>
        <v>2691</v>
      </c>
    </row>
    <row r="43" spans="1:19" ht="15">
      <c r="A43" s="69" t="s">
        <v>194</v>
      </c>
      <c r="B43" s="292">
        <v>12560112</v>
      </c>
      <c r="C43" s="818">
        <v>12092599</v>
      </c>
      <c r="D43" s="283">
        <f>'[16]novembris'!$Z$32</f>
        <v>11185248</v>
      </c>
      <c r="E43" s="279">
        <f>D43/B43*100</f>
        <v>89.05372818331556</v>
      </c>
      <c r="F43" s="280" t="e">
        <f>#REF!/C43*100</f>
        <v>#REF!</v>
      </c>
      <c r="G43" s="285">
        <f>D43-'[17]Oktobris'!D43</f>
        <v>2669855</v>
      </c>
      <c r="H43" s="69" t="s">
        <v>194</v>
      </c>
      <c r="I43" s="283">
        <f>ROUND(B43/1000,0)</f>
        <v>12560</v>
      </c>
      <c r="J43" s="283">
        <f>ROUND(C43/1000,0)</f>
        <v>12093</v>
      </c>
      <c r="K43" s="283">
        <f>ROUND(D43/1000,0)-1</f>
        <v>11184</v>
      </c>
      <c r="L43" s="286">
        <f t="shared" si="9"/>
        <v>89.04458598726114</v>
      </c>
      <c r="M43" s="286">
        <f>K43/J43*100</f>
        <v>92.48325477548995</v>
      </c>
      <c r="N43" s="285">
        <f>K43-'[17]Oktobris'!K43</f>
        <v>2668</v>
      </c>
      <c r="Q43" s="336">
        <f t="shared" si="5"/>
        <v>11184</v>
      </c>
      <c r="R43">
        <v>8516</v>
      </c>
      <c r="S43" s="336">
        <f t="shared" si="6"/>
        <v>2668</v>
      </c>
    </row>
    <row r="44" spans="1:19" ht="15">
      <c r="A44" s="69" t="s">
        <v>195</v>
      </c>
      <c r="B44" s="292">
        <v>20464813</v>
      </c>
      <c r="C44" s="818">
        <f>16138930+3425000-311800</f>
        <v>19252130</v>
      </c>
      <c r="D44" s="283">
        <f>'[16]novembris'!$Z$33</f>
        <v>10303306</v>
      </c>
      <c r="E44" s="279">
        <f>D43/B44*100</f>
        <v>54.65599905554964</v>
      </c>
      <c r="F44" s="280">
        <f>D43/C44*100</f>
        <v>58.098755825978735</v>
      </c>
      <c r="G44" s="285">
        <f>D43-'[17]Oktobris'!D44</f>
        <v>905140</v>
      </c>
      <c r="H44" s="69" t="s">
        <v>195</v>
      </c>
      <c r="I44" s="283">
        <f>ROUND(B44/1000,0)</f>
        <v>20465</v>
      </c>
      <c r="J44" s="283">
        <f>ROUND(C44/1000,0)</f>
        <v>19252</v>
      </c>
      <c r="K44" s="283">
        <f>ROUND(D44/1000,0)</f>
        <v>10303</v>
      </c>
      <c r="L44" s="286">
        <f t="shared" si="9"/>
        <v>50.344490593696555</v>
      </c>
      <c r="M44" s="286">
        <f>K44/J44*100</f>
        <v>53.51651776438812</v>
      </c>
      <c r="N44" s="285">
        <f>K44-'[17]Oktobris'!K44</f>
        <v>23</v>
      </c>
      <c r="Q44" s="336">
        <f t="shared" si="5"/>
        <v>10303</v>
      </c>
      <c r="R44">
        <v>10280</v>
      </c>
      <c r="S44" s="336">
        <f t="shared" si="6"/>
        <v>23</v>
      </c>
    </row>
    <row r="45" spans="1:19" ht="30">
      <c r="A45" s="295" t="s">
        <v>196</v>
      </c>
      <c r="B45" s="290">
        <v>6370052</v>
      </c>
      <c r="C45" s="825" t="s">
        <v>744</v>
      </c>
      <c r="D45" s="290">
        <f>D46-D47</f>
        <v>5395805.03</v>
      </c>
      <c r="E45" s="279">
        <f>D45/B45*100</f>
        <v>84.70582390850186</v>
      </c>
      <c r="F45" s="112" t="s">
        <v>744</v>
      </c>
      <c r="G45" s="285">
        <f>D45-'[17]Oktobris'!D45</f>
        <v>718430.0300000003</v>
      </c>
      <c r="H45" s="295" t="s">
        <v>196</v>
      </c>
      <c r="I45" s="281">
        <f>ROUND(B45/1000,0)</f>
        <v>6370</v>
      </c>
      <c r="J45" s="311" t="s">
        <v>744</v>
      </c>
      <c r="K45" s="281">
        <f>K46-K47</f>
        <v>5396</v>
      </c>
      <c r="L45" s="282">
        <f t="shared" si="9"/>
        <v>84.70957613814757</v>
      </c>
      <c r="M45" s="97" t="s">
        <v>744</v>
      </c>
      <c r="N45" s="278">
        <f>K45-'[17]Oktobris'!K45</f>
        <v>719</v>
      </c>
      <c r="Q45" s="336">
        <f t="shared" si="5"/>
        <v>5396</v>
      </c>
      <c r="R45">
        <v>4677</v>
      </c>
      <c r="S45" s="336">
        <f t="shared" si="6"/>
        <v>719</v>
      </c>
    </row>
    <row r="46" spans="1:19" ht="15">
      <c r="A46" s="215" t="s">
        <v>197</v>
      </c>
      <c r="B46" s="310" t="s">
        <v>744</v>
      </c>
      <c r="C46" s="815">
        <v>6184825</v>
      </c>
      <c r="D46" s="283">
        <f>'[16]novembris'!$Z$35</f>
        <v>5635978</v>
      </c>
      <c r="E46" s="279"/>
      <c r="F46" s="280">
        <f>D46/C46*100</f>
        <v>91.12590897883125</v>
      </c>
      <c r="G46" s="285">
        <f>D46-'[17]Oktobris'!D46</f>
        <v>752977</v>
      </c>
      <c r="H46" s="215" t="s">
        <v>197</v>
      </c>
      <c r="I46" s="310" t="s">
        <v>744</v>
      </c>
      <c r="J46" s="283">
        <f>ROUND(C46/1000,0)-1</f>
        <v>6184</v>
      </c>
      <c r="K46" s="283">
        <f>ROUND(D46/1000,0)</f>
        <v>5636</v>
      </c>
      <c r="L46" s="294" t="s">
        <v>744</v>
      </c>
      <c r="M46" s="286">
        <f>K46/J46*100</f>
        <v>91.13842173350582</v>
      </c>
      <c r="N46" s="285">
        <f>K46-'[17]Oktobris'!K46</f>
        <v>753</v>
      </c>
      <c r="Q46" s="336">
        <f t="shared" si="5"/>
        <v>5636</v>
      </c>
      <c r="R46">
        <v>4883</v>
      </c>
      <c r="S46" s="336">
        <f t="shared" si="6"/>
        <v>753</v>
      </c>
    </row>
    <row r="47" spans="1:19" ht="26.25">
      <c r="A47" s="129" t="s">
        <v>198</v>
      </c>
      <c r="B47" s="310" t="s">
        <v>744</v>
      </c>
      <c r="C47" s="815">
        <v>155871</v>
      </c>
      <c r="D47" s="306">
        <f>-'[16]novembris'!$Z$36</f>
        <v>240172.97</v>
      </c>
      <c r="E47" s="279"/>
      <c r="F47" s="280">
        <f>D47/C47*100</f>
        <v>154.08444803715892</v>
      </c>
      <c r="G47" s="285">
        <f>D47-'[17]Oktobris'!D47</f>
        <v>34546.97</v>
      </c>
      <c r="H47" s="129" t="s">
        <v>198</v>
      </c>
      <c r="I47" s="310" t="s">
        <v>744</v>
      </c>
      <c r="J47" s="283">
        <f>ROUND(C47/1000,0)</f>
        <v>156</v>
      </c>
      <c r="K47" s="283">
        <f>ROUND(D47/1000,0)</f>
        <v>240</v>
      </c>
      <c r="L47" s="294" t="s">
        <v>744</v>
      </c>
      <c r="M47" s="286">
        <f>K47/J47*100</f>
        <v>153.84615384615387</v>
      </c>
      <c r="N47" s="285">
        <f>K47-'[17]Oktobris'!K47</f>
        <v>34</v>
      </c>
      <c r="Q47" s="336">
        <f t="shared" si="5"/>
        <v>240</v>
      </c>
      <c r="R47">
        <v>206</v>
      </c>
      <c r="S47" s="336">
        <f t="shared" si="6"/>
        <v>34</v>
      </c>
    </row>
    <row r="48" spans="1:19" ht="17.25" customHeight="1">
      <c r="A48" s="295" t="s">
        <v>199</v>
      </c>
      <c r="B48" s="299">
        <f>B10-B15-B45</f>
        <v>-48913412</v>
      </c>
      <c r="C48" s="825" t="s">
        <v>744</v>
      </c>
      <c r="D48" s="299">
        <f>D10-D15-D45</f>
        <v>-26914996.189999968</v>
      </c>
      <c r="E48" s="279">
        <f>D48/B48*100</f>
        <v>55.02579985628475</v>
      </c>
      <c r="F48" s="112" t="s">
        <v>744</v>
      </c>
      <c r="G48" s="299">
        <f>G10-G15-G45</f>
        <v>-4464685.189999997</v>
      </c>
      <c r="H48" s="295" t="s">
        <v>199</v>
      </c>
      <c r="I48" s="299">
        <f>I10-I15-I45</f>
        <v>-49081</v>
      </c>
      <c r="J48" s="311" t="s">
        <v>744</v>
      </c>
      <c r="K48" s="290">
        <f>K10-K15-K45</f>
        <v>-26915</v>
      </c>
      <c r="L48" s="282">
        <f>K48/I48*100</f>
        <v>54.83792098775494</v>
      </c>
      <c r="M48" s="294" t="s">
        <v>744</v>
      </c>
      <c r="N48" s="290">
        <f>N10-N15-N45</f>
        <v>-4465</v>
      </c>
      <c r="Q48" s="336">
        <f t="shared" si="5"/>
        <v>-26915</v>
      </c>
      <c r="R48">
        <v>-22450</v>
      </c>
      <c r="S48" s="336">
        <f t="shared" si="6"/>
        <v>-4465</v>
      </c>
    </row>
    <row r="49" spans="1:19" ht="17.25" customHeight="1">
      <c r="A49" s="295" t="s">
        <v>29</v>
      </c>
      <c r="B49" s="290">
        <f>-B48</f>
        <v>48913412</v>
      </c>
      <c r="C49" s="819" t="s">
        <v>744</v>
      </c>
      <c r="D49" s="290">
        <f>-D48</f>
        <v>26914996.189999968</v>
      </c>
      <c r="E49" s="279">
        <f>D49/B49*100</f>
        <v>55.02579985628475</v>
      </c>
      <c r="F49" s="112" t="s">
        <v>744</v>
      </c>
      <c r="G49" s="278">
        <f>D49-'[17]Oktobris'!D49</f>
        <v>4464685.189999968</v>
      </c>
      <c r="H49" s="295" t="s">
        <v>29</v>
      </c>
      <c r="I49" s="290">
        <f>-I48</f>
        <v>49081</v>
      </c>
      <c r="J49" s="312" t="s">
        <v>744</v>
      </c>
      <c r="K49" s="290">
        <f>-K48</f>
        <v>26915</v>
      </c>
      <c r="L49" s="282">
        <f>K49/I49*100</f>
        <v>54.83792098775494</v>
      </c>
      <c r="M49" s="294" t="s">
        <v>744</v>
      </c>
      <c r="N49" s="290">
        <f>-N48</f>
        <v>4465</v>
      </c>
      <c r="Q49" s="336">
        <f t="shared" si="5"/>
        <v>26915</v>
      </c>
      <c r="R49">
        <v>22450</v>
      </c>
      <c r="S49" s="336">
        <f t="shared" si="6"/>
        <v>4465</v>
      </c>
    </row>
    <row r="50" spans="1:19" ht="17.25" customHeight="1">
      <c r="A50" s="69" t="s">
        <v>200</v>
      </c>
      <c r="B50" s="283">
        <v>48047657</v>
      </c>
      <c r="C50" s="819">
        <f>20259741+27544088-2611592+302813+224080+4771987+761925+281000-86606+2769692+934537+521160</f>
        <v>55672825</v>
      </c>
      <c r="D50" s="283">
        <f>'[16]novembris'!$Z$44+'[16]novembris'!$Z$40</f>
        <v>35510127</v>
      </c>
      <c r="E50" s="279">
        <f>D50/B50*100</f>
        <v>73.9060533170223</v>
      </c>
      <c r="F50" s="280">
        <f>D50/C50*100</f>
        <v>63.78359100692303</v>
      </c>
      <c r="G50" s="285">
        <f>D50-'[17]Oktobris'!D50</f>
        <v>2129497</v>
      </c>
      <c r="H50" s="69" t="s">
        <v>200</v>
      </c>
      <c r="I50" s="283">
        <f>ROUND(B50/1000,0)-1</f>
        <v>48047</v>
      </c>
      <c r="J50" s="283">
        <f>ROUND(C50/1000,0)-1</f>
        <v>55672</v>
      </c>
      <c r="K50" s="283">
        <f>ROUND(D50/1000,0)</f>
        <v>35510</v>
      </c>
      <c r="L50" s="286">
        <f>K50/I50*100</f>
        <v>73.9067995920661</v>
      </c>
      <c r="M50" s="286">
        <f>K50/J50*100</f>
        <v>63.784308090242845</v>
      </c>
      <c r="N50" s="285">
        <f>K50-'[17]Oktobris'!K50</f>
        <v>2130</v>
      </c>
      <c r="Q50" s="336">
        <f t="shared" si="5"/>
        <v>35510</v>
      </c>
      <c r="R50">
        <v>33380</v>
      </c>
      <c r="S50" s="336">
        <f t="shared" si="6"/>
        <v>2130</v>
      </c>
    </row>
    <row r="51" spans="1:19" ht="39">
      <c r="A51" s="69" t="s">
        <v>201</v>
      </c>
      <c r="B51" s="283">
        <f>-(B48+B50)</f>
        <v>865755</v>
      </c>
      <c r="C51" s="826" t="s">
        <v>744</v>
      </c>
      <c r="D51" s="283">
        <f>-(D48+D50)</f>
        <v>-8595130.810000032</v>
      </c>
      <c r="E51" s="279">
        <f>D51/B51*100</f>
        <v>-992.7902016159344</v>
      </c>
      <c r="F51" s="112" t="s">
        <v>744</v>
      </c>
      <c r="G51" s="285">
        <f>D51-'[17]Oktobris'!D51</f>
        <v>2335188.189999968</v>
      </c>
      <c r="H51" s="69" t="s">
        <v>201</v>
      </c>
      <c r="I51" s="283">
        <f>-(I48+I50)</f>
        <v>1034</v>
      </c>
      <c r="J51" s="112" t="s">
        <v>744</v>
      </c>
      <c r="K51" s="283">
        <f>-(K48+K50)</f>
        <v>-8595</v>
      </c>
      <c r="L51" s="286"/>
      <c r="M51" s="294" t="s">
        <v>744</v>
      </c>
      <c r="N51" s="283">
        <f>-(N48+N50)</f>
        <v>2335</v>
      </c>
      <c r="Q51" s="336">
        <f t="shared" si="5"/>
        <v>-8595</v>
      </c>
      <c r="R51">
        <v>-10930</v>
      </c>
      <c r="S51" s="336">
        <f t="shared" si="6"/>
        <v>2335</v>
      </c>
    </row>
    <row r="52" spans="1:14" ht="17.25" customHeight="1">
      <c r="A52" s="313"/>
      <c r="B52" s="314"/>
      <c r="C52" s="314"/>
      <c r="D52" s="315"/>
      <c r="E52" s="316"/>
      <c r="F52" s="317"/>
      <c r="G52" s="83"/>
      <c r="H52" s="84" t="s">
        <v>476</v>
      </c>
      <c r="I52" s="314"/>
      <c r="J52" s="314"/>
      <c r="K52" s="315"/>
      <c r="L52" s="316"/>
      <c r="M52" s="317"/>
      <c r="N52" s="83"/>
    </row>
    <row r="53" spans="1:14" ht="14.25" hidden="1">
      <c r="A53" s="318" t="s">
        <v>202</v>
      </c>
      <c r="B53" s="314"/>
      <c r="C53" s="314"/>
      <c r="D53" s="315"/>
      <c r="E53" s="316"/>
      <c r="F53" s="317"/>
      <c r="G53" s="83"/>
      <c r="H53" s="318" t="s">
        <v>202</v>
      </c>
      <c r="I53" s="314"/>
      <c r="J53" s="314"/>
      <c r="K53" s="315"/>
      <c r="L53" s="316"/>
      <c r="M53" s="317"/>
      <c r="N53" s="83"/>
    </row>
    <row r="54" spans="1:14" ht="12.75" hidden="1">
      <c r="A54" s="69" t="s">
        <v>204</v>
      </c>
      <c r="B54" s="303"/>
      <c r="C54" s="303"/>
      <c r="D54" s="223"/>
      <c r="E54" s="319"/>
      <c r="F54" s="112"/>
      <c r="G54" s="60"/>
      <c r="H54" s="69" t="s">
        <v>204</v>
      </c>
      <c r="I54" s="303"/>
      <c r="J54" s="303"/>
      <c r="K54" s="223"/>
      <c r="L54" s="319"/>
      <c r="M54" s="112"/>
      <c r="N54" s="60"/>
    </row>
    <row r="55" spans="1:14" ht="12.75" hidden="1">
      <c r="A55" s="60" t="s">
        <v>73</v>
      </c>
      <c r="B55" s="303"/>
      <c r="C55" s="303"/>
      <c r="D55" s="223"/>
      <c r="E55" s="319"/>
      <c r="F55" s="112"/>
      <c r="G55" s="60"/>
      <c r="H55" s="60" t="s">
        <v>73</v>
      </c>
      <c r="I55" s="303"/>
      <c r="J55" s="303"/>
      <c r="K55" s="223"/>
      <c r="L55" s="319"/>
      <c r="M55" s="112"/>
      <c r="N55" s="60"/>
    </row>
    <row r="56" spans="1:14" ht="25.5" hidden="1">
      <c r="A56" s="69" t="s">
        <v>205</v>
      </c>
      <c r="B56" s="303"/>
      <c r="C56" s="303"/>
      <c r="D56" s="223"/>
      <c r="E56" s="319"/>
      <c r="F56" s="112"/>
      <c r="G56" s="60"/>
      <c r="H56" s="69" t="s">
        <v>205</v>
      </c>
      <c r="I56" s="303"/>
      <c r="J56" s="303"/>
      <c r="K56" s="223"/>
      <c r="L56" s="319"/>
      <c r="M56" s="112"/>
      <c r="N56" s="60"/>
    </row>
    <row r="57" spans="1:14" ht="17.25" customHeight="1">
      <c r="A57" s="83"/>
      <c r="B57" s="314"/>
      <c r="C57" s="314"/>
      <c r="D57" s="315"/>
      <c r="E57" s="316"/>
      <c r="F57" s="317"/>
      <c r="G57" s="83"/>
      <c r="H57" s="83"/>
      <c r="I57" s="314"/>
      <c r="J57" s="314"/>
      <c r="K57" s="315"/>
      <c r="L57" s="316"/>
      <c r="M57" s="317"/>
      <c r="N57" s="83"/>
    </row>
    <row r="59" spans="2:14" ht="17.25" customHeight="1">
      <c r="B59" s="320"/>
      <c r="C59" s="320"/>
      <c r="D59" s="47"/>
      <c r="E59" s="323"/>
      <c r="F59" s="321"/>
      <c r="G59" s="49"/>
      <c r="I59" s="320"/>
      <c r="J59" s="320"/>
      <c r="K59" s="47"/>
      <c r="L59" s="323"/>
      <c r="M59" s="321"/>
      <c r="N59" s="49"/>
    </row>
    <row r="60" spans="1:14" ht="17.25" customHeight="1">
      <c r="A60" s="49"/>
      <c r="B60" s="320"/>
      <c r="C60" s="320"/>
      <c r="D60" s="47"/>
      <c r="E60" s="316"/>
      <c r="F60" s="321"/>
      <c r="G60" s="49"/>
      <c r="H60" s="322" t="s">
        <v>552</v>
      </c>
      <c r="I60" s="322"/>
      <c r="J60" s="322"/>
      <c r="K60" s="322"/>
      <c r="M60" s="849" t="s">
        <v>959</v>
      </c>
      <c r="N60" s="849"/>
    </row>
    <row r="61" spans="2:14" ht="17.25" customHeight="1">
      <c r="B61" s="320"/>
      <c r="C61" s="324"/>
      <c r="D61" s="47"/>
      <c r="E61" s="324"/>
      <c r="F61" s="321"/>
      <c r="G61" s="49"/>
      <c r="I61" s="320"/>
      <c r="J61" s="324"/>
      <c r="K61" s="47"/>
      <c r="L61" s="324"/>
      <c r="M61" s="321"/>
      <c r="N61" s="49"/>
    </row>
    <row r="62" spans="2:13" ht="17.25" customHeight="1">
      <c r="B62" s="6"/>
      <c r="C62" s="6"/>
      <c r="E62" s="325"/>
      <c r="F62" s="326"/>
      <c r="I62" s="6"/>
      <c r="J62" s="6"/>
      <c r="L62" s="325"/>
      <c r="M62" s="326"/>
    </row>
    <row r="63" spans="2:13" ht="17.25" customHeight="1">
      <c r="B63" s="6"/>
      <c r="C63" s="6"/>
      <c r="E63" s="325"/>
      <c r="F63" s="326"/>
      <c r="H63" s="313"/>
      <c r="I63" s="313"/>
      <c r="J63" s="313"/>
      <c r="K63" s="313"/>
      <c r="L63" s="313"/>
      <c r="M63" s="313"/>
    </row>
    <row r="64" spans="1:6" ht="17.25" customHeight="1">
      <c r="A64" s="41" t="s">
        <v>1038</v>
      </c>
      <c r="B64" s="39"/>
      <c r="C64" s="39"/>
      <c r="E64" s="324" t="s">
        <v>1039</v>
      </c>
      <c r="F64" s="326"/>
    </row>
    <row r="65" spans="2:13" ht="17.25" customHeight="1">
      <c r="B65" s="327"/>
      <c r="C65" s="325"/>
      <c r="D65" s="328"/>
      <c r="E65" s="325"/>
      <c r="F65" s="326"/>
      <c r="H65" s="5" t="s">
        <v>134</v>
      </c>
      <c r="I65" s="313"/>
      <c r="J65" s="313"/>
      <c r="K65" s="313"/>
      <c r="L65" s="313"/>
      <c r="M65" s="313"/>
    </row>
    <row r="66" spans="2:13" ht="17.25" customHeight="1">
      <c r="B66" s="327"/>
      <c r="C66" s="325"/>
      <c r="D66" s="328"/>
      <c r="E66" s="325"/>
      <c r="F66" s="326"/>
      <c r="H66" s="5" t="s">
        <v>316</v>
      </c>
      <c r="I66" s="327"/>
      <c r="J66" s="325"/>
      <c r="K66" s="328"/>
      <c r="L66" s="325"/>
      <c r="M66" s="326"/>
    </row>
    <row r="67" spans="2:13" ht="17.25" customHeight="1">
      <c r="B67" s="6"/>
      <c r="C67" s="6"/>
      <c r="E67" s="325"/>
      <c r="F67" s="326"/>
      <c r="I67" s="6"/>
      <c r="J67" s="6"/>
      <c r="L67" s="325"/>
      <c r="M67" s="326"/>
    </row>
    <row r="68" spans="2:13" ht="17.25" customHeight="1">
      <c r="B68" s="6"/>
      <c r="C68" s="6"/>
      <c r="E68" s="325"/>
      <c r="F68" s="326"/>
      <c r="I68" s="6"/>
      <c r="J68" s="6"/>
      <c r="L68" s="325"/>
      <c r="M68" s="326"/>
    </row>
    <row r="69" spans="5:13" ht="17.25" customHeight="1">
      <c r="E69" s="325"/>
      <c r="F69" s="326"/>
      <c r="L69" s="325"/>
      <c r="M69" s="326"/>
    </row>
    <row r="70" spans="1:13" ht="17.25" customHeight="1">
      <c r="A70" s="322"/>
      <c r="E70" s="325"/>
      <c r="F70" s="326"/>
      <c r="H70" s="322"/>
      <c r="L70" s="325"/>
      <c r="M70" s="326"/>
    </row>
    <row r="71" spans="5:13" ht="17.25" customHeight="1">
      <c r="E71" s="325"/>
      <c r="F71" s="326"/>
      <c r="L71" s="325"/>
      <c r="M71" s="326"/>
    </row>
    <row r="72" spans="5:13" ht="17.25" customHeight="1">
      <c r="E72" s="325"/>
      <c r="F72" s="326"/>
      <c r="L72" s="325"/>
      <c r="M72" s="326"/>
    </row>
    <row r="79" ht="17.25" customHeight="1">
      <c r="A79" s="5" t="s">
        <v>134</v>
      </c>
    </row>
    <row r="80" ht="17.25" customHeight="1">
      <c r="A80" s="5" t="s">
        <v>206</v>
      </c>
    </row>
    <row r="91" ht="17.25" customHeight="1">
      <c r="A91" s="1"/>
    </row>
    <row r="92" spans="1:8" ht="17.25" customHeight="1">
      <c r="A92" s="1"/>
      <c r="H92" s="1"/>
    </row>
  </sheetData>
  <mergeCells count="8">
    <mergeCell ref="M60:N60"/>
    <mergeCell ref="A6:G6"/>
    <mergeCell ref="H6:N6"/>
    <mergeCell ref="H2:N2"/>
    <mergeCell ref="A4:G4"/>
    <mergeCell ref="H4:N4"/>
    <mergeCell ref="A5:G5"/>
    <mergeCell ref="H5:N5"/>
  </mergeCells>
  <printOptions horizontalCentered="1"/>
  <pageMargins left="0.9448818897637796" right="0.35433070866141736" top="0.984251968503937" bottom="0.984251968503937" header="0.5118110236220472" footer="0.5118110236220472"/>
  <pageSetup firstPageNumber="20" useFirstPageNumber="1" horizontalDpi="600" verticalDpi="600" orientation="portrait" paperSize="9" scale="77" r:id="rId1"/>
  <headerFooter alignWithMargins="0">
    <oddFooter>&amp;R&amp;9&amp;P</oddFooter>
  </headerFooter>
  <rowBreaks count="1" manualBreakCount="1">
    <brk id="44" min="7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Q108"/>
  <sheetViews>
    <sheetView workbookViewId="0" topLeftCell="G24">
      <selection activeCell="G28" sqref="G28"/>
    </sheetView>
  </sheetViews>
  <sheetFormatPr defaultColWidth="9.140625" defaultRowHeight="17.25" customHeight="1"/>
  <cols>
    <col min="1" max="1" width="46.8515625" style="83" hidden="1" customWidth="1"/>
    <col min="2" max="2" width="10.8515625" style="83" hidden="1" customWidth="1"/>
    <col min="3" max="3" width="13.140625" style="83" hidden="1" customWidth="1"/>
    <col min="4" max="4" width="11.7109375" style="83" hidden="1" customWidth="1"/>
    <col min="5" max="5" width="8.7109375" style="83" hidden="1" customWidth="1"/>
    <col min="6" max="6" width="14.140625" style="83" hidden="1" customWidth="1"/>
    <col min="7" max="7" width="46.8515625" style="83" customWidth="1"/>
    <col min="8" max="8" width="10.8515625" style="83" customWidth="1"/>
    <col min="9" max="9" width="12.00390625" style="83" customWidth="1"/>
    <col min="10" max="10" width="11.7109375" style="83" customWidth="1"/>
    <col min="11" max="11" width="8.7109375" style="83" customWidth="1"/>
    <col min="12" max="12" width="9.7109375" style="83" customWidth="1"/>
  </cols>
  <sheetData>
    <row r="2" spans="1:12" ht="17.25" customHeight="1">
      <c r="A2" s="83" t="s">
        <v>207</v>
      </c>
      <c r="F2" s="329" t="s">
        <v>208</v>
      </c>
      <c r="G2" s="83" t="s">
        <v>207</v>
      </c>
      <c r="L2" s="329" t="s">
        <v>208</v>
      </c>
    </row>
    <row r="4" spans="1:12" ht="17.25" customHeight="1">
      <c r="A4" s="839" t="s">
        <v>209</v>
      </c>
      <c r="B4" s="839"/>
      <c r="C4" s="839"/>
      <c r="D4" s="839"/>
      <c r="E4" s="839"/>
      <c r="F4" s="839"/>
      <c r="G4" s="839" t="s">
        <v>209</v>
      </c>
      <c r="H4" s="839"/>
      <c r="I4" s="839"/>
      <c r="J4" s="839"/>
      <c r="K4" s="839"/>
      <c r="L4" s="839"/>
    </row>
    <row r="5" spans="1:12" ht="17.25" customHeight="1">
      <c r="A5" s="839" t="s">
        <v>317</v>
      </c>
      <c r="B5" s="839"/>
      <c r="C5" s="839"/>
      <c r="D5" s="839"/>
      <c r="E5" s="839"/>
      <c r="F5" s="839"/>
      <c r="G5" s="840" t="s">
        <v>318</v>
      </c>
      <c r="H5" s="840"/>
      <c r="I5" s="840"/>
      <c r="J5" s="840"/>
      <c r="K5" s="840"/>
      <c r="L5" s="840"/>
    </row>
    <row r="6" spans="1:12" ht="17.25" customHeight="1">
      <c r="A6" s="83" t="s">
        <v>703</v>
      </c>
      <c r="F6" s="329" t="s">
        <v>63</v>
      </c>
      <c r="L6" s="331" t="s">
        <v>842</v>
      </c>
    </row>
    <row r="7" spans="1:12" ht="51">
      <c r="A7" s="239" t="s">
        <v>738</v>
      </c>
      <c r="B7" s="274" t="s">
        <v>39</v>
      </c>
      <c r="C7" s="274" t="s">
        <v>843</v>
      </c>
      <c r="D7" s="274" t="s">
        <v>844</v>
      </c>
      <c r="E7" s="274" t="s">
        <v>40</v>
      </c>
      <c r="F7" s="274" t="s">
        <v>312</v>
      </c>
      <c r="G7" s="239" t="s">
        <v>738</v>
      </c>
      <c r="H7" s="274" t="s">
        <v>39</v>
      </c>
      <c r="I7" s="274" t="s">
        <v>479</v>
      </c>
      <c r="J7" s="274" t="s">
        <v>844</v>
      </c>
      <c r="K7" s="274" t="s">
        <v>41</v>
      </c>
      <c r="L7" s="274" t="s">
        <v>312</v>
      </c>
    </row>
    <row r="8" spans="1:12" ht="17.25" customHeight="1">
      <c r="A8" s="239">
        <v>1</v>
      </c>
      <c r="B8" s="239">
        <v>2</v>
      </c>
      <c r="C8" s="274">
        <v>3</v>
      </c>
      <c r="D8" s="274">
        <v>4</v>
      </c>
      <c r="E8" s="274">
        <v>5</v>
      </c>
      <c r="F8" s="222">
        <v>6</v>
      </c>
      <c r="G8" s="239">
        <v>1</v>
      </c>
      <c r="H8" s="239">
        <v>2</v>
      </c>
      <c r="I8" s="274">
        <v>3</v>
      </c>
      <c r="J8" s="274">
        <v>4</v>
      </c>
      <c r="K8" s="274">
        <v>5</v>
      </c>
      <c r="L8" s="222">
        <v>6</v>
      </c>
    </row>
    <row r="9" spans="1:17" ht="30" customHeight="1">
      <c r="A9" s="98" t="s">
        <v>42</v>
      </c>
      <c r="B9" s="209"/>
      <c r="C9" s="332">
        <f>SUM(C10:C23)-C14</f>
        <v>776215801</v>
      </c>
      <c r="D9" s="332">
        <f>SUM(D10:D13,D15:D24)</f>
        <v>666632706.1899999</v>
      </c>
      <c r="E9" s="333">
        <f>D9/C9*100</f>
        <v>85.88239318642779</v>
      </c>
      <c r="F9" s="332">
        <f>D9-'[18]Oktobris'!D9</f>
        <v>61808916.18999994</v>
      </c>
      <c r="G9" s="106" t="s">
        <v>326</v>
      </c>
      <c r="H9" s="222"/>
      <c r="I9" s="334">
        <f>SUM(I10:I13,I15:I24)</f>
        <v>776383</v>
      </c>
      <c r="J9" s="334">
        <f>SUM(J10:J13,J15:J24)</f>
        <v>666632</v>
      </c>
      <c r="K9" s="335">
        <f>J9/I9*100</f>
        <v>85.86380690973398</v>
      </c>
      <c r="L9" s="334">
        <f>SUM(L10:L13,L15:L24)</f>
        <v>61808</v>
      </c>
      <c r="O9">
        <v>666633</v>
      </c>
      <c r="P9" s="336">
        <v>604824</v>
      </c>
      <c r="Q9" s="336">
        <f aca="true" t="shared" si="0" ref="Q9:Q23">O9-P9</f>
        <v>61809</v>
      </c>
    </row>
    <row r="10" spans="1:17" ht="30" customHeight="1">
      <c r="A10" s="215" t="s">
        <v>43</v>
      </c>
      <c r="B10" s="216">
        <v>1</v>
      </c>
      <c r="C10" s="244">
        <v>756987</v>
      </c>
      <c r="D10" s="337">
        <f>'[16]novembris'!$P$7</f>
        <v>115246</v>
      </c>
      <c r="E10" s="333">
        <f>D10/C10*100</f>
        <v>15.22430371987894</v>
      </c>
      <c r="F10" s="332">
        <f>D10-'[18]Oktobris'!D10</f>
        <v>10879</v>
      </c>
      <c r="G10" s="215" t="s">
        <v>43</v>
      </c>
      <c r="H10" s="216">
        <v>1</v>
      </c>
      <c r="I10" s="253">
        <v>925</v>
      </c>
      <c r="J10" s="746">
        <f>ROUND(D10/1000,0)</f>
        <v>115</v>
      </c>
      <c r="K10" s="338">
        <f>J10/I10*100</f>
        <v>12.432432432432433</v>
      </c>
      <c r="L10" s="253">
        <f>J10-'[18]Oktobris'!J10</f>
        <v>11</v>
      </c>
      <c r="O10">
        <v>115</v>
      </c>
      <c r="P10">
        <v>104</v>
      </c>
      <c r="Q10" s="336">
        <f t="shared" si="0"/>
        <v>11</v>
      </c>
    </row>
    <row r="11" spans="1:17" ht="30" customHeight="1">
      <c r="A11" s="60" t="s">
        <v>44</v>
      </c>
      <c r="B11" s="216">
        <v>2</v>
      </c>
      <c r="C11" s="244"/>
      <c r="D11" s="337" t="s">
        <v>542</v>
      </c>
      <c r="E11" s="333"/>
      <c r="F11" s="332" t="e">
        <f>D11-'[18]Oktobris'!D11</f>
        <v>#VALUE!</v>
      </c>
      <c r="G11" s="60" t="s">
        <v>44</v>
      </c>
      <c r="H11" s="216">
        <v>2</v>
      </c>
      <c r="I11" s="253"/>
      <c r="J11" s="746"/>
      <c r="K11" s="338"/>
      <c r="L11" s="253"/>
      <c r="Q11" s="336">
        <f t="shared" si="0"/>
        <v>0</v>
      </c>
    </row>
    <row r="12" spans="1:17" ht="30" customHeight="1">
      <c r="A12" s="69" t="s">
        <v>45</v>
      </c>
      <c r="B12" s="216">
        <v>3</v>
      </c>
      <c r="C12" s="244"/>
      <c r="D12" s="337"/>
      <c r="E12" s="333"/>
      <c r="F12" s="332">
        <f>D12-'[18]Oktobris'!D12</f>
        <v>0</v>
      </c>
      <c r="G12" s="69" t="s">
        <v>45</v>
      </c>
      <c r="H12" s="216">
        <v>3</v>
      </c>
      <c r="I12" s="253"/>
      <c r="J12" s="746"/>
      <c r="K12" s="338"/>
      <c r="L12" s="253"/>
      <c r="Q12" s="336">
        <f t="shared" si="0"/>
        <v>0</v>
      </c>
    </row>
    <row r="13" spans="1:17" ht="30" customHeight="1">
      <c r="A13" s="60" t="s">
        <v>210</v>
      </c>
      <c r="B13" s="216">
        <v>4</v>
      </c>
      <c r="C13" s="244">
        <f>1585878+C14</f>
        <v>7955930</v>
      </c>
      <c r="D13" s="337">
        <f>'[16]novembris'!$O$7+D14</f>
        <v>6783362.03</v>
      </c>
      <c r="E13" s="333">
        <f>D13/C13*100</f>
        <v>85.26171082450449</v>
      </c>
      <c r="F13" s="332">
        <f>D13-'[18]Oktobris'!D13</f>
        <v>738765.0300000003</v>
      </c>
      <c r="G13" s="60" t="s">
        <v>211</v>
      </c>
      <c r="H13" s="216">
        <v>4</v>
      </c>
      <c r="I13" s="253">
        <f>ROUND(C13/1000,0)-1</f>
        <v>7955</v>
      </c>
      <c r="J13" s="746">
        <f>ROUND(D13/1000,0)-1</f>
        <v>6782</v>
      </c>
      <c r="K13" s="338">
        <f aca="true" t="shared" si="1" ref="K13:K18">J13/I13*100</f>
        <v>85.25455688246386</v>
      </c>
      <c r="L13" s="253">
        <f>J13-'[18]Oktobris'!J13</f>
        <v>737</v>
      </c>
      <c r="O13">
        <v>6783</v>
      </c>
      <c r="P13" s="339">
        <v>6045</v>
      </c>
      <c r="Q13" s="336">
        <f t="shared" si="0"/>
        <v>738</v>
      </c>
    </row>
    <row r="14" spans="1:17" ht="30" customHeight="1">
      <c r="A14" s="340" t="s">
        <v>212</v>
      </c>
      <c r="B14" s="216"/>
      <c r="C14" s="244">
        <v>6370052</v>
      </c>
      <c r="D14" s="337">
        <f>'[16]novembris'!$Z$34</f>
        <v>5395805.03</v>
      </c>
      <c r="E14" s="333"/>
      <c r="F14" s="332">
        <f>D14-'[18]Oktobris'!D14</f>
        <v>718430.0300000003</v>
      </c>
      <c r="G14" s="340" t="s">
        <v>212</v>
      </c>
      <c r="H14" s="216"/>
      <c r="I14" s="253">
        <f>ROUND(C14/1000,0)</f>
        <v>6370</v>
      </c>
      <c r="J14" s="746">
        <f>ROUND(D14/1000,0)</f>
        <v>5396</v>
      </c>
      <c r="K14" s="338">
        <f t="shared" si="1"/>
        <v>84.70957613814757</v>
      </c>
      <c r="L14" s="253">
        <f>J14-'[18]Oktobris'!J14</f>
        <v>719</v>
      </c>
      <c r="O14" s="341">
        <v>5396</v>
      </c>
      <c r="P14">
        <v>4677</v>
      </c>
      <c r="Q14" s="336">
        <f t="shared" si="0"/>
        <v>719</v>
      </c>
    </row>
    <row r="15" spans="1:17" ht="30" customHeight="1">
      <c r="A15" s="60" t="s">
        <v>47</v>
      </c>
      <c r="B15" s="216">
        <v>5</v>
      </c>
      <c r="C15" s="244">
        <v>144348387</v>
      </c>
      <c r="D15" s="342">
        <f>'[16]novembris'!$D$7</f>
        <v>127145154</v>
      </c>
      <c r="E15" s="333">
        <f>D15/C15*100</f>
        <v>88.08214393140396</v>
      </c>
      <c r="F15" s="332">
        <f>D15-'[18]Oktobris'!D15</f>
        <v>11240321</v>
      </c>
      <c r="G15" s="60" t="s">
        <v>47</v>
      </c>
      <c r="H15" s="216">
        <v>5</v>
      </c>
      <c r="I15" s="253">
        <f>ROUND(C15/1000,0)</f>
        <v>144348</v>
      </c>
      <c r="J15" s="746">
        <f>ROUND(D15/1000,0)+1</f>
        <v>127146</v>
      </c>
      <c r="K15" s="338">
        <f t="shared" si="1"/>
        <v>88.08296616510101</v>
      </c>
      <c r="L15" s="253">
        <f>J15-'[18]Oktobris'!J15</f>
        <v>11241</v>
      </c>
      <c r="O15">
        <v>127145</v>
      </c>
      <c r="P15">
        <v>115905</v>
      </c>
      <c r="Q15" s="336">
        <f t="shared" si="0"/>
        <v>11240</v>
      </c>
    </row>
    <row r="16" spans="1:17" ht="30" customHeight="1">
      <c r="A16" s="69" t="s">
        <v>48</v>
      </c>
      <c r="B16" s="216">
        <v>6</v>
      </c>
      <c r="C16" s="244">
        <v>531459579</v>
      </c>
      <c r="D16" s="342">
        <f>'[16]novembris'!$C$7</f>
        <v>460167394</v>
      </c>
      <c r="E16" s="333">
        <f>D16/C16*100</f>
        <v>86.58558659641733</v>
      </c>
      <c r="F16" s="332">
        <f>D16-'[18]Oktobris'!D16</f>
        <v>41899128</v>
      </c>
      <c r="G16" s="69" t="s">
        <v>48</v>
      </c>
      <c r="H16" s="216">
        <v>6</v>
      </c>
      <c r="I16" s="253">
        <f>ROUND(C16/1000,0)</f>
        <v>531460</v>
      </c>
      <c r="J16" s="746">
        <f>ROUND(D16/1000,0)+1</f>
        <v>460168</v>
      </c>
      <c r="K16" s="338">
        <f t="shared" si="1"/>
        <v>86.5856320325142</v>
      </c>
      <c r="L16" s="253">
        <f>J16-'[18]Oktobris'!J16</f>
        <v>41900</v>
      </c>
      <c r="O16">
        <v>460168</v>
      </c>
      <c r="P16">
        <v>418268</v>
      </c>
      <c r="Q16" s="336">
        <f t="shared" si="0"/>
        <v>41900</v>
      </c>
    </row>
    <row r="17" spans="1:17" ht="30" customHeight="1">
      <c r="A17" s="69" t="s">
        <v>49</v>
      </c>
      <c r="B17" s="216">
        <v>7</v>
      </c>
      <c r="C17" s="244">
        <f>9370924-215596</f>
        <v>9155328</v>
      </c>
      <c r="D17" s="342">
        <f>'[16]novembris'!$E$7</f>
        <v>6314500</v>
      </c>
      <c r="E17" s="333">
        <f>D17/C17*100</f>
        <v>68.97076762296228</v>
      </c>
      <c r="F17" s="332">
        <f>D17-'[18]Oktobris'!D17</f>
        <v>1124862</v>
      </c>
      <c r="G17" s="69" t="s">
        <v>49</v>
      </c>
      <c r="H17" s="216">
        <v>7</v>
      </c>
      <c r="I17" s="253">
        <f>ROUND(C17/1000,0)</f>
        <v>9155</v>
      </c>
      <c r="J17" s="746">
        <f>ROUND(D17/1000,0)-1</f>
        <v>6314</v>
      </c>
      <c r="K17" s="338">
        <f t="shared" si="1"/>
        <v>68.96777717094484</v>
      </c>
      <c r="L17" s="253">
        <f>J17-'[18]Oktobris'!J17</f>
        <v>1124</v>
      </c>
      <c r="O17">
        <v>6315</v>
      </c>
      <c r="P17">
        <v>5190</v>
      </c>
      <c r="Q17" s="336">
        <f t="shared" si="0"/>
        <v>1125</v>
      </c>
    </row>
    <row r="18" spans="1:17" ht="30" customHeight="1">
      <c r="A18" s="60" t="s">
        <v>50</v>
      </c>
      <c r="B18" s="216">
        <v>8</v>
      </c>
      <c r="C18" s="244">
        <f>1508663+215596+2272860</f>
        <v>3997119</v>
      </c>
      <c r="D18" s="342">
        <f>'[16]novembris'!$N$7+'[16]novembris'!$Q$7</f>
        <v>3630003</v>
      </c>
      <c r="E18" s="333">
        <f>D18/C18*100</f>
        <v>90.81548485296534</v>
      </c>
      <c r="F18" s="332">
        <f>D18-'[18]Oktobris'!D18</f>
        <v>809769</v>
      </c>
      <c r="G18" s="60" t="s">
        <v>50</v>
      </c>
      <c r="H18" s="216">
        <v>8</v>
      </c>
      <c r="I18" s="253">
        <f>ROUND(C18/1000,0)</f>
        <v>3997</v>
      </c>
      <c r="J18" s="746">
        <f>ROUND(D18/1000,0)</f>
        <v>3630</v>
      </c>
      <c r="K18" s="338">
        <f t="shared" si="1"/>
        <v>90.81811358518888</v>
      </c>
      <c r="L18" s="253">
        <f>J18-'[18]Oktobris'!J18</f>
        <v>810</v>
      </c>
      <c r="O18">
        <v>3630</v>
      </c>
      <c r="P18">
        <v>2820</v>
      </c>
      <c r="Q18" s="336">
        <f t="shared" si="0"/>
        <v>810</v>
      </c>
    </row>
    <row r="19" spans="1:17" ht="30" customHeight="1">
      <c r="A19" s="60" t="s">
        <v>51</v>
      </c>
      <c r="B19" s="216">
        <v>9</v>
      </c>
      <c r="C19" s="244"/>
      <c r="D19" s="342"/>
      <c r="E19" s="333"/>
      <c r="F19" s="332">
        <f>D19-'[18]Oktobris'!D19</f>
        <v>0</v>
      </c>
      <c r="G19" s="60" t="s">
        <v>51</v>
      </c>
      <c r="H19" s="216">
        <v>9</v>
      </c>
      <c r="I19" s="253"/>
      <c r="J19" s="746"/>
      <c r="K19" s="338"/>
      <c r="L19" s="253"/>
      <c r="Q19" s="336">
        <f t="shared" si="0"/>
        <v>0</v>
      </c>
    </row>
    <row r="20" spans="1:17" ht="30" customHeight="1">
      <c r="A20" s="69" t="s">
        <v>52</v>
      </c>
      <c r="B20" s="343">
        <v>10</v>
      </c>
      <c r="C20" s="244">
        <v>500000</v>
      </c>
      <c r="D20" s="342">
        <f>'[16]novembris'!$L$7</f>
        <v>473348</v>
      </c>
      <c r="E20" s="333">
        <f>D20/C20*100</f>
        <v>94.6696</v>
      </c>
      <c r="F20" s="332">
        <f>D20-'[18]Oktobris'!D20</f>
        <v>34667</v>
      </c>
      <c r="G20" s="69" t="s">
        <v>52</v>
      </c>
      <c r="H20" s="343">
        <v>10</v>
      </c>
      <c r="I20" s="253">
        <f>ROUND(C20/1000,0)</f>
        <v>500</v>
      </c>
      <c r="J20" s="746">
        <f>ROUND(D20/1000,0)</f>
        <v>473</v>
      </c>
      <c r="K20" s="338">
        <f>J20/I20*100</f>
        <v>94.6</v>
      </c>
      <c r="L20" s="253">
        <f>J20-'[18]Oktobris'!J20</f>
        <v>34</v>
      </c>
      <c r="O20">
        <v>473</v>
      </c>
      <c r="P20">
        <v>439</v>
      </c>
      <c r="Q20" s="336">
        <f t="shared" si="0"/>
        <v>34</v>
      </c>
    </row>
    <row r="21" spans="1:17" ht="30" customHeight="1">
      <c r="A21" s="69" t="s">
        <v>53</v>
      </c>
      <c r="B21" s="343">
        <v>11</v>
      </c>
      <c r="C21" s="244"/>
      <c r="D21" s="342"/>
      <c r="E21" s="333"/>
      <c r="F21" s="332">
        <f>D21-'[18]Oktobris'!D21</f>
        <v>0</v>
      </c>
      <c r="G21" s="69" t="s">
        <v>53</v>
      </c>
      <c r="H21" s="343">
        <v>11</v>
      </c>
      <c r="I21" s="253"/>
      <c r="J21" s="746"/>
      <c r="K21" s="338"/>
      <c r="L21" s="253"/>
      <c r="Q21" s="336">
        <f t="shared" si="0"/>
        <v>0</v>
      </c>
    </row>
    <row r="22" spans="1:17" ht="30" customHeight="1">
      <c r="A22" s="60" t="s">
        <v>54</v>
      </c>
      <c r="B22" s="216">
        <v>12</v>
      </c>
      <c r="C22" s="244">
        <v>73861871</v>
      </c>
      <c r="D22" s="342">
        <f>'[16]novembris'!$F$7+'[16]novembris'!$G$7+'[16]novembris'!$I$7</f>
        <v>59783397</v>
      </c>
      <c r="E22" s="333">
        <f>D22/C22*100</f>
        <v>80.93945657022417</v>
      </c>
      <c r="F22" s="332">
        <f>D22-'[18]Oktobris'!D22</f>
        <v>5784820</v>
      </c>
      <c r="G22" s="60" t="s">
        <v>54</v>
      </c>
      <c r="H22" s="216">
        <v>12</v>
      </c>
      <c r="I22" s="253">
        <f>ROUND(C22/1000,0)+1</f>
        <v>73863</v>
      </c>
      <c r="J22" s="746">
        <f>ROUND(D22/1000,0)+1</f>
        <v>59784</v>
      </c>
      <c r="K22" s="338">
        <f>J22/I22*100</f>
        <v>80.93903578246213</v>
      </c>
      <c r="L22" s="253">
        <f>J22-'[18]Oktobris'!J22</f>
        <v>5785</v>
      </c>
      <c r="O22">
        <v>59784</v>
      </c>
      <c r="P22">
        <v>53999</v>
      </c>
      <c r="Q22" s="336">
        <f t="shared" si="0"/>
        <v>5785</v>
      </c>
    </row>
    <row r="23" spans="1:17" ht="30" customHeight="1">
      <c r="A23" s="60" t="s">
        <v>55</v>
      </c>
      <c r="B23" s="216">
        <v>13</v>
      </c>
      <c r="C23" s="244">
        <f>2874300+1306300</f>
        <v>4180600</v>
      </c>
      <c r="D23" s="337">
        <f>'[16]novembris'!$W$7+'[16]novembris'!$X$7+'[16]novembris'!$K$7</f>
        <v>2220302.16</v>
      </c>
      <c r="E23" s="333">
        <f>D23/C23*100</f>
        <v>53.10965315983353</v>
      </c>
      <c r="F23" s="332">
        <f>D23-'[18]Oktobris'!D23</f>
        <v>165705.16000000015</v>
      </c>
      <c r="G23" s="60" t="s">
        <v>55</v>
      </c>
      <c r="H23" s="216">
        <v>13</v>
      </c>
      <c r="I23" s="253">
        <f>ROUND(C23/1000,0)-1</f>
        <v>4180</v>
      </c>
      <c r="J23" s="746">
        <f>ROUND(D23/1000,0)</f>
        <v>2220</v>
      </c>
      <c r="K23" s="338">
        <f>J23/I23*100</f>
        <v>53.110047846889955</v>
      </c>
      <c r="L23" s="253">
        <f>J23-'[18]Oktobris'!J23</f>
        <v>166</v>
      </c>
      <c r="O23">
        <v>2220</v>
      </c>
      <c r="P23">
        <v>2054</v>
      </c>
      <c r="Q23" s="336">
        <f t="shared" si="0"/>
        <v>166</v>
      </c>
    </row>
    <row r="24" spans="1:12" ht="30" customHeight="1">
      <c r="A24" s="69" t="s">
        <v>213</v>
      </c>
      <c r="B24" s="216">
        <v>14</v>
      </c>
      <c r="C24" s="337"/>
      <c r="D24" s="337"/>
      <c r="E24" s="333"/>
      <c r="F24" s="332">
        <f>D24-'[18]Oktobris'!D24</f>
        <v>0</v>
      </c>
      <c r="G24" s="69" t="s">
        <v>213</v>
      </c>
      <c r="H24" s="216">
        <v>14</v>
      </c>
      <c r="I24" s="253"/>
      <c r="J24" s="746"/>
      <c r="K24" s="338"/>
      <c r="L24" s="253"/>
    </row>
    <row r="25" spans="2:17" ht="17.25" customHeight="1">
      <c r="B25" s="344"/>
      <c r="C25" s="315"/>
      <c r="D25" s="315"/>
      <c r="E25" s="345"/>
      <c r="G25" s="84" t="s">
        <v>476</v>
      </c>
      <c r="H25" s="344"/>
      <c r="I25" s="315"/>
      <c r="J25" s="747"/>
      <c r="K25" s="345"/>
      <c r="Q25" t="s">
        <v>553</v>
      </c>
    </row>
    <row r="26" spans="2:11" ht="17.25" customHeight="1">
      <c r="B26" s="344"/>
      <c r="C26" s="315"/>
      <c r="D26" s="315"/>
      <c r="E26" s="345"/>
      <c r="H26" s="344"/>
      <c r="I26" s="315"/>
      <c r="J26" s="747"/>
      <c r="K26" s="345"/>
    </row>
    <row r="28" spans="2:11" ht="17.25" customHeight="1">
      <c r="B28" s="344"/>
      <c r="C28" s="315"/>
      <c r="D28" s="315"/>
      <c r="E28" s="345"/>
      <c r="H28" s="344"/>
      <c r="I28" s="315"/>
      <c r="J28" s="315"/>
      <c r="K28" s="345"/>
    </row>
    <row r="29" spans="2:11" ht="17.25" customHeight="1">
      <c r="B29" s="344"/>
      <c r="C29" s="315"/>
      <c r="D29" s="315"/>
      <c r="E29" s="345"/>
      <c r="G29" s="41" t="s">
        <v>554</v>
      </c>
      <c r="H29" s="39"/>
      <c r="I29" s="39"/>
      <c r="J29" s="39" t="s">
        <v>959</v>
      </c>
      <c r="K29" s="345"/>
    </row>
    <row r="30" spans="2:11" ht="17.25" customHeight="1">
      <c r="B30" s="344"/>
      <c r="C30" s="315"/>
      <c r="D30" s="315"/>
      <c r="E30" s="345"/>
      <c r="H30" s="344"/>
      <c r="I30" s="315"/>
      <c r="J30" s="315"/>
      <c r="K30" s="345"/>
    </row>
    <row r="31" spans="4:11" ht="17.25" customHeight="1">
      <c r="D31" s="315"/>
      <c r="E31" s="345"/>
      <c r="J31" s="315"/>
      <c r="K31" s="345"/>
    </row>
    <row r="32" spans="2:11" ht="17.25" customHeight="1">
      <c r="B32" s="344"/>
      <c r="C32" s="315"/>
      <c r="D32" s="315"/>
      <c r="E32" s="345"/>
      <c r="H32" s="344"/>
      <c r="I32" s="315"/>
      <c r="J32" s="315"/>
      <c r="K32" s="345"/>
    </row>
    <row r="33" spans="2:11" ht="17.25" customHeight="1">
      <c r="B33" s="344"/>
      <c r="C33" s="315"/>
      <c r="D33" s="315"/>
      <c r="E33" s="345"/>
      <c r="H33" s="344"/>
      <c r="I33" s="315"/>
      <c r="J33" s="315"/>
      <c r="K33" s="345"/>
    </row>
    <row r="34" spans="2:11" ht="17.25" customHeight="1">
      <c r="B34" s="344"/>
      <c r="C34" s="315"/>
      <c r="D34" s="315"/>
      <c r="E34" s="345"/>
      <c r="G34" s="83" t="s">
        <v>134</v>
      </c>
      <c r="H34" s="344"/>
      <c r="I34" s="315"/>
      <c r="J34" s="315"/>
      <c r="K34" s="345"/>
    </row>
    <row r="35" spans="1:11" ht="17.25" customHeight="1">
      <c r="A35" s="41" t="s">
        <v>1038</v>
      </c>
      <c r="B35" s="39"/>
      <c r="C35" s="39"/>
      <c r="D35" s="39" t="s">
        <v>1039</v>
      </c>
      <c r="E35" s="1"/>
      <c r="G35" s="83" t="s">
        <v>316</v>
      </c>
      <c r="I35" s="315"/>
      <c r="J35" s="315"/>
      <c r="K35" s="345"/>
    </row>
    <row r="36" spans="6:12" ht="17.25" customHeight="1">
      <c r="F36" s="315"/>
      <c r="K36" s="1"/>
      <c r="L36" s="315"/>
    </row>
    <row r="37" spans="3:11" ht="17.25" customHeight="1">
      <c r="C37" s="315"/>
      <c r="D37" s="315"/>
      <c r="E37" s="345"/>
      <c r="I37" s="315"/>
      <c r="J37" s="315"/>
      <c r="K37" s="345"/>
    </row>
    <row r="38" spans="3:11" ht="17.25" customHeight="1">
      <c r="C38" s="315"/>
      <c r="D38" s="315"/>
      <c r="E38" s="345"/>
      <c r="I38" s="315"/>
      <c r="J38" s="315"/>
      <c r="K38" s="345"/>
    </row>
    <row r="39" spans="3:11" ht="17.25" customHeight="1">
      <c r="C39" s="315"/>
      <c r="D39" s="315"/>
      <c r="E39" s="345"/>
      <c r="I39" s="315"/>
      <c r="J39" s="315"/>
      <c r="K39" s="345"/>
    </row>
    <row r="40" spans="3:11" ht="17.25" customHeight="1">
      <c r="C40" s="315"/>
      <c r="D40" s="315"/>
      <c r="E40" s="345"/>
      <c r="I40" s="315"/>
      <c r="J40" s="315"/>
      <c r="K40" s="345"/>
    </row>
    <row r="41" spans="3:11" ht="17.25" customHeight="1">
      <c r="C41" s="315"/>
      <c r="D41" s="315"/>
      <c r="E41" s="345"/>
      <c r="I41" s="315"/>
      <c r="J41" s="315"/>
      <c r="K41" s="345"/>
    </row>
    <row r="42" spans="3:11" ht="17.25" customHeight="1">
      <c r="C42" s="315"/>
      <c r="D42" s="315"/>
      <c r="E42" s="345"/>
      <c r="I42" s="315"/>
      <c r="J42" s="315"/>
      <c r="K42" s="345"/>
    </row>
    <row r="43" spans="3:11" ht="17.25" customHeight="1">
      <c r="C43" s="315"/>
      <c r="D43" s="315"/>
      <c r="E43" s="345"/>
      <c r="I43" s="315"/>
      <c r="J43" s="315"/>
      <c r="K43" s="345"/>
    </row>
    <row r="44" spans="3:11" ht="17.25" customHeight="1">
      <c r="C44" s="315"/>
      <c r="D44" s="315"/>
      <c r="E44" s="345"/>
      <c r="I44" s="315"/>
      <c r="J44" s="315"/>
      <c r="K44" s="345"/>
    </row>
    <row r="45" spans="3:11" ht="17.25" customHeight="1">
      <c r="C45" s="315"/>
      <c r="D45" s="315"/>
      <c r="E45" s="345"/>
      <c r="I45" s="315"/>
      <c r="J45" s="315"/>
      <c r="K45" s="345"/>
    </row>
    <row r="46" spans="3:11" ht="17.25" customHeight="1">
      <c r="C46" s="315"/>
      <c r="D46" s="315"/>
      <c r="E46" s="345"/>
      <c r="I46" s="315"/>
      <c r="J46" s="315"/>
      <c r="K46" s="345"/>
    </row>
    <row r="47" spans="1:11" ht="17.25" customHeight="1">
      <c r="A47" s="49"/>
      <c r="C47" s="315"/>
      <c r="D47" s="315"/>
      <c r="E47" s="345"/>
      <c r="G47" s="49"/>
      <c r="I47" s="315"/>
      <c r="J47" s="315"/>
      <c r="K47" s="345"/>
    </row>
    <row r="48" spans="1:11" ht="17.25" customHeight="1">
      <c r="A48" s="49"/>
      <c r="C48" s="315"/>
      <c r="D48" s="315"/>
      <c r="E48" s="345"/>
      <c r="G48" s="49"/>
      <c r="I48" s="315"/>
      <c r="J48" s="315"/>
      <c r="K48" s="345"/>
    </row>
    <row r="49" spans="3:11" ht="17.25" customHeight="1">
      <c r="C49" s="315"/>
      <c r="D49" s="315"/>
      <c r="E49" s="345"/>
      <c r="I49" s="315"/>
      <c r="J49" s="315"/>
      <c r="K49" s="345"/>
    </row>
    <row r="50" spans="3:11" ht="17.25" customHeight="1">
      <c r="C50" s="315"/>
      <c r="D50" s="315"/>
      <c r="E50" s="345"/>
      <c r="I50" s="315"/>
      <c r="J50" s="315"/>
      <c r="K50" s="345"/>
    </row>
    <row r="51" spans="3:11" ht="17.25" customHeight="1">
      <c r="C51" s="315"/>
      <c r="D51" s="315"/>
      <c r="E51" s="345"/>
      <c r="I51" s="315"/>
      <c r="J51" s="315"/>
      <c r="K51" s="345"/>
    </row>
    <row r="52" spans="3:11" ht="17.25" customHeight="1">
      <c r="C52" s="315"/>
      <c r="D52" s="315"/>
      <c r="E52" s="345"/>
      <c r="I52" s="315"/>
      <c r="J52" s="315"/>
      <c r="K52" s="345"/>
    </row>
    <row r="53" spans="3:11" ht="17.25" customHeight="1">
      <c r="C53" s="315"/>
      <c r="E53" s="345"/>
      <c r="I53" s="315"/>
      <c r="K53" s="345"/>
    </row>
    <row r="54" spans="3:11" ht="17.25" customHeight="1">
      <c r="C54" s="315"/>
      <c r="E54" s="345"/>
      <c r="I54" s="315"/>
      <c r="K54" s="345"/>
    </row>
    <row r="55" spans="3:11" ht="17.25" customHeight="1">
      <c r="C55" s="315"/>
      <c r="E55" s="345"/>
      <c r="I55" s="315"/>
      <c r="K55" s="345"/>
    </row>
    <row r="56" spans="3:11" ht="17.25" customHeight="1">
      <c r="C56" s="315"/>
      <c r="E56" s="345"/>
      <c r="I56" s="315"/>
      <c r="K56" s="345"/>
    </row>
    <row r="57" spans="3:11" ht="17.25" customHeight="1">
      <c r="C57" s="315"/>
      <c r="E57" s="345"/>
      <c r="I57" s="315"/>
      <c r="K57" s="345"/>
    </row>
    <row r="58" spans="3:11" ht="17.25" customHeight="1">
      <c r="C58" s="315"/>
      <c r="E58" s="345"/>
      <c r="I58" s="315"/>
      <c r="K58" s="345"/>
    </row>
    <row r="59" spans="3:11" ht="17.25" customHeight="1">
      <c r="C59" s="315"/>
      <c r="E59" s="345"/>
      <c r="I59" s="315"/>
      <c r="K59" s="345"/>
    </row>
    <row r="60" spans="3:11" ht="17.25" customHeight="1">
      <c r="C60" s="315"/>
      <c r="E60" s="345"/>
      <c r="I60" s="315"/>
      <c r="K60" s="345"/>
    </row>
    <row r="61" spans="3:11" ht="17.25" customHeight="1">
      <c r="C61" s="315"/>
      <c r="E61" s="345"/>
      <c r="I61" s="315"/>
      <c r="K61" s="345"/>
    </row>
    <row r="62" spans="3:11" ht="17.25" customHeight="1">
      <c r="C62" s="315"/>
      <c r="E62" s="345"/>
      <c r="I62" s="315"/>
      <c r="K62" s="345"/>
    </row>
    <row r="63" spans="3:11" ht="17.25" customHeight="1">
      <c r="C63" s="315"/>
      <c r="E63" s="345"/>
      <c r="I63" s="315"/>
      <c r="K63" s="345"/>
    </row>
    <row r="64" spans="3:11" ht="17.25" customHeight="1">
      <c r="C64" s="315"/>
      <c r="E64" s="345"/>
      <c r="I64" s="315"/>
      <c r="K64" s="345"/>
    </row>
    <row r="65" spans="3:11" ht="17.25" customHeight="1">
      <c r="C65" s="315"/>
      <c r="E65" s="345"/>
      <c r="I65" s="315"/>
      <c r="K65" s="345"/>
    </row>
    <row r="66" spans="3:11" ht="17.25" customHeight="1">
      <c r="C66" s="315"/>
      <c r="E66" s="345"/>
      <c r="I66" s="315"/>
      <c r="K66" s="345"/>
    </row>
    <row r="67" spans="3:11" ht="17.25" customHeight="1">
      <c r="C67" s="315"/>
      <c r="E67" s="345"/>
      <c r="I67" s="315"/>
      <c r="K67" s="345"/>
    </row>
    <row r="68" spans="3:11" ht="17.25" customHeight="1">
      <c r="C68" s="315"/>
      <c r="E68" s="345"/>
      <c r="I68" s="315"/>
      <c r="K68" s="345"/>
    </row>
    <row r="69" spans="3:11" ht="17.25" customHeight="1">
      <c r="C69" s="315"/>
      <c r="E69" s="345"/>
      <c r="I69" s="315"/>
      <c r="K69" s="345"/>
    </row>
    <row r="70" spans="3:11" ht="17.25" customHeight="1">
      <c r="C70" s="315"/>
      <c r="E70" s="345"/>
      <c r="I70" s="315"/>
      <c r="K70" s="345"/>
    </row>
    <row r="71" spans="3:11" ht="17.25" customHeight="1">
      <c r="C71" s="315"/>
      <c r="E71" s="345"/>
      <c r="I71" s="315"/>
      <c r="K71" s="345"/>
    </row>
    <row r="72" spans="3:11" ht="17.25" customHeight="1">
      <c r="C72" s="315"/>
      <c r="E72" s="345"/>
      <c r="I72" s="315"/>
      <c r="K72" s="345"/>
    </row>
    <row r="73" spans="3:11" ht="17.25" customHeight="1">
      <c r="C73" s="315"/>
      <c r="E73" s="345"/>
      <c r="I73" s="315"/>
      <c r="K73" s="345"/>
    </row>
    <row r="74" spans="3:11" ht="17.25" customHeight="1">
      <c r="C74" s="315"/>
      <c r="E74" s="345"/>
      <c r="I74" s="315"/>
      <c r="K74" s="345"/>
    </row>
    <row r="75" spans="3:11" ht="17.25" customHeight="1">
      <c r="C75" s="315"/>
      <c r="E75" s="345"/>
      <c r="I75" s="315"/>
      <c r="K75" s="345"/>
    </row>
    <row r="76" spans="3:11" ht="17.25" customHeight="1">
      <c r="C76" s="315"/>
      <c r="E76" s="345"/>
      <c r="I76" s="315"/>
      <c r="K76" s="345"/>
    </row>
    <row r="77" spans="3:11" ht="17.25" customHeight="1">
      <c r="C77" s="315"/>
      <c r="E77" s="345"/>
      <c r="I77" s="315"/>
      <c r="K77" s="345"/>
    </row>
    <row r="78" spans="3:11" ht="17.25" customHeight="1">
      <c r="C78" s="315"/>
      <c r="E78" s="345"/>
      <c r="I78" s="315"/>
      <c r="K78" s="345"/>
    </row>
    <row r="79" spans="3:11" ht="17.25" customHeight="1">
      <c r="C79" s="315"/>
      <c r="E79" s="345"/>
      <c r="I79" s="315"/>
      <c r="K79" s="345"/>
    </row>
    <row r="80" spans="2:10" ht="17.25" customHeight="1">
      <c r="B80" s="315"/>
      <c r="D80" s="345"/>
      <c r="H80" s="315"/>
      <c r="J80" s="345"/>
    </row>
    <row r="81" spans="2:10" ht="17.25" customHeight="1">
      <c r="B81" s="315"/>
      <c r="D81" s="345"/>
      <c r="H81" s="315"/>
      <c r="J81" s="345"/>
    </row>
    <row r="82" spans="2:10" ht="17.25" customHeight="1">
      <c r="B82" s="315"/>
      <c r="D82" s="345"/>
      <c r="H82" s="315"/>
      <c r="J82" s="345"/>
    </row>
    <row r="83" spans="2:10" ht="17.25" customHeight="1">
      <c r="B83" s="315"/>
      <c r="D83" s="345"/>
      <c r="H83" s="315"/>
      <c r="J83" s="345"/>
    </row>
    <row r="84" spans="2:10" ht="17.25" customHeight="1">
      <c r="B84" s="315"/>
      <c r="D84" s="345"/>
      <c r="H84" s="315"/>
      <c r="J84" s="345"/>
    </row>
    <row r="85" spans="2:10" ht="17.25" customHeight="1">
      <c r="B85" s="315"/>
      <c r="D85" s="345"/>
      <c r="H85" s="315"/>
      <c r="J85" s="345"/>
    </row>
    <row r="86" spans="2:10" ht="17.25" customHeight="1">
      <c r="B86" s="315"/>
      <c r="D86" s="345"/>
      <c r="H86" s="315"/>
      <c r="J86" s="345"/>
    </row>
    <row r="87" spans="2:10" ht="17.25" customHeight="1">
      <c r="B87" s="315"/>
      <c r="D87" s="345"/>
      <c r="H87" s="315"/>
      <c r="J87" s="345"/>
    </row>
    <row r="88" spans="2:10" ht="17.25" customHeight="1">
      <c r="B88" s="315"/>
      <c r="D88" s="345"/>
      <c r="H88" s="315"/>
      <c r="J88" s="345"/>
    </row>
    <row r="89" spans="2:10" ht="17.25" customHeight="1">
      <c r="B89" s="315"/>
      <c r="D89" s="345"/>
      <c r="H89" s="315"/>
      <c r="J89" s="345"/>
    </row>
    <row r="90" spans="2:10" ht="17.25" customHeight="1">
      <c r="B90" s="315"/>
      <c r="D90" s="345"/>
      <c r="H90" s="315"/>
      <c r="J90" s="345"/>
    </row>
    <row r="91" spans="2:10" ht="17.25" customHeight="1">
      <c r="B91" s="315"/>
      <c r="D91" s="345"/>
      <c r="H91" s="315"/>
      <c r="J91" s="345"/>
    </row>
    <row r="92" spans="2:10" ht="17.25" customHeight="1">
      <c r="B92" s="315"/>
      <c r="D92" s="345"/>
      <c r="H92" s="315"/>
      <c r="J92" s="345"/>
    </row>
    <row r="93" spans="2:10" ht="17.25" customHeight="1">
      <c r="B93" s="315"/>
      <c r="D93" s="345"/>
      <c r="H93" s="315"/>
      <c r="J93" s="345"/>
    </row>
    <row r="94" spans="2:10" ht="17.25" customHeight="1">
      <c r="B94" s="315"/>
      <c r="D94" s="345"/>
      <c r="H94" s="315"/>
      <c r="J94" s="345"/>
    </row>
    <row r="95" spans="2:10" ht="17.25" customHeight="1">
      <c r="B95" s="315"/>
      <c r="D95" s="345"/>
      <c r="H95" s="315"/>
      <c r="J95" s="345"/>
    </row>
    <row r="96" spans="2:10" ht="17.25" customHeight="1">
      <c r="B96" s="315"/>
      <c r="D96" s="345"/>
      <c r="H96" s="315"/>
      <c r="J96" s="345"/>
    </row>
    <row r="97" spans="2:10" ht="17.25" customHeight="1">
      <c r="B97" s="315"/>
      <c r="D97" s="345"/>
      <c r="H97" s="315"/>
      <c r="J97" s="345"/>
    </row>
    <row r="98" spans="2:10" ht="17.25" customHeight="1">
      <c r="B98" s="315"/>
      <c r="D98" s="345"/>
      <c r="H98" s="315"/>
      <c r="J98" s="345"/>
    </row>
    <row r="99" spans="2:10" ht="17.25" customHeight="1">
      <c r="B99" s="315"/>
      <c r="D99" s="345"/>
      <c r="H99" s="315"/>
      <c r="J99" s="345"/>
    </row>
    <row r="100" spans="2:8" ht="17.25" customHeight="1">
      <c r="B100" s="315"/>
      <c r="H100" s="315"/>
    </row>
    <row r="101" spans="2:8" ht="17.25" customHeight="1">
      <c r="B101" s="315"/>
      <c r="H101" s="315"/>
    </row>
    <row r="102" spans="2:8" ht="17.25" customHeight="1">
      <c r="B102" s="315"/>
      <c r="H102" s="315"/>
    </row>
    <row r="103" spans="2:8" ht="17.25" customHeight="1">
      <c r="B103" s="315"/>
      <c r="H103" s="315"/>
    </row>
    <row r="104" spans="2:8" ht="17.25" customHeight="1">
      <c r="B104" s="315"/>
      <c r="H104" s="315"/>
    </row>
    <row r="105" spans="2:8" ht="17.25" customHeight="1">
      <c r="B105" s="315"/>
      <c r="H105" s="315"/>
    </row>
    <row r="106" spans="2:8" ht="17.25" customHeight="1">
      <c r="B106" s="315"/>
      <c r="H106" s="315"/>
    </row>
    <row r="107" spans="2:8" ht="17.25" customHeight="1">
      <c r="B107" s="315"/>
      <c r="H107" s="315"/>
    </row>
    <row r="108" spans="2:8" ht="17.25" customHeight="1">
      <c r="B108" s="315"/>
      <c r="H108" s="315"/>
    </row>
  </sheetData>
  <mergeCells count="4">
    <mergeCell ref="A4:F4"/>
    <mergeCell ref="G4:L4"/>
    <mergeCell ref="A5:F5"/>
    <mergeCell ref="G5:L5"/>
  </mergeCells>
  <printOptions horizontalCentered="1"/>
  <pageMargins left="0.9448818897637796" right="0.35433070866141736" top="0.984251968503937" bottom="0.984251968503937" header="0.5118110236220472" footer="0.5118110236220472"/>
  <pageSetup firstPageNumber="22" useFirstPageNumber="1" horizontalDpi="600" verticalDpi="600" orientation="portrait" paperSize="9" scale="84" r:id="rId1"/>
  <headerFooter alignWithMargins="0">
    <oddFooter>&amp;R&amp;9&amp;P</oddFooter>
  </headerFooter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IlonaE</dc:creator>
  <cp:keywords/>
  <dc:description/>
  <cp:lastModifiedBy>GuntarsM</cp:lastModifiedBy>
  <cp:lastPrinted>2001-12-14T13:26:08Z</cp:lastPrinted>
  <dcterms:created xsi:type="dcterms:W3CDTF">2001-06-15T10:50:04Z</dcterms:created>
  <dcterms:modified xsi:type="dcterms:W3CDTF">2002-09-26T10:20:40Z</dcterms:modified>
  <cp:category/>
  <cp:version/>
  <cp:contentType/>
  <cp:contentStatus/>
</cp:coreProperties>
</file>