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0" activeTab="13"/>
  </bookViews>
  <sheets>
    <sheet name="Saturs" sheetId="1" r:id="rId1"/>
    <sheet name="summa" sheetId="2" r:id="rId2"/>
    <sheet name="Konsol-ieņ." sheetId="3" r:id="rId3"/>
    <sheet name="Konsol-izd.ekon.klas" sheetId="4" r:id="rId4"/>
    <sheet name="Valdības  funkc" sheetId="5" r:id="rId5"/>
    <sheet name="Bil-kopā" sheetId="6" r:id="rId6"/>
    <sheet name="Valsts-bil" sheetId="7" r:id="rId7"/>
    <sheet name="Pašv-bil" sheetId="8" r:id="rId8"/>
    <sheet name="Fin-bil" sheetId="9" r:id="rId9"/>
    <sheet name="Deb-kred" sheetId="10" r:id="rId10"/>
    <sheet name="Pašv- deb-kred" sheetId="11" r:id="rId11"/>
    <sheet name="kopparāds" sheetId="12" r:id="rId12"/>
    <sheet name="Iekš-aizd" sheetId="13" r:id="rId13"/>
    <sheet name="ār-par" sheetId="14" r:id="rId14"/>
    <sheet name="galvojumi" sheetId="15" r:id="rId15"/>
    <sheet name="aizd-sar" sheetId="16" r:id="rId16"/>
    <sheet name="galv-sar" sheetId="17" r:id="rId17"/>
    <sheet name="Zied-dāv" sheetId="18" r:id="rId18"/>
    <sheet name="Pašvald- zied-dāv" sheetId="19" r:id="rId19"/>
    <sheet name="Nep-gad" sheetId="20" r:id="rId20"/>
    <sheet name="Depoz" sheetId="21" r:id="rId21"/>
    <sheet name="Izziņa" sheetId="22" r:id="rId22"/>
    <sheet name="ar-par-pr" sheetId="23" r:id="rId23"/>
  </sheets>
  <definedNames>
    <definedName name="_xlnm.Print_Area" localSheetId="2">'Konsol-ieņ.'!$A$1:$H$37</definedName>
    <definedName name="_xlnm.Print_Area" localSheetId="17">'Zied-dāv'!$A$1:$R$36</definedName>
    <definedName name="_xlnm.Print_Titles" localSheetId="21">'Izziņa'!$5:$5</definedName>
    <definedName name="_xlnm.Print_Titles" localSheetId="7">'Pašv-bil'!$3:$4</definedName>
    <definedName name="_xlnm.Print_Titles" localSheetId="6">'Valsts-bil'!$3:$4</definedName>
  </definedNames>
  <calcPr fullCalcOnLoad="1"/>
</workbook>
</file>

<file path=xl/comments22.xml><?xml version="1.0" encoding="utf-8"?>
<comments xmlns="http://schemas.openxmlformats.org/spreadsheetml/2006/main">
  <authors>
    <author>xxyxx</author>
  </authors>
  <commentList>
    <comment ref="A19" authorId="0">
      <text>
        <r>
          <rPr>
            <b/>
            <sz val="8"/>
            <rFont val="Tahoma"/>
            <family val="0"/>
          </rPr>
          <t>xxyxx: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<sst xmlns="http://schemas.openxmlformats.org/spreadsheetml/2006/main" count="3244" uniqueCount="1870">
  <si>
    <t xml:space="preserve">       Kuldīgas rajona  Rudbāržu  sanatorijas  internātskolai</t>
  </si>
  <si>
    <t xml:space="preserve">       Liepājas rajona  Lažas pagastam</t>
  </si>
  <si>
    <t xml:space="preserve">       Ludzas pilsētas domei</t>
  </si>
  <si>
    <t xml:space="preserve">       Ludzas rajona padomei</t>
  </si>
  <si>
    <t xml:space="preserve">       Ogres rajona padomei</t>
  </si>
  <si>
    <t xml:space="preserve">       Ogresgala   pagasta padomei</t>
  </si>
  <si>
    <t xml:space="preserve">       Ogres 1.vidusskolai</t>
  </si>
  <si>
    <t xml:space="preserve">       Pļaviņu pilsētas  domei</t>
  </si>
  <si>
    <t xml:space="preserve">       Preiļu rajona padomei</t>
  </si>
  <si>
    <t xml:space="preserve">       Rēzeknes pilsētas domei</t>
  </si>
  <si>
    <t xml:space="preserve">       Rēzeknes  rajona  padomei</t>
  </si>
  <si>
    <t xml:space="preserve">       Talsu  pilsētas domei</t>
  </si>
  <si>
    <t xml:space="preserve">       Talsu  rajona Dundagas  pagasta  padomei</t>
  </si>
  <si>
    <t xml:space="preserve">       Vaives   pagasta  padomei</t>
  </si>
  <si>
    <t xml:space="preserve">       Valkas  pilsētas domei</t>
  </si>
  <si>
    <t xml:space="preserve">       Valkas  pilsētas  pašvaldībai</t>
  </si>
  <si>
    <t>Kultūras ministrija</t>
  </si>
  <si>
    <t>Ekonomikas ministrija</t>
  </si>
  <si>
    <t>Tieslietu ministrija</t>
  </si>
  <si>
    <t>Ārlietu ministrija</t>
  </si>
  <si>
    <t>Iekšlietu ministrija</t>
  </si>
  <si>
    <t xml:space="preserve">Vides aizsardzības un reģionālās attīstības ministrija   </t>
  </si>
  <si>
    <t>Augstākā tiesa</t>
  </si>
  <si>
    <t>Satiksmes ministrija</t>
  </si>
  <si>
    <t>Valsts prezidenta kanceleja</t>
  </si>
  <si>
    <t>Aizsardzības ministrija</t>
  </si>
  <si>
    <t>Ministru kabinets</t>
  </si>
  <si>
    <t>Valsts  kontrole</t>
  </si>
  <si>
    <t>Zemkopības  ministrija</t>
  </si>
  <si>
    <t>Prokuratūra</t>
  </si>
  <si>
    <t>Centrālā vēlēšanu  komisija</t>
  </si>
  <si>
    <t xml:space="preserve">                                                                             Kopā</t>
  </si>
  <si>
    <t>Apstiprināts budžetā</t>
  </si>
  <si>
    <t>Gada plāns</t>
  </si>
  <si>
    <t>Kases izpilde</t>
  </si>
  <si>
    <t>Izdevumi -  pavisam</t>
  </si>
  <si>
    <t>Uzturēšanas  izdevumi</t>
  </si>
  <si>
    <t xml:space="preserve">  Kārtējie  izdevumi</t>
  </si>
  <si>
    <t xml:space="preserve">  Subsīdijas un dotācijas</t>
  </si>
  <si>
    <t>Izdevumi kapitālieguldījumiem</t>
  </si>
  <si>
    <t>Finansu ministrs</t>
  </si>
  <si>
    <t>I.Godmanis</t>
  </si>
  <si>
    <t>Valsts kases pārvaldnieks</t>
  </si>
  <si>
    <t>A.Veiss</t>
  </si>
  <si>
    <t>Rindas
kods</t>
  </si>
  <si>
    <t>Uz 1999.gada 1.janvāri</t>
  </si>
  <si>
    <t>AKTĪVS</t>
  </si>
  <si>
    <t>ILGTERMIŅA IEGULDĪJUMI</t>
  </si>
  <si>
    <t>Nemateriālie ieguldījumi</t>
  </si>
  <si>
    <t>Pamatlīdzekļi</t>
  </si>
  <si>
    <t>tai skaitā</t>
  </si>
  <si>
    <t xml:space="preserve">        Ēkas un būves</t>
  </si>
  <si>
    <t xml:space="preserve">               no tām dzīvojamais fonds</t>
  </si>
  <si>
    <t xml:space="preserve">        Zeme</t>
  </si>
  <si>
    <t xml:space="preserve">        Pārējais nekustamais īpašums</t>
  </si>
  <si>
    <t xml:space="preserve">        Tehnoloģiskās iekārtas un mašīnas</t>
  </si>
  <si>
    <t xml:space="preserve">        Transporta līdzekļi</t>
  </si>
  <si>
    <t xml:space="preserve">        Saimnieciskais inventārs</t>
  </si>
  <si>
    <t xml:space="preserve">        Bibliotēku fondi</t>
  </si>
  <si>
    <t xml:space="preserve">       Pārējie pamatlīdzekļi</t>
  </si>
  <si>
    <t xml:space="preserve">       Inventārs vērtībā līdz 50 Ls</t>
  </si>
  <si>
    <t xml:space="preserve">       Veļa, gultas piederumi,apģērbs, apavi</t>
  </si>
  <si>
    <t xml:space="preserve">       Specifiskās lietošanas inventārs</t>
  </si>
  <si>
    <t>Ilgtermiņa finansu ieguldījumi</t>
  </si>
  <si>
    <t>APGROZĀMIE LĪDZEKĻI</t>
  </si>
  <si>
    <t xml:space="preserve"> Krājumi </t>
  </si>
  <si>
    <t xml:space="preserve">        Izejvielas un materiāli</t>
  </si>
  <si>
    <t xml:space="preserve">       Nepabeigtie ražojumi</t>
  </si>
  <si>
    <t xml:space="preserve">       Nepabeigtie pasūtījumi</t>
  </si>
  <si>
    <t>Produktīvie un darba dzīvnieki</t>
  </si>
  <si>
    <t>Vērtspapīri un līdzdalība kapitālos</t>
  </si>
  <si>
    <t>1997.gada izpilde</t>
  </si>
  <si>
    <t>1998.gada plāns</t>
  </si>
  <si>
    <t>Nodokļu ieņēmumi</t>
  </si>
  <si>
    <t>Nenodokļu ieņēmumi</t>
  </si>
  <si>
    <t>Budžeta iestāžu ieņēmumi no maksas pakalpojumiem un citiem pašu ieņēmumiem</t>
  </si>
  <si>
    <t>Citu valdības līmeņu maksājumi</t>
  </si>
  <si>
    <t>Saņemtie ziedojumi un dāvinājumi</t>
  </si>
  <si>
    <t>Uzturēšanas izdevumi</t>
  </si>
  <si>
    <t>Finansiālais deficīts(-) vai pārpalikums(+)</t>
  </si>
  <si>
    <t>Fiskālais deficīts(-) vai pārpalikums(+)</t>
  </si>
  <si>
    <t>Finansēšana</t>
  </si>
  <si>
    <t>Iekšējā finansēšana</t>
  </si>
  <si>
    <t>Ārējā finansēšana</t>
  </si>
  <si>
    <t>Valsts kases pārvaldnieks                                                                           A.Veiss</t>
  </si>
  <si>
    <t>Finansu ministrs                                                                                       I.Godmanis</t>
  </si>
  <si>
    <t xml:space="preserve">Naudas līdzekļi - kopā </t>
  </si>
  <si>
    <t xml:space="preserve">       Kase</t>
  </si>
  <si>
    <t xml:space="preserve">AKTĪVI   KOPĀ </t>
  </si>
  <si>
    <t>PASĪVS</t>
  </si>
  <si>
    <t>PAŠU KAPITĀLS</t>
  </si>
  <si>
    <t xml:space="preserve"> Pamatkapitāls vai līdzdalības kapitāls</t>
  </si>
  <si>
    <t xml:space="preserve"> Rezerves</t>
  </si>
  <si>
    <t xml:space="preserve"> lepriekšējā budžeta gada izpildes rezultāts</t>
  </si>
  <si>
    <t xml:space="preserve">                                  KREDITORI</t>
  </si>
  <si>
    <t>Norēķini par saņemtajiem avansiem</t>
  </si>
  <si>
    <t>Norēķini ar piegādātājiem un darbuzņēmējiem</t>
  </si>
  <si>
    <t>Maksājamie vekseļi</t>
  </si>
  <si>
    <t>Norēķini ar uzņēmumiem, dalībniekiem un personālu</t>
  </si>
  <si>
    <t>Norēķini par darba samaksu un ieturējumiem (izņemot nodokļus)</t>
  </si>
  <si>
    <t>Norēķini par nodokļiem</t>
  </si>
  <si>
    <t>PASĪVI   KOPĀ</t>
  </si>
  <si>
    <t xml:space="preserve">        nolietojums(-)</t>
  </si>
  <si>
    <t xml:space="preserve">       Zinātnes gatavie pasūtījumi</t>
  </si>
  <si>
    <t xml:space="preserve">       Norēķinu konti bankās un  Valsts kasē</t>
  </si>
  <si>
    <t xml:space="preserve">                  Pamatbudžeta konti</t>
  </si>
  <si>
    <t xml:space="preserve">                  Citu budžetu līdzekļu konti</t>
  </si>
  <si>
    <t>Norēķini par aizņēmumiem</t>
  </si>
  <si>
    <t>grāmatvedības  bilanču  kopsavilkums</t>
  </si>
  <si>
    <t xml:space="preserve">Pašvaldību budžeta iestāžu </t>
  </si>
  <si>
    <t>Valsts  kases  pārvaldnieks</t>
  </si>
  <si>
    <t xml:space="preserve">Valsts  budžeta  iestāžu </t>
  </si>
  <si>
    <t xml:space="preserve">                   ceļu  fonds</t>
  </si>
  <si>
    <t xml:space="preserve">                         APGROZĀMIE LĪDZEKĻI</t>
  </si>
  <si>
    <t xml:space="preserve">                              KREDITORI</t>
  </si>
  <si>
    <t xml:space="preserve">                              PAŠU KAPITĀLS</t>
  </si>
  <si>
    <t>Finansu  ministrs</t>
  </si>
  <si>
    <t xml:space="preserve">Valsts  un  pašvaldību    budžeta  iestāžu </t>
  </si>
  <si>
    <t xml:space="preserve">                      pārtikas  produkti</t>
  </si>
  <si>
    <t xml:space="preserve">                      kurināmais , degviela  ,  smērvielas</t>
  </si>
  <si>
    <t xml:space="preserve">                      mašīnu  un iekārtu rezerves  daļas</t>
  </si>
  <si>
    <t xml:space="preserve">                      lopbarība  un sēklas</t>
  </si>
  <si>
    <t xml:space="preserve">                      pārējie  materiāli</t>
  </si>
  <si>
    <t xml:space="preserve">Krājumi </t>
  </si>
  <si>
    <t xml:space="preserve">       Zinātnes  gatavie  pasūtījumi</t>
  </si>
  <si>
    <t>Valsts parāda saistību pārskats (1996., 1997. un 1998. gadā)</t>
  </si>
  <si>
    <t>1996. gads</t>
  </si>
  <si>
    <t>1997. gads</t>
  </si>
  <si>
    <t>1998. gads</t>
  </si>
  <si>
    <t>1. IEKŠĒJAIS  PARĀDS  (1.1+1.2.)</t>
  </si>
  <si>
    <t xml:space="preserve">1.1. IEKŠĒJAIS  LATU  PARĀDS  (1.1.1.+1.1.2.+1.1.3.)  </t>
  </si>
  <si>
    <t>1.1.1. Īstermiņa parāds</t>
  </si>
  <si>
    <t xml:space="preserve">             Valsts iekšējā aizņēmuma parādzīmes</t>
  </si>
  <si>
    <t xml:space="preserve">              Īstermiņa banku aizņēmumi</t>
  </si>
  <si>
    <t xml:space="preserve">              Kredīta līnijas izmantošana Latvijas Bankā</t>
  </si>
  <si>
    <t xml:space="preserve">              Kredīta līnijas izmantošana komercbankās</t>
  </si>
  <si>
    <t>1.1.2. Vidējā termiņa parāds</t>
  </si>
  <si>
    <t xml:space="preserve">             Aizņēmumi no Latvijas Bankas</t>
  </si>
  <si>
    <t xml:space="preserve">             Valsts iekšējā aizņēmuma vidējā termiņa obligācijas</t>
  </si>
  <si>
    <t xml:space="preserve"> 1.1.3. Ilgtermiņa parāds</t>
  </si>
  <si>
    <t xml:space="preserve">             Valsts iekšējā aizņēmuma ilgtermiņa obligācijas  </t>
  </si>
  <si>
    <t>1.2. IEKŠĒJAIS  VALŪTU  PARĀDS  (1.2.1.+1.2.2.)</t>
  </si>
  <si>
    <t>1.2.1.  Īstermiņa parāds</t>
  </si>
  <si>
    <t>1.2.2. Vidējā / Ilgtermiņa parāds</t>
  </si>
  <si>
    <t>2. ĀRĒJAIS  PARĀDS  (2.1.+2.2)</t>
  </si>
  <si>
    <t xml:space="preserve">2.1. ĀRĒJAIS  LATU  PARĀDS  </t>
  </si>
  <si>
    <t>2.2. ĀRĒJAIS  VALŪTU  PARĀDS  (2.2.1.+2.2.2.)</t>
  </si>
  <si>
    <t>2.2.1.  Īstermiņa parāds</t>
  </si>
  <si>
    <t>2.2.2. Vidējā / Ilgtermiņa parāds</t>
  </si>
  <si>
    <t>VALSTS   PARĀDS  (1.+2.)</t>
  </si>
  <si>
    <t>I. Godmanis</t>
  </si>
  <si>
    <t>A. Veiss</t>
  </si>
  <si>
    <t xml:space="preserve">Valsts ārējā parāda 1998. gada pārskats </t>
  </si>
  <si>
    <t>Aizņēmuma</t>
  </si>
  <si>
    <t>Parāds</t>
  </si>
  <si>
    <t>Pārskata gadā</t>
  </si>
  <si>
    <t>Aizņēmums</t>
  </si>
  <si>
    <t>summa</t>
  </si>
  <si>
    <t>pārskata gada</t>
  </si>
  <si>
    <t>pārskata</t>
  </si>
  <si>
    <t>Valūtas</t>
  </si>
  <si>
    <t>neizmaksātā</t>
  </si>
  <si>
    <t>(Aizdevējs)</t>
  </si>
  <si>
    <t>izmaksātā</t>
  </si>
  <si>
    <t>atmaksātā</t>
  </si>
  <si>
    <t>kursa</t>
  </si>
  <si>
    <t>apkalpošanas</t>
  </si>
  <si>
    <t>daļa pārskata</t>
  </si>
  <si>
    <t>ārvalstu</t>
  </si>
  <si>
    <t>(6+7-8+9)</t>
  </si>
  <si>
    <t>sākumā *</t>
  </si>
  <si>
    <t>daļa</t>
  </si>
  <si>
    <t>izmaiņas</t>
  </si>
  <si>
    <t>gada beigās</t>
  </si>
  <si>
    <t>valūtā</t>
  </si>
  <si>
    <t>latos</t>
  </si>
  <si>
    <t>Aizņēmumi Šveices frankos (CHF)</t>
  </si>
  <si>
    <t>VPA/s ''Latvenergo'' (Credit Suisse)</t>
  </si>
  <si>
    <t>Kopā   CHF</t>
  </si>
  <si>
    <t>Aizņēmumi Vācijas markās (DEM)</t>
  </si>
  <si>
    <t>'Lata International'' (Finnish Export Credit)</t>
  </si>
  <si>
    <t>Privat. un fin. sekt. restrukt. (PB)</t>
  </si>
  <si>
    <t>Lauku attīstības projekts (PB)</t>
  </si>
  <si>
    <t>Labklājības ministrija (Credit Lyonnais)</t>
  </si>
  <si>
    <t>Nacionālajai operai (AEG company)</t>
  </si>
  <si>
    <t>Strukturālo pārkārtojumu aizdevums (PB)</t>
  </si>
  <si>
    <t>Labklājības ministrijai (PB)</t>
  </si>
  <si>
    <t>Veselības reformas projekts (PB)</t>
  </si>
  <si>
    <t>Kopā   DEM</t>
  </si>
  <si>
    <t>Aizņēmumi Dānijas kronās (DKK)</t>
  </si>
  <si>
    <t>Liepājas ostai (Den Danske Bank)</t>
  </si>
  <si>
    <t>Cēsu pašvaldībai (Den Danske Bank)</t>
  </si>
  <si>
    <t>Kopā   DKK</t>
  </si>
  <si>
    <t>No citām valsts pārvaldes struktūrām</t>
  </si>
  <si>
    <t xml:space="preserve">     t.sk.no citām tā paša līmeņa valsts pārvaldes
     struktūrām</t>
  </si>
  <si>
    <t xml:space="preserve">            no citiem valsts pārvaldes līmeņiem</t>
  </si>
  <si>
    <t>No Latvijas Bankas</t>
  </si>
  <si>
    <t xml:space="preserve"> t.sk. Tīrais aizņēmumu apjoms</t>
  </si>
  <si>
    <t xml:space="preserve">         Skaidras naudas līdzekļu
         apjoma izmaiņas</t>
  </si>
  <si>
    <t xml:space="preserve">         Valsts iekšējā aizņēmuma vērtspapīri</t>
  </si>
  <si>
    <t>No komercbankām</t>
  </si>
  <si>
    <t xml:space="preserve"> t.sk.Tīrais aizņēmumu apjoms</t>
  </si>
  <si>
    <t xml:space="preserve">         Depozītu apjoma izmaiņas</t>
  </si>
  <si>
    <t>Pārējā iekšējā finansēšana</t>
  </si>
  <si>
    <t>Aizņēmumi Japānas jēnās (JPY)</t>
  </si>
  <si>
    <t>Rehabilitācijas aizdevums (JEIB)</t>
  </si>
  <si>
    <t>Ceļu projekts, VPA/s ''Latvenergo'' (JEIB)</t>
  </si>
  <si>
    <t>Kopā   JPY</t>
  </si>
  <si>
    <t>Aizņēmumi Zviedrijas kronās (SEK)</t>
  </si>
  <si>
    <t>Liepas pagastam (Swedish National Board)</t>
  </si>
  <si>
    <t>Zviedru Nacionālās Enerģijas Pārvaldes aizd.</t>
  </si>
  <si>
    <t xml:space="preserve">Konsolidētā kopbudžeta ieņēmumu izpilde </t>
  </si>
  <si>
    <t xml:space="preserve">     (latos)</t>
  </si>
  <si>
    <t>tajā skaitā</t>
  </si>
  <si>
    <t>valsts pamatbudžets</t>
  </si>
  <si>
    <t>valsts speciālais budžets</t>
  </si>
  <si>
    <t>pašvaldību pamatbudžets</t>
  </si>
  <si>
    <t>Pašvaldību speciālais budžets</t>
  </si>
  <si>
    <t>Kopbudžeta ieņēmumi - kopā</t>
  </si>
  <si>
    <t>Iedzīvotāju ienākuma nodoklis</t>
  </si>
  <si>
    <t>Uzņēmumu ienākuma nodoklis</t>
  </si>
  <si>
    <t>Sociālās apdrošināšanas iemaksas</t>
  </si>
  <si>
    <t>Nekustamā īpašuma nodoklis</t>
  </si>
  <si>
    <t>Īpašuma nodoklis</t>
  </si>
  <si>
    <t>Zemes nodoklis</t>
  </si>
  <si>
    <t>Pievienotās vērtības nodoklis</t>
  </si>
  <si>
    <t>Akcīzes nodoklis</t>
  </si>
  <si>
    <t>Dabas resursu nodoklis</t>
  </si>
  <si>
    <t>Iekšējie nodokļi par pakalpojumiem un precēm</t>
  </si>
  <si>
    <t>Muitas nodoklis</t>
  </si>
  <si>
    <t>Pārējie nodokļi</t>
  </si>
  <si>
    <t>Ieņēmumi no uzņēmējdarbības un īpašuma</t>
  </si>
  <si>
    <t>Valsts (pašvaldību) nodevas un maksājumi</t>
  </si>
  <si>
    <t>Sodi un sankcijas</t>
  </si>
  <si>
    <t>Pārējie nenodokļu maksājumi</t>
  </si>
  <si>
    <t>Ieņēmumi no valsts (pašvaldības) nekustamā īpašuma pārdošanas</t>
  </si>
  <si>
    <t>Ieņēmumi no zemes īpašuma pārdošanas</t>
  </si>
  <si>
    <t>Maksājumi par budžeta iestāžu sniegtajiem maksas pakalpojumiem un citi pašu ieņēmumi</t>
  </si>
  <si>
    <t>Citu valdības līmeņu maksājumi un norēķini</t>
  </si>
  <si>
    <t xml:space="preserve">Konsolidētā kopbudžeta izpilde pēc budžeta izdevumu ekonomiskās klasifikācijas </t>
  </si>
  <si>
    <t xml:space="preserve">       (latos)</t>
  </si>
  <si>
    <t>pašvaldību speciālais budžets</t>
  </si>
  <si>
    <t xml:space="preserve">Kopbudžeta izdevumi un tīrie aizdevumi </t>
  </si>
  <si>
    <t xml:space="preserve">Kopbudžeta izdevumi  </t>
  </si>
  <si>
    <t>Kārtējie izdevumi</t>
  </si>
  <si>
    <t>Atalgojumi</t>
  </si>
  <si>
    <t xml:space="preserve">Valsts sociālās apdrošināšanas obligātās iemaksas </t>
  </si>
  <si>
    <t>Komandējumu un dienesta braucienu izdevumi</t>
  </si>
  <si>
    <t>Pakalpojumu apmaksa</t>
  </si>
  <si>
    <t xml:space="preserve">Materiālu, energoresursu, ūdens un inventāra vērtībā līdz 50 Ls par 1 vienību iegāde </t>
  </si>
  <si>
    <t>Grāmatu un žurnālu iegāde</t>
  </si>
  <si>
    <t>Valsts budžeta tranzīta pārskaitījumi</t>
  </si>
  <si>
    <t>Pārējie izdevumi</t>
  </si>
  <si>
    <t>Maksājumi par aizņēmumiem un kredītiem</t>
  </si>
  <si>
    <t>Subsīdijas un dotācijas</t>
  </si>
  <si>
    <t>Kapitālie izdevumi</t>
  </si>
  <si>
    <t>Zemes iegāde</t>
  </si>
  <si>
    <t>Investīcijas</t>
  </si>
  <si>
    <t>Kopbudžeta tīrie aizdevumi</t>
  </si>
  <si>
    <t xml:space="preserve">Konsolidētā kopbudžeta izpilde pēc Valdības funkcijām </t>
  </si>
  <si>
    <t xml:space="preserve">      (latos)</t>
  </si>
  <si>
    <t>Kopbudžeta izdevumi un tīrie aizdevumi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</si>
  <si>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</si>
  <si>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</si>
  <si>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</si>
  <si>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</si>
  <si>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</si>
  <si>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</si>
  <si>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</si>
  <si>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>Brīvais laiks, sports, kultūra un reliģija</t>
  </si>
  <si>
    <t>Kurināmā un enerģētikas dienesti un pasākumi</t>
  </si>
  <si>
    <t>Lauksaimniecība (zemkopība), mežkopība un zvejniecība</t>
  </si>
  <si>
    <t>Iegūstošā rūpniecība, rūpniecība,celtniecība, derīgie izrakteņi (izņemot kurināmo)</t>
  </si>
  <si>
    <t>Transports, sakari</t>
  </si>
  <si>
    <t>Pārējā ekonomiskā darbība un dienesti</t>
  </si>
  <si>
    <t>Pārējie izdevumi, kas nav atspoguļoti pamatgrupās</t>
  </si>
  <si>
    <t>Pašvaldību budžeta iestāžu debitoru - kreditoru</t>
  </si>
  <si>
    <t>parādu saistību pārskats</t>
  </si>
  <si>
    <t>Rajona vai pilsētas nosaukums</t>
  </si>
  <si>
    <t>uz 1998.gada 1.janvāri*</t>
  </si>
  <si>
    <t>uz 1999.gada 1.janvāri</t>
  </si>
  <si>
    <t>izmaiņas     (3-2)</t>
  </si>
  <si>
    <t>izmaiņas   (6-5)</t>
  </si>
  <si>
    <t>Rīgas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</si>
  <si>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</si>
  <si>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</si>
  <si>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</si>
  <si>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</si>
  <si>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</si>
  <si>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</si>
  <si>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</si>
  <si>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</si>
  <si>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</si>
  <si>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</si>
  <si>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</si>
  <si>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</si>
  <si>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</si>
  <si>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</si>
  <si>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</si>
  <si>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</si>
  <si>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</si>
  <si>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</si>
  <si>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</si>
  <si>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</si>
  <si>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</si>
  <si>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</si>
  <si>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</si>
  <si>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</si>
  <si>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</si>
  <si>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</si>
  <si>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</si>
  <si>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</si>
  <si>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>T.sk. Latvenergo</t>
  </si>
  <si>
    <t xml:space="preserve">         Latvijas Gāze</t>
  </si>
  <si>
    <t xml:space="preserve">        Valsts uzņēmumi</t>
  </si>
  <si>
    <t xml:space="preserve">        Pašvaldības uzņēmumi</t>
  </si>
  <si>
    <t>* - mainīti atlikumi uz gada sākumu saskaņā ar uzskaites metodoloģijas izmaiņām</t>
  </si>
  <si>
    <t xml:space="preserve">                          Finansu ministrs</t>
  </si>
  <si>
    <t xml:space="preserve">                          Valsts kases pārvaldnieks</t>
  </si>
  <si>
    <t>Pārskats par pašvaldību budžeta iestāžu saņemto</t>
  </si>
  <si>
    <t>ziedojumu un dāvinājumu izlietojumu 1998.gadā</t>
  </si>
  <si>
    <t>Naudas līdzekļu atlikums gada sākumā</t>
  </si>
  <si>
    <t>Kārtējā gada ieņēmumi</t>
  </si>
  <si>
    <t>Izdevumi-kopā</t>
  </si>
  <si>
    <t>uzturēšanas izdevumi</t>
  </si>
  <si>
    <t>Izdevumi kapitāliegul-dījumiem</t>
  </si>
  <si>
    <t>Naudas līdzekļu atlikums gada beigās</t>
  </si>
  <si>
    <t>Ventspils pilsēta*</t>
  </si>
  <si>
    <t xml:space="preserve">* - ieskaitot aizdevumus un atmaksas - 3 688 828 Ls </t>
  </si>
  <si>
    <t>Kopā SEK</t>
  </si>
  <si>
    <t>Aizņēmumi ASV dolāros (USD)</t>
  </si>
  <si>
    <t>Rehabilitācijas aizdevums (PB)</t>
  </si>
  <si>
    <t>Lauksaimniecības attīstībai (PB)</t>
  </si>
  <si>
    <t>G-24 (AB Svensk Exportcredit)</t>
  </si>
  <si>
    <t xml:space="preserve">'Lata International'' (Commodity Credit Corp.) </t>
  </si>
  <si>
    <t>Liepājas ŪKSP (PB)</t>
  </si>
  <si>
    <t>Ceļu projekts (ERAB)</t>
  </si>
  <si>
    <t>Jelgavas pilsētai (PB)</t>
  </si>
  <si>
    <t>Satiksmes ministrija (Dānijas Unibanka)</t>
  </si>
  <si>
    <t xml:space="preserve">'Rīgas Gāzei'' (Dānijas Unibanka) </t>
  </si>
  <si>
    <t>Strenču attīrīšanas iekārtai (Dānijas Unibanka)</t>
  </si>
  <si>
    <t>Strenču centrālapkurei (Dānijas Unibanka)</t>
  </si>
  <si>
    <t>Līgatnes attīrīšanas iekārtām (Dānijas Unibanka)</t>
  </si>
  <si>
    <t>Komunālo pakalp. attīst. proj. (PB)</t>
  </si>
  <si>
    <t>Iekšlietu minist. (Export Development Corporation)</t>
  </si>
  <si>
    <t>Bauskas pašvaldībai (Dānijas Unibanka)</t>
  </si>
  <si>
    <t>Gulbenes pašvaldībai (Dānijas Unibanka)</t>
  </si>
  <si>
    <t>Kokneses pašvaldībai (Dānijas Unibanka)</t>
  </si>
  <si>
    <t>Kuldīgas pašvaldībai (Dānijas Unibanka)</t>
  </si>
  <si>
    <t>Ogres pašvaldībai (Dānijas Unibanka)</t>
  </si>
  <si>
    <t>Rūjienas pašvaldībai (Dānijas Unibanka)</t>
  </si>
  <si>
    <t>Saldus pašvaldībai (Dānijas Unibanka)</t>
  </si>
  <si>
    <t>Valkas pašvaldībai (Dānijas Unibanka)</t>
  </si>
  <si>
    <t>Valmieras pašvaldībai (Dānijas Unibanka)</t>
  </si>
  <si>
    <t>Bērnu slimnīcai (Dānijas Unibanka)</t>
  </si>
  <si>
    <t>Iekšlietu ministrijai (Societe Generale)</t>
  </si>
  <si>
    <t>Ceļu projekts (PB)</t>
  </si>
  <si>
    <t>Labklājības ministrijai - aizdevuma avanss (PB)</t>
  </si>
  <si>
    <t>Pašvaldību cieto atkritumu saimn. projekts (PB)</t>
  </si>
  <si>
    <t>Kopā   USD</t>
  </si>
  <si>
    <t>Aizņēmumi SVF norēķinu vienībās (XDR)</t>
  </si>
  <si>
    <t>Stand-by 1 (SVF)</t>
  </si>
  <si>
    <t>Stand-by 2 (SVF)</t>
  </si>
  <si>
    <t>STF-1 (SVF)</t>
  </si>
  <si>
    <t>STF-2 (SVF)</t>
  </si>
  <si>
    <t>Kopā   XDR</t>
  </si>
  <si>
    <t>Aizņēmumi Eiropas norēķinu vienībās (XEU)</t>
  </si>
  <si>
    <t>G-24 (Eiropas Ekonomiskā Savienība)</t>
  </si>
  <si>
    <t>Vides aizsardzībai (Nordic Investment Bank)</t>
  </si>
  <si>
    <t>Kopā   XEU</t>
  </si>
  <si>
    <t>Kopā pārskata gadā</t>
  </si>
  <si>
    <t>X</t>
  </si>
  <si>
    <t>*   Parāds pārskata gada sākumā koriģēts pēc datu bāzes inventarizācijas</t>
  </si>
  <si>
    <t>Valsts izsniegto galvojumu 1998. gada pārskats</t>
  </si>
  <si>
    <t>Galvojuma</t>
  </si>
  <si>
    <t>Galvojuma saņēmējs</t>
  </si>
  <si>
    <t>Galvojumi Šveices frankos (CHF)</t>
  </si>
  <si>
    <t>Galvojumi Vācijas markās (DEM)</t>
  </si>
  <si>
    <t>A/s ''Rīgas Miesnieks'' (AKA)</t>
  </si>
  <si>
    <t>A/s ''Ādaži'' (Thode+Sehobel osthand.haft mbh)</t>
  </si>
  <si>
    <t>A/s ''Preses nams'' (KFW)</t>
  </si>
  <si>
    <t>Latvijas Investīciju banka (DEG)</t>
  </si>
  <si>
    <t>Galvojumi Francijas frankos (FRF)</t>
  </si>
  <si>
    <t>PVA/s ''Latvenergo'' (Societe Generale)</t>
  </si>
  <si>
    <t>Kopā   FRF</t>
  </si>
  <si>
    <t>Galvojumi Japānas jēnās (JPY)</t>
  </si>
  <si>
    <t>A/s ''Tolaram Fibers'' (''Marubeni Corporation'')</t>
  </si>
  <si>
    <t>Galvojumi Latvijas latos (LVL)</t>
  </si>
  <si>
    <t>Liepājas SEZ (A/s ''Rīgas Komercbanka'')</t>
  </si>
  <si>
    <t>Kopā   LVL</t>
  </si>
  <si>
    <t>Galvojumi ASV dolāros (USD)</t>
  </si>
  <si>
    <t>Mērsraga osta (A/s ''Latvijas Unibanka'')</t>
  </si>
  <si>
    <t>Rīgas Starptautiskā lidosta (ERAB)</t>
  </si>
  <si>
    <t>PVA/s ''Latvenergo'' (SEC)</t>
  </si>
  <si>
    <t>PVA/s ''Latvenergo'' (ERAB)</t>
  </si>
  <si>
    <t>P/u ''Rīgas ūdens'' (ERAB)</t>
  </si>
  <si>
    <t>Latvijas Jūras administrācija (A/s ''Parekss Banka'')</t>
  </si>
  <si>
    <t>Ventspils ostas pārvalde (EIB)</t>
  </si>
  <si>
    <t>Ventspils ostas pārvalde (VABB)</t>
  </si>
  <si>
    <t>Rīgas tirdzniecības osta (A/s ''Latvijas Unibanka'')</t>
  </si>
  <si>
    <t>Rīgas tirdzniecības osta (A/s ''Vereinsbank Rīga'')</t>
  </si>
  <si>
    <t>VA/s ''Latvijas Dzelzceļš'' (ERAB)</t>
  </si>
  <si>
    <t>Liepājas SEZ (A/s ''Vereinsbank Rīga'')</t>
  </si>
  <si>
    <t>Galvojumi Eiropas norēķinu vienībās (XEU)</t>
  </si>
  <si>
    <t>Latvijas Investīciju banka (EIB)</t>
  </si>
  <si>
    <t>P/u ''Rīgas ūdens'' (EIB)</t>
  </si>
  <si>
    <t>PVA/s ''Latvenergo'' (EIB)</t>
  </si>
  <si>
    <t>VA/s ''Latvijas Dzelzceļš'' (EIB)</t>
  </si>
  <si>
    <t>Parakstīšanas</t>
  </si>
  <si>
    <t>Aizdevuma</t>
  </si>
  <si>
    <t>Procentu</t>
  </si>
  <si>
    <t>Pēdējais</t>
  </si>
  <si>
    <t>Aizdevuma devējs</t>
  </si>
  <si>
    <t>datums</t>
  </si>
  <si>
    <t>mērķis</t>
  </si>
  <si>
    <t>galējais</t>
  </si>
  <si>
    <t xml:space="preserve"> summa,</t>
  </si>
  <si>
    <t>likme</t>
  </si>
  <si>
    <t>maksāšanas</t>
  </si>
  <si>
    <t>Moratorijs</t>
  </si>
  <si>
    <t xml:space="preserve">atmaksas </t>
  </si>
  <si>
    <t>saņēmējs</t>
  </si>
  <si>
    <t xml:space="preserve"> valūta</t>
  </si>
  <si>
    <t>datumi</t>
  </si>
  <si>
    <t xml:space="preserve"> </t>
  </si>
  <si>
    <t>Februāra</t>
  </si>
  <si>
    <t>SVF</t>
  </si>
  <si>
    <t>Latvijas</t>
  </si>
  <si>
    <t>4.80 % (mainīga likme)</t>
  </si>
  <si>
    <t>maija,augusta</t>
  </si>
  <si>
    <t>-</t>
  </si>
  <si>
    <t>1998.g.</t>
  </si>
  <si>
    <t>1992.g.</t>
  </si>
  <si>
    <t>stabilizēšanai</t>
  </si>
  <si>
    <t>Banka</t>
  </si>
  <si>
    <t>XDR</t>
  </si>
  <si>
    <t>novembra</t>
  </si>
  <si>
    <t>10.datums</t>
  </si>
  <si>
    <t>15.decembris</t>
  </si>
  <si>
    <t>1999.g.</t>
  </si>
  <si>
    <t>(Stand-by 2)</t>
  </si>
  <si>
    <t>1993.g.</t>
  </si>
  <si>
    <t>19.jūlijā</t>
  </si>
  <si>
    <t>Maksājumu</t>
  </si>
  <si>
    <t>Eiropas Kopiena (G-24)</t>
  </si>
  <si>
    <t>8.janvāris</t>
  </si>
  <si>
    <t>bilances</t>
  </si>
  <si>
    <t>70 uzņēmumi</t>
  </si>
  <si>
    <t>6-m-LIBOR+0.075%</t>
  </si>
  <si>
    <t xml:space="preserve">30.marts </t>
  </si>
  <si>
    <t>7 gadi</t>
  </si>
  <si>
    <t>2000.g.</t>
  </si>
  <si>
    <t>XEU</t>
  </si>
  <si>
    <t>30.septembris</t>
  </si>
  <si>
    <t>31.martā</t>
  </si>
  <si>
    <t>AB Svensk Exportcredit (G-24)</t>
  </si>
  <si>
    <t>16.jūlijs</t>
  </si>
  <si>
    <t>46 uzņēmumi</t>
  </si>
  <si>
    <t>21.00</t>
  </si>
  <si>
    <t>6-m-LIBOR+0.625%</t>
  </si>
  <si>
    <t>15.marts</t>
  </si>
  <si>
    <t>USD</t>
  </si>
  <si>
    <t>15.septembris</t>
  </si>
  <si>
    <t>Company AEG (Vācija)</t>
  </si>
  <si>
    <t>12.decembris</t>
  </si>
  <si>
    <t>Nacionālajai</t>
  </si>
  <si>
    <t>Kultūras</t>
  </si>
  <si>
    <t>10.25%</t>
  </si>
  <si>
    <t xml:space="preserve">1.aprīlis </t>
  </si>
  <si>
    <t>1991.g.</t>
  </si>
  <si>
    <t>operai</t>
  </si>
  <si>
    <t>ministrija</t>
  </si>
  <si>
    <t>DEM</t>
  </si>
  <si>
    <t>1.oktobris</t>
  </si>
  <si>
    <t>Credit Lyonnais</t>
  </si>
  <si>
    <t>20.marts</t>
  </si>
  <si>
    <t>Digitālā angiogrāfa</t>
  </si>
  <si>
    <t>Labklājības</t>
  </si>
  <si>
    <t>LIBOR+1.25%</t>
  </si>
  <si>
    <t>26.aprīlis</t>
  </si>
  <si>
    <t>1 gads</t>
  </si>
  <si>
    <t>2001.g.</t>
  </si>
  <si>
    <t>(Francija)</t>
  </si>
  <si>
    <t>1996.g.</t>
  </si>
  <si>
    <t>iegāde</t>
  </si>
  <si>
    <t>26.oktobris</t>
  </si>
  <si>
    <t>Export Development Corporation</t>
  </si>
  <si>
    <t>9.aprīlis</t>
  </si>
  <si>
    <t>Nepilsoņu pasu</t>
  </si>
  <si>
    <t>Iekšlietu</t>
  </si>
  <si>
    <t>7.44%</t>
  </si>
  <si>
    <t>1.jūnijs,</t>
  </si>
  <si>
    <t>(Kanāda)</t>
  </si>
  <si>
    <t>projektam</t>
  </si>
  <si>
    <t>1.decembris</t>
  </si>
  <si>
    <t>katru mēnesi</t>
  </si>
  <si>
    <t>Credit Suisse</t>
  </si>
  <si>
    <t>15.aprīlis</t>
  </si>
  <si>
    <t>Enerģētikas</t>
  </si>
  <si>
    <t>VAS ''Latvenergo''</t>
  </si>
  <si>
    <t xml:space="preserve">SEBR </t>
  </si>
  <si>
    <t>atkarībā</t>
  </si>
  <si>
    <t>2003.g.</t>
  </si>
  <si>
    <t>1994.g.</t>
  </si>
  <si>
    <t>sektors</t>
  </si>
  <si>
    <t>CHF</t>
  </si>
  <si>
    <t>mainīgā</t>
  </si>
  <si>
    <t>no izmaksas</t>
  </si>
  <si>
    <t>27.februāris</t>
  </si>
  <si>
    <t>Societe Generale</t>
  </si>
  <si>
    <t>14. februāris</t>
  </si>
  <si>
    <t>Kriminoloģiskās</t>
  </si>
  <si>
    <t>7,80%</t>
  </si>
  <si>
    <t>14.februāris</t>
  </si>
  <si>
    <t>2003. g.</t>
  </si>
  <si>
    <t>1997.g.</t>
  </si>
  <si>
    <t>izmeklēšanas centram</t>
  </si>
  <si>
    <t>14.novembris</t>
  </si>
  <si>
    <t>13.aprīlī</t>
  </si>
  <si>
    <t>44 uzņēmumi</t>
  </si>
  <si>
    <t>5 gadi</t>
  </si>
  <si>
    <t>(STF-1)</t>
  </si>
  <si>
    <t>19.decembris</t>
  </si>
  <si>
    <t>1.datums</t>
  </si>
  <si>
    <t>23.aprīlis</t>
  </si>
  <si>
    <t>2004.g.</t>
  </si>
  <si>
    <t>(STF-2)</t>
  </si>
  <si>
    <t>19.jūlijs</t>
  </si>
  <si>
    <t>Finnish Export Credit (Somija)</t>
  </si>
  <si>
    <t>26.jūnijs</t>
  </si>
  <si>
    <t>Lauksaimniecības</t>
  </si>
  <si>
    <t>Lata</t>
  </si>
  <si>
    <t>6-m-LIBOR + 0.5%</t>
  </si>
  <si>
    <t>10.jūnijs</t>
  </si>
  <si>
    <t>mašīnu imports</t>
  </si>
  <si>
    <t>International</t>
  </si>
  <si>
    <t>10.decembris</t>
  </si>
  <si>
    <t>Den Danske Bank</t>
  </si>
  <si>
    <t>26.septembris</t>
  </si>
  <si>
    <t>Centrālapkures sistēmas</t>
  </si>
  <si>
    <t>Cēsu pašvaldība</t>
  </si>
  <si>
    <t>0.37</t>
  </si>
  <si>
    <t>bezprocentu</t>
  </si>
  <si>
    <t>30.jūnijs,</t>
  </si>
  <si>
    <t>2005.g.</t>
  </si>
  <si>
    <t>rekonstrukcija</t>
  </si>
  <si>
    <t>DKK</t>
  </si>
  <si>
    <t>kredīts</t>
  </si>
  <si>
    <t>31.decembris</t>
  </si>
  <si>
    <t>1.jūnijs</t>
  </si>
  <si>
    <t>Dānijas Unibanka</t>
  </si>
  <si>
    <t>20.oktobris</t>
  </si>
  <si>
    <t>Iekārtu imports</t>
  </si>
  <si>
    <t>'Rīgas Gāze''</t>
  </si>
  <si>
    <t>31.marts</t>
  </si>
  <si>
    <t>3 gadi</t>
  </si>
  <si>
    <t>2006.g.</t>
  </si>
  <si>
    <t>1995.g.</t>
  </si>
  <si>
    <t>30.septembrī</t>
  </si>
  <si>
    <t>10.novembris</t>
  </si>
  <si>
    <t>Ceļu seguma vadības</t>
  </si>
  <si>
    <t>sistēmas ieviešana</t>
  </si>
  <si>
    <t>fonds</t>
  </si>
  <si>
    <t>22.novembris</t>
  </si>
  <si>
    <t>Notekūdeņu attīrīšanas</t>
  </si>
  <si>
    <t>Strenču pašvaldība</t>
  </si>
  <si>
    <t>4 gadi</t>
  </si>
  <si>
    <t>iekārtas rekonstr.</t>
  </si>
  <si>
    <t>Centrālapkures sistēmu</t>
  </si>
  <si>
    <t>Līgatnes pašvaldība</t>
  </si>
  <si>
    <t>Bauskas</t>
  </si>
  <si>
    <t>2 gadi</t>
  </si>
  <si>
    <t>pašvaldība</t>
  </si>
  <si>
    <t>Kokneses</t>
  </si>
  <si>
    <t>Kuldīgas</t>
  </si>
  <si>
    <t>Ogres</t>
  </si>
  <si>
    <t>Rūjienas</t>
  </si>
  <si>
    <t>Saldus</t>
  </si>
  <si>
    <t>Valkas</t>
  </si>
  <si>
    <t>Valmieras</t>
  </si>
  <si>
    <t>Liepājas ostas</t>
  </si>
  <si>
    <t>pilsēta</t>
  </si>
  <si>
    <t>Swedish National Board for</t>
  </si>
  <si>
    <t>15.oktobris</t>
  </si>
  <si>
    <t>Katlu mājas</t>
  </si>
  <si>
    <t>Liepas</t>
  </si>
  <si>
    <t>STIBOR</t>
  </si>
  <si>
    <t>2007.g.</t>
  </si>
  <si>
    <t>Tehnical Development</t>
  </si>
  <si>
    <t>pagasts</t>
  </si>
  <si>
    <t>SEK</t>
  </si>
  <si>
    <t>Gulbenes</t>
  </si>
  <si>
    <t>27.janvāris</t>
  </si>
  <si>
    <t>Bērnu slimnīcai</t>
  </si>
  <si>
    <t>2008.g.</t>
  </si>
  <si>
    <t>Eiropas Rekonstrukcijas</t>
  </si>
  <si>
    <t>14.decembris</t>
  </si>
  <si>
    <t>Ceļu projekts</t>
  </si>
  <si>
    <t>6m-LIBOR+1%</t>
  </si>
  <si>
    <t>20.februāris</t>
  </si>
  <si>
    <t>2009.g.</t>
  </si>
  <si>
    <t>un attīstības banka</t>
  </si>
  <si>
    <t>(kopfin. ar JEIB)</t>
  </si>
  <si>
    <t>20.augusts</t>
  </si>
  <si>
    <t>Pasaules banka</t>
  </si>
  <si>
    <t>23.oktobris</t>
  </si>
  <si>
    <t>Rehabilitācijas</t>
  </si>
  <si>
    <t>15 uzņēmumi</t>
  </si>
  <si>
    <t>PB mainīgā</t>
  </si>
  <si>
    <t>6 gadi</t>
  </si>
  <si>
    <t>aizdevums</t>
  </si>
  <si>
    <t>+ 0.5%</t>
  </si>
  <si>
    <t>Japānas Eksporta un importa</t>
  </si>
  <si>
    <t>17.novembris</t>
  </si>
  <si>
    <t>7 uzņēmumi</t>
  </si>
  <si>
    <t>banka</t>
  </si>
  <si>
    <t>JPY</t>
  </si>
  <si>
    <t>dienas likme</t>
  </si>
  <si>
    <t>17.jūlijs</t>
  </si>
  <si>
    <t>(kopfin. ar ERAB)</t>
  </si>
  <si>
    <t>Izmaksas</t>
  </si>
  <si>
    <t>20.jūnijs</t>
  </si>
  <si>
    <t>Daugavas HES</t>
  </si>
  <si>
    <t>20.decembris</t>
  </si>
  <si>
    <t>Privatizācijas un</t>
  </si>
  <si>
    <t>9.novembris</t>
  </si>
  <si>
    <t>banku sistēmas</t>
  </si>
  <si>
    <t>PB mainīgā + 0.5%</t>
  </si>
  <si>
    <t>15. janvāris</t>
  </si>
  <si>
    <t>2011.g.</t>
  </si>
  <si>
    <t>attīstībai</t>
  </si>
  <si>
    <t>15.jūlijs</t>
  </si>
  <si>
    <t>15.jūlijā</t>
  </si>
  <si>
    <t>16.februāris</t>
  </si>
  <si>
    <t>Lauksaimniecība</t>
  </si>
  <si>
    <t>PB mainīgā+0.5%</t>
  </si>
  <si>
    <t>1.marts</t>
  </si>
  <si>
    <t>1.septembris</t>
  </si>
  <si>
    <t>Pasaules Banka</t>
  </si>
  <si>
    <t>Strukturālā</t>
  </si>
  <si>
    <t>LR valdība</t>
  </si>
  <si>
    <t>90.60</t>
  </si>
  <si>
    <t>PB fiksētā likme</t>
  </si>
  <si>
    <t>15.aprīlis,</t>
  </si>
  <si>
    <t>2012.g.</t>
  </si>
  <si>
    <t>reforma</t>
  </si>
  <si>
    <t>18.septembris</t>
  </si>
  <si>
    <t>Siltumapgādes</t>
  </si>
  <si>
    <t>Jelgavas</t>
  </si>
  <si>
    <t>1.maijs</t>
  </si>
  <si>
    <t>sistēmu</t>
  </si>
  <si>
    <t>1.novembris</t>
  </si>
  <si>
    <t>9.janvāris</t>
  </si>
  <si>
    <t xml:space="preserve">Vides </t>
  </si>
  <si>
    <t>15.februāris</t>
  </si>
  <si>
    <t>aizsardzībai</t>
  </si>
  <si>
    <t>15.augusts</t>
  </si>
  <si>
    <t>15.augustā</t>
  </si>
  <si>
    <t>15. maijs</t>
  </si>
  <si>
    <t>uzlabošana</t>
  </si>
  <si>
    <t>15. novembris</t>
  </si>
  <si>
    <t>15.novembris</t>
  </si>
  <si>
    <t>26.janvāris</t>
  </si>
  <si>
    <t>Municipālo</t>
  </si>
  <si>
    <t>pakalpojumu projekts</t>
  </si>
  <si>
    <t>2. maijs</t>
  </si>
  <si>
    <t>Ceļu attīstības</t>
  </si>
  <si>
    <t>6 mēn. LIBOR +</t>
  </si>
  <si>
    <t>15. marts</t>
  </si>
  <si>
    <t>2014. g.</t>
  </si>
  <si>
    <t>projekts</t>
  </si>
  <si>
    <t>15. septembris</t>
  </si>
  <si>
    <t>Pēc līgumu</t>
  </si>
  <si>
    <t>Peldošā</t>
  </si>
  <si>
    <t>Nordic Investment</t>
  </si>
  <si>
    <t>Ekoloģijas</t>
  </si>
  <si>
    <t>noslēgšanas</t>
  </si>
  <si>
    <t>vai fiksētā</t>
  </si>
  <si>
    <t xml:space="preserve">tiks slēgti 
</t>
  </si>
  <si>
    <t>10 gadi</t>
  </si>
  <si>
    <t>2022.g.</t>
  </si>
  <si>
    <t>Bank</t>
  </si>
  <si>
    <t>paredzēts</t>
  </si>
  <si>
    <t>pēc papildus</t>
  </si>
  <si>
    <t>papildus līgumi</t>
  </si>
  <si>
    <t>tālākaizdošanai</t>
  </si>
  <si>
    <t>Sadales    konts   Baltijas Tranzīta bankā               (000 100 001)</t>
  </si>
  <si>
    <t>Sadales   konts Latvijas Krājbankā                            (000 320 105)</t>
  </si>
  <si>
    <t>vienošanās</t>
  </si>
  <si>
    <t xml:space="preserve">   Commodity Credit</t>
  </si>
  <si>
    <t>9.jūnijs</t>
  </si>
  <si>
    <t xml:space="preserve">Graudu </t>
  </si>
  <si>
    <t>2% - pirmos 7 g.</t>
  </si>
  <si>
    <t>S a t u r a    r ā d ī t ā j s</t>
  </si>
  <si>
    <t>1.sējums</t>
  </si>
  <si>
    <t xml:space="preserve">3.  Konsolidētā   kopbudžeta  izpilde </t>
  </si>
  <si>
    <t xml:space="preserve">2.  Pārskats  par  valsts  konsolidētā  kopbudžeta  izpildi 1998.gadā </t>
  </si>
  <si>
    <t>1.  Paskaidrojums  par valsts  budžeta  izpildes  pārskatu  1998.gadā</t>
  </si>
  <si>
    <t>4.  Konsolidētā  kopbudžeta   izpilde pēc  budžeta  izdevumu</t>
  </si>
  <si>
    <t xml:space="preserve">      ekonomiskās  klasifikācijas</t>
  </si>
  <si>
    <t>5.  Konsolidētā  kopbudžeta   izpilde pēc  Valdības funkcijām</t>
  </si>
  <si>
    <t>6.  Valsts  un   pašvaldību   budžeta   iestāžu   grāmatvedības</t>
  </si>
  <si>
    <t xml:space="preserve">     bilanču  kopsavilkums  </t>
  </si>
  <si>
    <t>7.  Valsts    budžeta   iestāžu   grāmatvedības  bilanču  kopsavilkums</t>
  </si>
  <si>
    <t>8.   Pašvaldību  budžeta  iestāžu  grāmatvedības  bilanču  kopsavilkums</t>
  </si>
  <si>
    <t>9.   Valsts  un  pašvaldību  budžeta  finansu  bilance</t>
  </si>
  <si>
    <t>10. Valsts   budžeta   iestāžu    debitoru - kreditoru  parādu  saistību</t>
  </si>
  <si>
    <t xml:space="preserve">      pārskats</t>
  </si>
  <si>
    <t xml:space="preserve">11. Pašvaldību   budžeta   iestāžu    debitoru -  kreditoru   parādu </t>
  </si>
  <si>
    <t xml:space="preserve">      saistību  pārskats</t>
  </si>
  <si>
    <t>12. Valsts  parāda  saistību  pārskats (1996.,1997.un 1998.gadā)</t>
  </si>
  <si>
    <t>13.  Valsts   kases   izsniegtā   iekšējā   aizdevuma   pārskats</t>
  </si>
  <si>
    <t xml:space="preserve">        uz 1999.gada  1.janvāri</t>
  </si>
  <si>
    <t>14.  Valsts  ārējā  parāda  1998.gada  pārskats</t>
  </si>
  <si>
    <t>15.  Kredītu izmaksājamās  summas  un ārējā  parāda  apkalpošanas</t>
  </si>
  <si>
    <t>16. Valsts  izsniegto  galvojumu 1998.gada pārskats</t>
  </si>
  <si>
    <t>17.  Valsts  neatmaksāto  aizdevumu   saraksts uz 1998.gada 31.decembri</t>
  </si>
  <si>
    <t>18. Valsts  izsniegto  galvojumu  saraksts uz 1998.gada 31.decembri</t>
  </si>
  <si>
    <t xml:space="preserve">19. Pārskats  par valsts  budžeta  iestāžu  saņemto  ziedojumu  </t>
  </si>
  <si>
    <t xml:space="preserve">      izlietojumu  1998.gadā</t>
  </si>
  <si>
    <t>20.  Pārskats  par  pašvaldību  budžeta  iestāžu  saņemto  ziedojumu</t>
  </si>
  <si>
    <t xml:space="preserve">      un  dāvinājumu izlietojumu 1998.gadā</t>
  </si>
  <si>
    <t>21.  Pārskats   par   līdzekļu      neparedzētiem   gadījumiem</t>
  </si>
  <si>
    <t xml:space="preserve">       izlietojumu  1998.gadā</t>
  </si>
  <si>
    <t>22.  Pārskats  par  Valsts  kases  budžeta  kontos esošo līdzekļu</t>
  </si>
  <si>
    <t xml:space="preserve">       īstermiņa   investīcijām  1998.gadā</t>
  </si>
  <si>
    <t>23.  Izziņa   par   valsts   un   pašvaldību   budžeta     līdzekļu</t>
  </si>
  <si>
    <t xml:space="preserve">        atlikumiem   1998.gada   31.decembrī</t>
  </si>
  <si>
    <t xml:space="preserve">        maksājumi , 1999.-2003.</t>
  </si>
  <si>
    <t>24.novembrī</t>
  </si>
  <si>
    <t xml:space="preserve">    Corporation  (ASV)</t>
  </si>
  <si>
    <t>imports</t>
  </si>
  <si>
    <t>3% - pārējo laiku</t>
  </si>
  <si>
    <t>24.novembris</t>
  </si>
  <si>
    <t xml:space="preserve">Finansu ministrs </t>
  </si>
  <si>
    <t>Valsts neatmaksāto aizdevumu saraksts uz 1998. gada 31. decembri</t>
  </si>
  <si>
    <t>(miljonos valūtas vienību)</t>
  </si>
  <si>
    <t>Zviedrijas Nacionālā</t>
  </si>
  <si>
    <t>30.marts</t>
  </si>
  <si>
    <t>Apkures sistēmu</t>
  </si>
  <si>
    <t xml:space="preserve">Talsu pilsētas </t>
  </si>
  <si>
    <t>6 mēn. STIBOR</t>
  </si>
  <si>
    <t>2003. gada</t>
  </si>
  <si>
    <t>Enerģijas Administrācija</t>
  </si>
  <si>
    <t>rekonstrukcijai</t>
  </si>
  <si>
    <t>Domei</t>
  </si>
  <si>
    <t>30. septembris</t>
  </si>
  <si>
    <t>32 uzņēmumi</t>
  </si>
  <si>
    <t>Autoceļu direkcija</t>
  </si>
  <si>
    <t>Liepājas SEZ</t>
  </si>
  <si>
    <t>pārvalde</t>
  </si>
  <si>
    <t xml:space="preserve">Latvijas </t>
  </si>
  <si>
    <t>Autoceļu direkcija,</t>
  </si>
  <si>
    <t>6 bankas</t>
  </si>
  <si>
    <t>4 uzņēmumi</t>
  </si>
  <si>
    <t>8 bankas</t>
  </si>
  <si>
    <t>SIA ''Liepājas ūdens'',</t>
  </si>
  <si>
    <t>Rucavas pagasta</t>
  </si>
  <si>
    <t>padome</t>
  </si>
  <si>
    <t>Labklājības ministrija,</t>
  </si>
  <si>
    <t>VSAA,</t>
  </si>
  <si>
    <t>Kandavas pašvaldība</t>
  </si>
  <si>
    <t>Pašvaldības,</t>
  </si>
  <si>
    <t>pašvaldību</t>
  </si>
  <si>
    <t>uzņēmumi,</t>
  </si>
  <si>
    <t>PKF</t>
  </si>
  <si>
    <t>Valsts obligātās</t>
  </si>
  <si>
    <t>25.novembris</t>
  </si>
  <si>
    <t>Veselības reformas</t>
  </si>
  <si>
    <t>veselības</t>
  </si>
  <si>
    <t>Izmaksai fiksētā</t>
  </si>
  <si>
    <t>2014.gada</t>
  </si>
  <si>
    <t>apdrošināšanas</t>
  </si>
  <si>
    <t>PB 0.5%</t>
  </si>
  <si>
    <t>Atkritumu izgāztuves</t>
  </si>
  <si>
    <t>30.aprīlis</t>
  </si>
  <si>
    <t>modernizācija un</t>
  </si>
  <si>
    <t>LIBOR + 0.5%</t>
  </si>
  <si>
    <t>2015.gada</t>
  </si>
  <si>
    <t>atkritumu saimniecība</t>
  </si>
  <si>
    <t>(SIA Getliņi Eko)</t>
  </si>
  <si>
    <t>9.septembris</t>
  </si>
  <si>
    <t>Lauku attīstības</t>
  </si>
  <si>
    <t>15.maijs</t>
  </si>
  <si>
    <t>uzņēmumi</t>
  </si>
  <si>
    <t>Valsts izsniegto galvojumu saraksts uz 1998. gada 31. decembri</t>
  </si>
  <si>
    <t xml:space="preserve">Thode + Sehobel </t>
  </si>
  <si>
    <t>30.novembris</t>
  </si>
  <si>
    <t>Tehnoloģijas</t>
  </si>
  <si>
    <t>A/S ''Adaži''</t>
  </si>
  <si>
    <t>8%</t>
  </si>
  <si>
    <t>30.jūnijs</t>
  </si>
  <si>
    <t>osthandelsgessellschaft mbh</t>
  </si>
  <si>
    <t>30.decembris</t>
  </si>
  <si>
    <t>AKA Ausfuhkredit -</t>
  </si>
  <si>
    <t>16.marts</t>
  </si>
  <si>
    <t>VAS ''Rīgas</t>
  </si>
  <si>
    <t>7.75%</t>
  </si>
  <si>
    <t>Gessellellschaft (Germany)</t>
  </si>
  <si>
    <t>Miesnieks''</t>
  </si>
  <si>
    <t>Kreditanstalt fur</t>
  </si>
  <si>
    <t>22.decembris</t>
  </si>
  <si>
    <t>Drukāšanas iekārtas</t>
  </si>
  <si>
    <t>A/S ''Preses nams''</t>
  </si>
  <si>
    <t>laika perioda likme</t>
  </si>
  <si>
    <t>Wiederaufbau (KFW)</t>
  </si>
  <si>
    <t>+ 0.875%</t>
  </si>
  <si>
    <t>'Marubeni Corporation''</t>
  </si>
  <si>
    <t>21.decembris</t>
  </si>
  <si>
    <t>A/S ''Tolaram</t>
  </si>
  <si>
    <t>4.8%</t>
  </si>
  <si>
    <t>21.februāris</t>
  </si>
  <si>
    <t>2</t>
  </si>
  <si>
    <t>(Japāna)</t>
  </si>
  <si>
    <t>Fibers''</t>
  </si>
  <si>
    <t>21.augusts</t>
  </si>
  <si>
    <t>gadi</t>
  </si>
  <si>
    <t>Ventspils Apvienotā</t>
  </si>
  <si>
    <t>17.decembris</t>
  </si>
  <si>
    <t>Transporta</t>
  </si>
  <si>
    <t>Ventspils ostas</t>
  </si>
  <si>
    <t>9.8%</t>
  </si>
  <si>
    <t>katru</t>
  </si>
  <si>
    <t>Baltijas Banka</t>
  </si>
  <si>
    <t>administrācija</t>
  </si>
  <si>
    <t>mēnesi</t>
  </si>
  <si>
    <t>A/S ''Rīgas komercbanka''</t>
  </si>
  <si>
    <t>18.jūlijs</t>
  </si>
  <si>
    <t>Ekonomiskā</t>
  </si>
  <si>
    <t>Liepājas speciālās</t>
  </si>
  <si>
    <t>7.3%  - 10%</t>
  </si>
  <si>
    <t>2002.g.</t>
  </si>
  <si>
    <t>projekta</t>
  </si>
  <si>
    <t>ekonomiskās</t>
  </si>
  <si>
    <t>LVL</t>
  </si>
  <si>
    <t>1.augusts</t>
  </si>
  <si>
    <t>finansēšana</t>
  </si>
  <si>
    <t>zonas pārvalde</t>
  </si>
  <si>
    <t>Banque Indosuez</t>
  </si>
  <si>
    <t>PVAS ''Latvenergo''</t>
  </si>
  <si>
    <t>7.875%</t>
  </si>
  <si>
    <t>31.janvāris</t>
  </si>
  <si>
    <t>Stockholm Branch</t>
  </si>
  <si>
    <t>31.jūlijs</t>
  </si>
  <si>
    <t>(Sweden Export Credit)</t>
  </si>
  <si>
    <t>Credit Suisse First Boston</t>
  </si>
  <si>
    <t>SEBR</t>
  </si>
  <si>
    <t>(Šveice)</t>
  </si>
  <si>
    <t>gads</t>
  </si>
  <si>
    <t>A/S ''Pareks Banka''</t>
  </si>
  <si>
    <t>13.augusts</t>
  </si>
  <si>
    <t>Kuģu satiksmes</t>
  </si>
  <si>
    <t>Latvijas Jūras</t>
  </si>
  <si>
    <t>7.18%</t>
  </si>
  <si>
    <t>10.februāris</t>
  </si>
  <si>
    <t>1997.g,.</t>
  </si>
  <si>
    <t>vadības sistēmas</t>
  </si>
  <si>
    <t>10.augusts</t>
  </si>
  <si>
    <t>ieviešana</t>
  </si>
  <si>
    <t>Deutsche Investitions und</t>
  </si>
  <si>
    <t>4.augusts</t>
  </si>
  <si>
    <t xml:space="preserve">Investīciju </t>
  </si>
  <si>
    <t>10.5%</t>
  </si>
  <si>
    <t>Entwicklungsgesellscaft GmbH</t>
  </si>
  <si>
    <t>programma</t>
  </si>
  <si>
    <t>Investīciju banka</t>
  </si>
  <si>
    <t>(DEG)</t>
  </si>
  <si>
    <t>Eiropas investīcijas</t>
  </si>
  <si>
    <t>Ekonomiskā projekta</t>
  </si>
  <si>
    <t>5.49% - 7.23%</t>
  </si>
  <si>
    <t>20.aprīlis</t>
  </si>
  <si>
    <t>10.janvāris</t>
  </si>
  <si>
    <t>A/S ''Latvijas Unibanka''</t>
  </si>
  <si>
    <t>9.decembris</t>
  </si>
  <si>
    <t>Ostas rekonstrukcija</t>
  </si>
  <si>
    <t>LIBOR + 1.38%</t>
  </si>
  <si>
    <t>10.aprīlis</t>
  </si>
  <si>
    <t>un modernizācija</t>
  </si>
  <si>
    <t>tirdzniecības osta''</t>
  </si>
  <si>
    <t>10.jūlijs</t>
  </si>
  <si>
    <t>10.oktobris</t>
  </si>
  <si>
    <t>3.februāris</t>
  </si>
  <si>
    <t>19.maijs</t>
  </si>
  <si>
    <t>Mērsraga</t>
  </si>
  <si>
    <t>LIBOR + 2%</t>
  </si>
  <si>
    <t>3.maijs</t>
  </si>
  <si>
    <t>ostas pārvalde</t>
  </si>
  <si>
    <t>3.augusts</t>
  </si>
  <si>
    <t>23.decembris</t>
  </si>
  <si>
    <t>3.novembris</t>
  </si>
  <si>
    <t>Eiropas rekonstrukcijas</t>
  </si>
  <si>
    <t>8.oktobris</t>
  </si>
  <si>
    <t>Lidostas</t>
  </si>
  <si>
    <t>Rīgas</t>
  </si>
  <si>
    <t>LIBOR+1%</t>
  </si>
  <si>
    <t>starptautiskā</t>
  </si>
  <si>
    <t>lidosta</t>
  </si>
  <si>
    <t>A/S ''Vereinsbank Rīga''</t>
  </si>
  <si>
    <t xml:space="preserve">Liepājas ostas kuģu </t>
  </si>
  <si>
    <t>3 mēnešu LIBOR</t>
  </si>
  <si>
    <t xml:space="preserve">ceļu un akvatorijas </t>
  </si>
  <si>
    <t>padziļināšanas projekts</t>
  </si>
  <si>
    <t xml:space="preserve">Rīgas </t>
  </si>
  <si>
    <t>Tirdzniecības ostas</t>
  </si>
  <si>
    <t>VA/S ''Rīgas</t>
  </si>
  <si>
    <t>rekonstrukcijai un</t>
  </si>
  <si>
    <t>Tirdzniecības osta''</t>
  </si>
  <si>
    <t>Mainīgā likme</t>
  </si>
  <si>
    <t>6.03%</t>
  </si>
  <si>
    <t>19.janvāris</t>
  </si>
  <si>
    <t>3</t>
  </si>
  <si>
    <t>2010.g.</t>
  </si>
  <si>
    <t>FRF</t>
  </si>
  <si>
    <t>6.augusts</t>
  </si>
  <si>
    <t>Ūdensapgādes</t>
  </si>
  <si>
    <t>LIBOR + 1%</t>
  </si>
  <si>
    <t>5.februāris</t>
  </si>
  <si>
    <t>Dome</t>
  </si>
  <si>
    <t>5.augusts</t>
  </si>
  <si>
    <t>Eiropas investīciju</t>
  </si>
  <si>
    <t>24.jūlijs</t>
  </si>
  <si>
    <t>31.maijs</t>
  </si>
  <si>
    <t>Eiropas Rekonstrukcijas un</t>
  </si>
  <si>
    <t>Ventspils Dzelzceļa</t>
  </si>
  <si>
    <t>A/S ''Latvijas</t>
  </si>
  <si>
    <t>21.marts</t>
  </si>
  <si>
    <t>2013.g.</t>
  </si>
  <si>
    <t>attīstības banka</t>
  </si>
  <si>
    <t>mezglu būvniecība</t>
  </si>
  <si>
    <t>Dzelzceļš''</t>
  </si>
  <si>
    <t>21.septembris</t>
  </si>
  <si>
    <t>Eiropas</t>
  </si>
  <si>
    <t>Peldošā likme</t>
  </si>
  <si>
    <t>2016.g.</t>
  </si>
  <si>
    <t>investīciju banka</t>
  </si>
  <si>
    <t>29.oktobris</t>
  </si>
  <si>
    <t>Eiropas Investīcijas banka</t>
  </si>
  <si>
    <t>Dzelzceļa sliežu</t>
  </si>
  <si>
    <t>Fiksēta EIB likme,</t>
  </si>
  <si>
    <t>5</t>
  </si>
  <si>
    <t>2018.g.</t>
  </si>
  <si>
    <t>ceļu rekonstrukcija</t>
  </si>
  <si>
    <t>ko nosaka aizdevuma</t>
  </si>
  <si>
    <t>31.oktobris</t>
  </si>
  <si>
    <t>izmaksas brīdī</t>
  </si>
  <si>
    <t>IZZIŅA</t>
  </si>
  <si>
    <t xml:space="preserve">par valsts un pašvaldību budžetu līdzekļu atlikumiem </t>
  </si>
  <si>
    <t>1998.gada 31.decembrī</t>
  </si>
  <si>
    <t>Banka, konta numurs, valūtas kods</t>
  </si>
  <si>
    <t>Summa latos</t>
  </si>
  <si>
    <t>Summa valūtā</t>
  </si>
  <si>
    <t>Valsts kases kontos</t>
  </si>
  <si>
    <t>Norēķinu kontu atlikumi latos</t>
  </si>
  <si>
    <t>Latvijas Banka - kopā</t>
  </si>
  <si>
    <t>Norēķinu konts (000 361 101)</t>
  </si>
  <si>
    <t>Vērtspapīru konts (000 361 703)</t>
  </si>
  <si>
    <t>Noguldījumu  garantiju fonds(000361910)</t>
  </si>
  <si>
    <t>Valūtas groza aizdevuma apkalpošanas maksājumi  (000337630)   LVL</t>
  </si>
  <si>
    <t>Valūtas groza aizdevuma kredītlīnijas atmaksa  (010337821)  LVL</t>
  </si>
  <si>
    <t xml:space="preserve">Komercbanku konti </t>
  </si>
  <si>
    <t>Reģionālo norēķinu centru konti - kopā</t>
  </si>
  <si>
    <t>Baltijas Tranzītu banka - kopā</t>
  </si>
  <si>
    <t>Rīga (99-000 102 099)</t>
  </si>
  <si>
    <t>Pļaviņas (000 102 001)</t>
  </si>
  <si>
    <t>Daugavpils (000 102 001)</t>
  </si>
  <si>
    <t>Jelgava (000 102 001)</t>
  </si>
  <si>
    <t>Ludza (000102 001)</t>
  </si>
  <si>
    <t>Ogre (000 102 001)</t>
  </si>
  <si>
    <t>Ventspils  (000 102 012)</t>
  </si>
  <si>
    <t>Latvijas Hipotēku un Zemes banka - kopā</t>
  </si>
  <si>
    <t>Rīga (100-005030-001)</t>
  </si>
  <si>
    <t>Rīgas Komercbanka- kopā</t>
  </si>
  <si>
    <t>Rīga ( 2010042174)</t>
  </si>
  <si>
    <t xml:space="preserve">Liepāja (201 031 5540) </t>
  </si>
  <si>
    <t xml:space="preserve">Rēzekne (90 010 0001) </t>
  </si>
  <si>
    <t>Parekss-Banka - kopā</t>
  </si>
  <si>
    <t>Citadele(400 100 0001)</t>
  </si>
  <si>
    <t>Latvijas Unibanka - kopā</t>
  </si>
  <si>
    <t>Āgenskalns (03-000 100 501)</t>
  </si>
  <si>
    <t>Rīdzene (02-100 100 501)</t>
  </si>
  <si>
    <t>Alūksne (25-004 120 301)</t>
  </si>
  <si>
    <t>Balvi (24- 000 120 501)</t>
  </si>
  <si>
    <t xml:space="preserve">Bauska (29-700 100 001) </t>
  </si>
  <si>
    <t>Cēsis (04-000 120 450)</t>
  </si>
  <si>
    <t>Dobele (06- 000 120 963)</t>
  </si>
  <si>
    <t>Gulbene (07-000 120 240)</t>
  </si>
  <si>
    <t>Jēkabpils (09-000 120 101)</t>
  </si>
  <si>
    <t>Jūrmala (10-000 120 516)</t>
  </si>
  <si>
    <t>Krāslava (23-000 100 001)</t>
  </si>
  <si>
    <t>Kuldīga (11-000 120 001)</t>
  </si>
  <si>
    <t>Limbaži (13-000 120 502)</t>
  </si>
  <si>
    <t>Madona (30-900 120 201)</t>
  </si>
  <si>
    <t>Preiļi (26-000 120 301)</t>
  </si>
  <si>
    <t>Saldus (15-000 120 449)</t>
  </si>
  <si>
    <t>Talsi (28-700 100 800)</t>
  </si>
  <si>
    <t>Tukums (32-000 120 301)</t>
  </si>
  <si>
    <t>Valka (17-000 120 508)</t>
  </si>
  <si>
    <t>Valmiera (18-000 120 400)</t>
  </si>
  <si>
    <t>Pašvaldību finansu izlīdzināšanas fonda līdzekļi</t>
  </si>
  <si>
    <t>Unibanka Rīdzene (000 131 201)</t>
  </si>
  <si>
    <t>Iedzīvotāju ienākuma nodokļa sadales konti - kopā</t>
  </si>
  <si>
    <t>Norēķinu kontu atlikumi valūtās</t>
  </si>
  <si>
    <t>Aizņēmuma līdzekļi</t>
  </si>
  <si>
    <t>EEK kredītlīdzekļi (014148404) USD</t>
  </si>
  <si>
    <t>STF -1(015148102) USD</t>
  </si>
  <si>
    <t>STF-2 ( 016148305) USD</t>
  </si>
  <si>
    <t>Zviedrijas kredīts (013148706) USD</t>
  </si>
  <si>
    <t>Atsevišķo valūtu aizdevumu konti(AV)</t>
  </si>
  <si>
    <t>AV apkalpošanas maksājumi                        (010 337 031) USD</t>
  </si>
  <si>
    <t>AV apkalpošanas maksājumi                          (010 337 432) DEM</t>
  </si>
  <si>
    <t>Valūtas groza aizdevuma apkalpošanas maksājumi  (010 337 730) USD</t>
  </si>
  <si>
    <t>Atsevišķo valūtu   (AV) tranzīta konti</t>
  </si>
  <si>
    <t>AV tranzīts (010 337 128) DEM</t>
  </si>
  <si>
    <t>AV tranzīts (010 337 620) USD</t>
  </si>
  <si>
    <t>AV tranzīts (010 337 824) USD</t>
  </si>
  <si>
    <t>AV  tranzīts (010337125)  USD</t>
  </si>
  <si>
    <t>AV  tranzīts (010 337 429) DEM</t>
  </si>
  <si>
    <t>Valdības garantēto ārvalstu aizdevumu rezerves un riska fonds (RF)</t>
  </si>
  <si>
    <t>RF (000328102)  USD</t>
  </si>
  <si>
    <t>RF (020328302)  DEM</t>
  </si>
  <si>
    <t>RF (000328801)  USD</t>
  </si>
  <si>
    <t>Valūta komercbankās</t>
  </si>
  <si>
    <t>Hansabanka - kopā</t>
  </si>
  <si>
    <t>RUB 254/08/031202</t>
  </si>
  <si>
    <t>DEM 074/01/031202</t>
  </si>
  <si>
    <t>USD 194/01/031202</t>
  </si>
  <si>
    <t>JPY 144/01/031202</t>
  </si>
  <si>
    <t>Rīgas Komercbanka - kopā</t>
  </si>
  <si>
    <t>USD 203 000 3610</t>
  </si>
  <si>
    <t>DEM 205 000 1979</t>
  </si>
  <si>
    <t>ATS 209 000 0226</t>
  </si>
  <si>
    <t>BEF 213 000 0248</t>
  </si>
  <si>
    <t>CAD 215 000 0442</t>
  </si>
  <si>
    <t>CHF 217 000 0323</t>
  </si>
  <si>
    <t>DKK 219 000 0497</t>
  </si>
  <si>
    <t>XEU 221 000 0602</t>
  </si>
  <si>
    <t>FIM 225 000 0646</t>
  </si>
  <si>
    <t>FRF 227 000 0420</t>
  </si>
  <si>
    <t>GBP 229 000 0613</t>
  </si>
  <si>
    <t>NLG 235 000 0408</t>
  </si>
  <si>
    <t>EEK 265 000 0657</t>
  </si>
  <si>
    <t>SEK 239 000 1076</t>
  </si>
  <si>
    <t>USD 280 000 0011</t>
  </si>
  <si>
    <t>USD 280 000 0033</t>
  </si>
  <si>
    <t>USD 281 000 0011</t>
  </si>
  <si>
    <t xml:space="preserve">USD 280 000 0044 </t>
  </si>
  <si>
    <t>ITL  2310000970</t>
  </si>
  <si>
    <t>LVL  2010042174</t>
  </si>
  <si>
    <t>XEU 221 000 0958</t>
  </si>
  <si>
    <t>XEU  221000 1195</t>
  </si>
  <si>
    <t>XEU 2210001203</t>
  </si>
  <si>
    <t>XEU 221000 1065</t>
  </si>
  <si>
    <t>XEU 2210001087</t>
  </si>
  <si>
    <t>XEU 2210001076</t>
  </si>
  <si>
    <t>USD 200 307 4349</t>
  </si>
  <si>
    <t>USD 01- 101074134</t>
  </si>
  <si>
    <t>Bankers Trust Company - kopā</t>
  </si>
  <si>
    <t>USD 04-408-273</t>
  </si>
  <si>
    <t>USD  04-407-369</t>
  </si>
  <si>
    <t>USD 04-407-385</t>
  </si>
  <si>
    <t>USD 04 -407-342</t>
  </si>
  <si>
    <t>DEM 512 430-020</t>
  </si>
  <si>
    <t xml:space="preserve">DEM 512 430-039 </t>
  </si>
  <si>
    <t>Marine Midland Bank - kopā</t>
  </si>
  <si>
    <t>USD 000 101 419</t>
  </si>
  <si>
    <t xml:space="preserve">      1500     Materiālu,energoresursu,ūdens un inventāra vērtībā līdz</t>
  </si>
  <si>
    <t xml:space="preserve">                    LS  50  par 1 vienību  iegāde</t>
  </si>
  <si>
    <t xml:space="preserve">      0010     Pārējie izdevumi , kurus sadala  pa ekonomiskās</t>
  </si>
  <si>
    <t xml:space="preserve">                    klasifikācijas  kodiem budžeta  izpildes  laikā</t>
  </si>
  <si>
    <t xml:space="preserve">               no tām : dzīvojamais fonds</t>
  </si>
  <si>
    <t xml:space="preserve">                               ceļu  fonds</t>
  </si>
  <si>
    <t xml:space="preserve">        Pamatlīdzekļu izveidošana un nepabeigto celtniecības  objektu izmaksas</t>
  </si>
  <si>
    <t xml:space="preserve">                      materiāli mācību , zinātniskiem un citiem  mērķiem</t>
  </si>
  <si>
    <t xml:space="preserve">                      medikamenti un pārsiešanas  materiāli</t>
  </si>
  <si>
    <t xml:space="preserve">                      saimniecības materiāli un  kancelejas  piederumi</t>
  </si>
  <si>
    <t>Norēķini par prasībām ( ar debitoriem)</t>
  </si>
  <si>
    <t xml:space="preserve">                  Speciālā budžeta konti</t>
  </si>
  <si>
    <t xml:space="preserve">       Akreditīvi,čeki un īpašu norēķinu formu konti</t>
  </si>
  <si>
    <t xml:space="preserve">       Pārējie naudas līdzekļi</t>
  </si>
  <si>
    <t>Uz 1998.gada 1.janvāri *</t>
  </si>
  <si>
    <t>Uz 1998.gada 1.janvāri  *</t>
  </si>
  <si>
    <t xml:space="preserve">Atmaksāti piešķirtie līdzekļi neparedzētiem gadījumiem </t>
  </si>
  <si>
    <t>Valsts informācijas tīkla aģentūra (VITA)</t>
  </si>
  <si>
    <t xml:space="preserve">Vērtspapīros </t>
  </si>
  <si>
    <t xml:space="preserve"> Valūtā</t>
  </si>
  <si>
    <t>* -  mainīti   atlikumi  uz gada  sākumu   saskaņā  ar  uzskaites metodoloģijas  un strukturālajām izmaiņām</t>
  </si>
  <si>
    <t xml:space="preserve"> Latos</t>
  </si>
  <si>
    <t xml:space="preserve"> Pārskats par valsts konsolidētā  kopbudžeta izpildi  1998.gadā</t>
  </si>
  <si>
    <t>USDs 000 101 389</t>
  </si>
  <si>
    <t>Svenska Handelsbank - kopā</t>
  </si>
  <si>
    <t>USD 99-418 201 69</t>
  </si>
  <si>
    <t>USD 99-480 066 29</t>
  </si>
  <si>
    <t>USD 99-420 645 89</t>
  </si>
  <si>
    <t>USD 99-420 652 59</t>
  </si>
  <si>
    <t>USD 99-426 122 09</t>
  </si>
  <si>
    <t>USD 99-420 653 99</t>
  </si>
  <si>
    <t>USD 99-426 123 49</t>
  </si>
  <si>
    <t>USD 99-423 074 49</t>
  </si>
  <si>
    <t>USD 99-424 221 59</t>
  </si>
  <si>
    <t>Depozīti latos un valūtās</t>
  </si>
  <si>
    <t>Ieguldījumi depozītos</t>
  </si>
  <si>
    <t>Ieguldījumi depozītos  LVL - kopā</t>
  </si>
  <si>
    <t xml:space="preserve">Latvijas Banka </t>
  </si>
  <si>
    <t>Depozīti komercbankās  - kopā</t>
  </si>
  <si>
    <t>Latvijas Unibankā</t>
  </si>
  <si>
    <t>Parekss-Banka</t>
  </si>
  <si>
    <t>Trasta komercbanka</t>
  </si>
  <si>
    <t>Baltijas Tranzītu banka</t>
  </si>
  <si>
    <t>Ieguldījumi depozītos vērtspapīros - kopā</t>
  </si>
  <si>
    <t xml:space="preserve">Depozīti DEM </t>
  </si>
  <si>
    <t>Depozīti XEU</t>
  </si>
  <si>
    <t>Depozīti USD</t>
  </si>
  <si>
    <t>Ieguldījumi depozītos komercbankās valūtā</t>
  </si>
  <si>
    <t>Hansabank - Latvija depozīts USD</t>
  </si>
  <si>
    <t>Finansu ministrs                                                                                     I.Godmanis</t>
  </si>
  <si>
    <t>Valsts kases pārvaldnieks                                                                            A.Veiss</t>
  </si>
  <si>
    <t>Valsts kases izsniegtā iekšējā</t>
  </si>
  <si>
    <t>aizdevuma pārskats uz 1999.gada 1.janvāri</t>
  </si>
  <si>
    <t xml:space="preserve">        (latos)</t>
  </si>
  <si>
    <t>N.p.k.</t>
  </si>
  <si>
    <t>Pašvaldība</t>
  </si>
  <si>
    <t>Atmaksas termiņš</t>
  </si>
  <si>
    <t>Aizdevuma summa</t>
  </si>
  <si>
    <t>Mazzalves pagasts</t>
  </si>
  <si>
    <t>27.01.1999,  01.07.2003</t>
  </si>
  <si>
    <t>Bauskas pilsēta</t>
  </si>
  <si>
    <t>10.03.1999</t>
  </si>
  <si>
    <t>Elejas pagasts</t>
  </si>
  <si>
    <t>01.03.1999</t>
  </si>
  <si>
    <t>Višķu pagasts</t>
  </si>
  <si>
    <t>31.03.1999,   31.03.2001</t>
  </si>
  <si>
    <t>Rīgas Dome</t>
  </si>
  <si>
    <t>01.05.1999</t>
  </si>
  <si>
    <t>Mazsalacas pilsēta</t>
  </si>
  <si>
    <t>05.06.1999</t>
  </si>
  <si>
    <t>Naujenes pagasts</t>
  </si>
  <si>
    <t>30.06.1999,   31.08.2000</t>
  </si>
  <si>
    <t>Valmieras pilsēta</t>
  </si>
  <si>
    <t>10.06.1999,   10.07.1999</t>
  </si>
  <si>
    <t>Ozolnieku pagasts</t>
  </si>
  <si>
    <t>01.06.1999,  01.09.2007</t>
  </si>
  <si>
    <t>Bērzaines pagasts</t>
  </si>
  <si>
    <t>01.07.1999</t>
  </si>
  <si>
    <t>Līvānu pilsēta</t>
  </si>
  <si>
    <t>23.07.1999,  20.09.1999, 20.12.2000</t>
  </si>
  <si>
    <t>Talsu rajona padome</t>
  </si>
  <si>
    <t>25.07.1999</t>
  </si>
  <si>
    <t>Preiļu pilsēta</t>
  </si>
  <si>
    <t>01.07.1999,   01.09.2008</t>
  </si>
  <si>
    <t>Kursīšu pagasts</t>
  </si>
  <si>
    <t>20.08.1999</t>
  </si>
  <si>
    <t>Jaunjelgavas pilsēta</t>
  </si>
  <si>
    <t>31.08.1999</t>
  </si>
  <si>
    <t>Valmieras pagasts</t>
  </si>
  <si>
    <t>Auces pilsēta</t>
  </si>
  <si>
    <t>01.09.1999</t>
  </si>
  <si>
    <t>Auru pagasts</t>
  </si>
  <si>
    <t>Jūrmalas pilsēta</t>
  </si>
  <si>
    <t>01.09.1999,   28.02.2003</t>
  </si>
  <si>
    <t>Kuldīgas pilsēta</t>
  </si>
  <si>
    <t>Liepājas pilsēta</t>
  </si>
  <si>
    <t>05.09.1999</t>
  </si>
  <si>
    <t>Līgatnes pagasts</t>
  </si>
  <si>
    <t>Ogres pilsēta</t>
  </si>
  <si>
    <t>30.09.1999,  23.12.2008</t>
  </si>
  <si>
    <t>Rēzeknes pilsēta</t>
  </si>
  <si>
    <t>01.09.1999,  20.03.2000</t>
  </si>
  <si>
    <t>Zilupes pilsēta</t>
  </si>
  <si>
    <t>14.09.1999</t>
  </si>
  <si>
    <t>Vārves pagasts</t>
  </si>
  <si>
    <t>Vangažu pilsēta</t>
  </si>
  <si>
    <t>30.09.1999,  01.01.2003</t>
  </si>
  <si>
    <t>Ādažu pagasts</t>
  </si>
  <si>
    <t>01.10.1999, 01.11.2004</t>
  </si>
  <si>
    <t>Dobeles pilsēta</t>
  </si>
  <si>
    <t>01.10.1999, 01.03.2002, 20.07.2002</t>
  </si>
  <si>
    <t>Līvbērzes pagasts</t>
  </si>
  <si>
    <t>01.10.1999</t>
  </si>
  <si>
    <t>Talsu pilsēta</t>
  </si>
  <si>
    <t>Sesavas pagasts</t>
  </si>
  <si>
    <t>25.10.1999</t>
  </si>
  <si>
    <t>Viļānu pilsēta</t>
  </si>
  <si>
    <t>01.10.1999,  01.10.2001</t>
  </si>
  <si>
    <t>Mores pagasts</t>
  </si>
  <si>
    <t>01.11.1999</t>
  </si>
  <si>
    <t>Mākoņkalna pagasts</t>
  </si>
  <si>
    <t>30.11.1999</t>
  </si>
  <si>
    <t>Ērgļu pagasts</t>
  </si>
  <si>
    <t>01.12.1999</t>
  </si>
  <si>
    <t>Kalupes pagasts</t>
  </si>
  <si>
    <t>20.12.1999</t>
  </si>
  <si>
    <t>Engures pagasts</t>
  </si>
  <si>
    <t>23.12.1999</t>
  </si>
  <si>
    <t>Jelgavas pilsēta</t>
  </si>
  <si>
    <t>23.12.1999,  01.03.2000,      23.12.2000</t>
  </si>
  <si>
    <t>Ķeguma pilsēta</t>
  </si>
  <si>
    <t>Lubānas pilsēta</t>
  </si>
  <si>
    <t>Platones pagasts</t>
  </si>
  <si>
    <t>Praulienas pagasts</t>
  </si>
  <si>
    <t>Pilskalnes pagasts</t>
  </si>
  <si>
    <t>Vircavas pagasts</t>
  </si>
  <si>
    <t>01.12.1999,   23.12.2001,   30.09.2005</t>
  </si>
  <si>
    <t>Jaunpiebalgas pagasts</t>
  </si>
  <si>
    <t>10.01.2000</t>
  </si>
  <si>
    <t>Tumes pagasts</t>
  </si>
  <si>
    <t>01.01.2000,   01.01.2001</t>
  </si>
  <si>
    <t>Pūres pagasts</t>
  </si>
  <si>
    <t>01.01.2000</t>
  </si>
  <si>
    <t>Kandavas pilsēta</t>
  </si>
  <si>
    <t>20.02.2000,  20.12.2004</t>
  </si>
  <si>
    <t>Aglonas pagasts</t>
  </si>
  <si>
    <t>30.04.2000</t>
  </si>
  <si>
    <t>Daugmales pagasts</t>
  </si>
  <si>
    <t>01.04.2000</t>
  </si>
  <si>
    <t>Vārkavas pagasts</t>
  </si>
  <si>
    <t>Pļaviņu pilsēta</t>
  </si>
  <si>
    <t>01.05.2000</t>
  </si>
  <si>
    <t>Ģibuļu pagasts</t>
  </si>
  <si>
    <t>01.07.2000</t>
  </si>
  <si>
    <t>Lībagu pagasts</t>
  </si>
  <si>
    <t>Sējas pagasts</t>
  </si>
  <si>
    <t>Skrīveru pagasts</t>
  </si>
  <si>
    <t>Tukuma pilsēta</t>
  </si>
  <si>
    <t>01.07.2000,   31.03.2003</t>
  </si>
  <si>
    <t>Dobeles pagasts</t>
  </si>
  <si>
    <t>31.08.2000</t>
  </si>
  <si>
    <t>Ludzas pilsēta</t>
  </si>
  <si>
    <t>01.09.2000</t>
  </si>
  <si>
    <t>Strazdes pagasts</t>
  </si>
  <si>
    <t>Krāslavas pilsēta</t>
  </si>
  <si>
    <t>01.10.2000,    01.09.2002,   20.12.2000</t>
  </si>
  <si>
    <t>Stopiņu pagasts</t>
  </si>
  <si>
    <t>01.10.2000</t>
  </si>
  <si>
    <t>Varakļānu pilsēta</t>
  </si>
  <si>
    <t>01.10.2000,   30.06.2002</t>
  </si>
  <si>
    <t>Turlavas pagasts</t>
  </si>
  <si>
    <t>01.12.2000</t>
  </si>
  <si>
    <t>Jaunpils pagasts</t>
  </si>
  <si>
    <t>15.12.2000,   23.12.2005</t>
  </si>
  <si>
    <t>Allažu pagasts</t>
  </si>
  <si>
    <t>20.12.2000</t>
  </si>
  <si>
    <t>Krāslavas rajona padome</t>
  </si>
  <si>
    <t>23.12.2000</t>
  </si>
  <si>
    <t>Krimuldas pagasts</t>
  </si>
  <si>
    <t>Pāles pagasts</t>
  </si>
  <si>
    <t>Sedas pilsēta</t>
  </si>
  <si>
    <t>Ogresgala pagasts</t>
  </si>
  <si>
    <t>01.01.2001</t>
  </si>
  <si>
    <t>Virbu pagasts</t>
  </si>
  <si>
    <t>28.02.2001</t>
  </si>
  <si>
    <t>Bilskas pagasts</t>
  </si>
  <si>
    <t>30.05.2001</t>
  </si>
  <si>
    <t>Bunkas pagasts</t>
  </si>
  <si>
    <t>01.06.2001</t>
  </si>
  <si>
    <t>Pelēču pagasts</t>
  </si>
  <si>
    <t>01.07.2001</t>
  </si>
  <si>
    <t>Dobeles rajona padome</t>
  </si>
  <si>
    <t>31.07.2001</t>
  </si>
  <si>
    <t>Ozolmuižas pagasts</t>
  </si>
  <si>
    <t>20.08.2001</t>
  </si>
  <si>
    <t>Vītiņu pagasts</t>
  </si>
  <si>
    <t>01.08.2001</t>
  </si>
  <si>
    <t>Priekuļu pagasts</t>
  </si>
  <si>
    <t>30.09.2001</t>
  </si>
  <si>
    <t>Nīgrandes pagasts</t>
  </si>
  <si>
    <t>30.10.2001</t>
  </si>
  <si>
    <t>Jaunsvirlaukas pagasts</t>
  </si>
  <si>
    <t>01.11.2001</t>
  </si>
  <si>
    <t>Jaungulbenes pagasts</t>
  </si>
  <si>
    <t>Dricānu pagasts</t>
  </si>
  <si>
    <t>15.11.2001</t>
  </si>
  <si>
    <t>Salacgrīvas pilsēta</t>
  </si>
  <si>
    <t>02.12.2001,  01.01.2005</t>
  </si>
  <si>
    <t>Galēnu pagasts</t>
  </si>
  <si>
    <t>20.12.2001</t>
  </si>
  <si>
    <t>Sēmes pagasts</t>
  </si>
  <si>
    <t>23.12.2001</t>
  </si>
  <si>
    <t>Upmales pagasts</t>
  </si>
  <si>
    <t>30.12.2001</t>
  </si>
  <si>
    <t>Dunikas pagasts</t>
  </si>
  <si>
    <t>Irlavas pagasts</t>
  </si>
  <si>
    <t>Saulkrastu pilsēta</t>
  </si>
  <si>
    <t>01.04.2002,   01.08.2003</t>
  </si>
  <si>
    <t>Bērzgales pagasts</t>
  </si>
  <si>
    <t>01.06.2002</t>
  </si>
  <si>
    <t>Liepājas rajona padome</t>
  </si>
  <si>
    <t>30.09.2002</t>
  </si>
  <si>
    <t>Neretas pagasts</t>
  </si>
  <si>
    <t>05.10.2002</t>
  </si>
  <si>
    <t>Gaiķu pagasts</t>
  </si>
  <si>
    <t>20.10.2002</t>
  </si>
  <si>
    <t>Valkas pilsēta</t>
  </si>
  <si>
    <t>01.11.2002</t>
  </si>
  <si>
    <t>Cīravas pagasts</t>
  </si>
  <si>
    <t>23.12.2002</t>
  </si>
  <si>
    <t>Ilūkstes pilsēta</t>
  </si>
  <si>
    <t>20.12.2002</t>
  </si>
  <si>
    <t>Ķekavas pagasts</t>
  </si>
  <si>
    <t>Krimūnu pagasts</t>
  </si>
  <si>
    <t>Ļaudonas pagasts</t>
  </si>
  <si>
    <t>Mežotnes pagasts</t>
  </si>
  <si>
    <t>20.12.2002,   25.12.2003</t>
  </si>
  <si>
    <t>Salas pagasts</t>
  </si>
  <si>
    <t>20.12.2002,   23.12.2003,   30.06.2005</t>
  </si>
  <si>
    <t>Gulbenes pilsēta</t>
  </si>
  <si>
    <t>01.01.2003</t>
  </si>
  <si>
    <t>Zemītes pagasts</t>
  </si>
  <si>
    <t>Šķaunes pagasts</t>
  </si>
  <si>
    <t>29.04.2003</t>
  </si>
  <si>
    <t>Kombuļu pagasts</t>
  </si>
  <si>
    <t>Asūnes pagasts</t>
  </si>
  <si>
    <t>29.04.2003,   23.10.2004</t>
  </si>
  <si>
    <t>01.04.2003</t>
  </si>
  <si>
    <t>Aizkraukles pilsēta</t>
  </si>
  <si>
    <t>15.06.2003</t>
  </si>
  <si>
    <t>Dundagas pagasts</t>
  </si>
  <si>
    <t>01.07.2003</t>
  </si>
  <si>
    <t>Aizputes pagasts</t>
  </si>
  <si>
    <t>30.07.2003</t>
  </si>
  <si>
    <t>Ciblas pagasts</t>
  </si>
  <si>
    <t>01.08.2003</t>
  </si>
  <si>
    <t>Lestenes pagasts</t>
  </si>
  <si>
    <t>01.09.2003</t>
  </si>
  <si>
    <t>Augstkalnes pagasts</t>
  </si>
  <si>
    <t>25.09.2003</t>
  </si>
  <si>
    <t>Viesītes pilsēta</t>
  </si>
  <si>
    <t>01.10.2003</t>
  </si>
  <si>
    <t>Zaļenieku pagasts</t>
  </si>
  <si>
    <t>20.10.2003</t>
  </si>
  <si>
    <t>Zirņu pagasts</t>
  </si>
  <si>
    <t>01.11.2003</t>
  </si>
  <si>
    <t>Ceraukstes pagasts</t>
  </si>
  <si>
    <t>20.12.2003</t>
  </si>
  <si>
    <t>Nautrēnu pagasts</t>
  </si>
  <si>
    <t>Alsviķu pagasts</t>
  </si>
  <si>
    <t>23.12.2003</t>
  </si>
  <si>
    <t>Robežnieku pagasts</t>
  </si>
  <si>
    <t>30.05.2004</t>
  </si>
  <si>
    <t>Skaistas pagasts</t>
  </si>
  <si>
    <t>30.05.2004,   25.01.2007</t>
  </si>
  <si>
    <t>Jūrkalnes pagasts</t>
  </si>
  <si>
    <t>30.10.2004</t>
  </si>
  <si>
    <t>Ainažu pilsēta</t>
  </si>
  <si>
    <t>25.12.2004</t>
  </si>
  <si>
    <t>Alojas pilsēta</t>
  </si>
  <si>
    <t>23.12.2004</t>
  </si>
  <si>
    <t>Jērcēnu pagasts</t>
  </si>
  <si>
    <t>Lēdurgas pagasts</t>
  </si>
  <si>
    <t>Cesvaines pilsēta</t>
  </si>
  <si>
    <t>01.01.2005</t>
  </si>
  <si>
    <t>Šķeltovas pagasts</t>
  </si>
  <si>
    <t>25.01.2005</t>
  </si>
  <si>
    <t>Saldus pagasts</t>
  </si>
  <si>
    <t>20.06.2005</t>
  </si>
  <si>
    <t>Sventes pagasts</t>
  </si>
  <si>
    <t>30.06.2005</t>
  </si>
  <si>
    <t>Sidrabenes pagasts</t>
  </si>
  <si>
    <t>23.12.2005</t>
  </si>
  <si>
    <t>Daugavpils pilsēta</t>
  </si>
  <si>
    <t>10.12.2005</t>
  </si>
  <si>
    <t xml:space="preserve">Dunavas pagasts </t>
  </si>
  <si>
    <t>01.04.2006</t>
  </si>
  <si>
    <t>Kalvenes pagasts</t>
  </si>
  <si>
    <t>23.12.2006</t>
  </si>
  <si>
    <t>Staiceles pilsēta</t>
  </si>
  <si>
    <t>03.04.2007,   23.12.2008,   01.09.2008</t>
  </si>
  <si>
    <t>Baldones pilsēta</t>
  </si>
  <si>
    <t>31.08.2007</t>
  </si>
  <si>
    <t>Pildas pagasts</t>
  </si>
  <si>
    <t>20.09.2007</t>
  </si>
  <si>
    <t>Jaunannas pagasts</t>
  </si>
  <si>
    <t>01.12.2007</t>
  </si>
  <si>
    <t>Kārķu pagasts</t>
  </si>
  <si>
    <t>20.12.2007</t>
  </si>
  <si>
    <t>Lielvārdes pilsēta</t>
  </si>
  <si>
    <t>Smiltenes pilsēta</t>
  </si>
  <si>
    <t>Īslīces pagasts</t>
  </si>
  <si>
    <t>23.12.2007</t>
  </si>
  <si>
    <t>Smārdes pagasts</t>
  </si>
  <si>
    <t>Alūksnes pilsēta</t>
  </si>
  <si>
    <t>28.12.2007</t>
  </si>
  <si>
    <t>Zentenes pagasts</t>
  </si>
  <si>
    <t>01.01.2008,   01.07.2008</t>
  </si>
  <si>
    <t>Salacas pagasts</t>
  </si>
  <si>
    <t>Pārskats par Valsts kases budžeta kontos esošo līdzekļu īstermiņa investīcijām 1998.gadā</t>
  </si>
  <si>
    <t>Komercbankas</t>
  </si>
  <si>
    <t>tsk.</t>
  </si>
  <si>
    <t xml:space="preserve">                      pamatbudžetā</t>
  </si>
  <si>
    <t xml:space="preserve">                     speciālajā budžetā</t>
  </si>
  <si>
    <t>Valsts un pašvaldību naudas līdzekļi kopā</t>
  </si>
  <si>
    <t>Naudas līdzekļu atlikums latos Valsts kases kontos Latvijas Bankā un komercbankās                           1998.gada 31.decembrī  9 720 396 lati (deviņi miljoni septiņi simti divdesmit tūkstoši trīs simti deviņdesmit seši lati )</t>
  </si>
  <si>
    <t>Naudas līdzekļu atlikums valūtā  Valsts kases kontos Latvijas Bankā un komercbankās                           1998.gada 31.decembrī pēc Latvijas Bankas kursa 10 216 013 lati (desmit miljoni divi simti sešpadsmit tūkstoši trīspadsmit  lati )</t>
  </si>
  <si>
    <t>Valdības noguldījumi  valūtā Latvijas Bankā un komercbankās 1998.gada 31.decembrī pēc Latvijas Bankas kursa 45 638 081 lats ( četrdesmit  pieci miljoni seši simti trīsdemit astoņi tūkstoši astoņdesmit viens lats )</t>
  </si>
  <si>
    <t>Latvijas Republikas pašvaldību pamatbudžeta un speciālā budžeta līdzekļu atlikumi komercbankās un pagastu kasēs 28 177 488 lati (divdesmit astoņi miljoni viens simts septiņdesmit septiņi tūkstoši četri simti astoņdesmit astoņi lati )</t>
  </si>
  <si>
    <t xml:space="preserve">Naudas  līdzekļi   Valsts kases kontos kopā </t>
  </si>
  <si>
    <t>Naudas līdzekļu atlikumi apstiprināti ar Latvijas Bankas un komercbanku izziņām</t>
  </si>
  <si>
    <t>Valdības noguldījumi  latos Latvijas Bankā un komercbankās 1998.gada 31.decembrī                                                         48 703 250 lati (  četrdemit astoņi miljoni septiņi simti trīs tūkstoši divi simti piecdesmit lati )</t>
  </si>
  <si>
    <t xml:space="preserve">Ieguldījumi depozītos                                             Latvijas Bankā valūtās </t>
  </si>
  <si>
    <t xml:space="preserve">Ieņēmumi </t>
  </si>
  <si>
    <t xml:space="preserve">Izdevumi </t>
  </si>
  <si>
    <t xml:space="preserve">Tīrie aizdevumi </t>
  </si>
  <si>
    <t>15.03.2008</t>
  </si>
  <si>
    <t xml:space="preserve">Lēdmanes pagasts </t>
  </si>
  <si>
    <t>30.05.2008,   20.10.2008</t>
  </si>
  <si>
    <t>Vestienas pagasts</t>
  </si>
  <si>
    <t>25.06.2008</t>
  </si>
  <si>
    <t>Lapmežciema pagasts</t>
  </si>
  <si>
    <t>30.06.2008</t>
  </si>
  <si>
    <t>Dunalkas pagasts</t>
  </si>
  <si>
    <t>30.07.2008</t>
  </si>
  <si>
    <t>Ikšķiles pilsēta</t>
  </si>
  <si>
    <t>25.07.2008</t>
  </si>
  <si>
    <t>Grobiņas pagasts</t>
  </si>
  <si>
    <t>20.09.2008</t>
  </si>
  <si>
    <t>Glūdas pagasts</t>
  </si>
  <si>
    <t>30.09.2008</t>
  </si>
  <si>
    <t>Limbažu pilsēta</t>
  </si>
  <si>
    <t>21.09.2008</t>
  </si>
  <si>
    <t>Vecpiebalgas pagasts</t>
  </si>
  <si>
    <t>01.09.2008,   23.12.2008</t>
  </si>
  <si>
    <t>Lutriņu pagasts</t>
  </si>
  <si>
    <t>31.10.2008</t>
  </si>
  <si>
    <t xml:space="preserve">Sarkaņu pagasts </t>
  </si>
  <si>
    <t>Tukuma rajona padome</t>
  </si>
  <si>
    <t>Blontu pagasts</t>
  </si>
  <si>
    <t>23.12.2008</t>
  </si>
  <si>
    <t>Olaines pagasts</t>
  </si>
  <si>
    <t>Plāņu pagasts</t>
  </si>
  <si>
    <t>Rundāles pagasts</t>
  </si>
  <si>
    <t>Viesatu pagasts</t>
  </si>
  <si>
    <t>Zantes pagasts</t>
  </si>
  <si>
    <t>Pašvaldības kopā</t>
  </si>
  <si>
    <t>LR Izglītības un zinātnes ministrija Sporta pārvalde</t>
  </si>
  <si>
    <t>01.02.2000</t>
  </si>
  <si>
    <t>Pavisam aizdevumi</t>
  </si>
  <si>
    <t>Finansu ministrs                                                                           I.Godmanis</t>
  </si>
  <si>
    <t>PĀRSKATS PAR VALSTS BUDŽETA IESTĀŽU SAŅEMTO ZIEDOJUMU UN DĀVINĀJUMU IZLIETOJUMU 1998.GADĀ</t>
  </si>
  <si>
    <t>(latos)</t>
  </si>
  <si>
    <t xml:space="preserve">Ministrijas </t>
  </si>
  <si>
    <t xml:space="preserve">Naudas * līdzekļu </t>
  </si>
  <si>
    <t>Kārtējā</t>
  </si>
  <si>
    <t>tajā skaitā :</t>
  </si>
  <si>
    <t>Izdevumi</t>
  </si>
  <si>
    <t xml:space="preserve">Naudas līdzekļu </t>
  </si>
  <si>
    <t xml:space="preserve">Mantas vai pakalpojumu </t>
  </si>
  <si>
    <t>centrālās iestādes</t>
  </si>
  <si>
    <t>gada</t>
  </si>
  <si>
    <t>no juridiskām</t>
  </si>
  <si>
    <t>no fiziskām</t>
  </si>
  <si>
    <t>no ārvalstu</t>
  </si>
  <si>
    <t xml:space="preserve">kopā </t>
  </si>
  <si>
    <t>uzturēšanas</t>
  </si>
  <si>
    <t>izdevumi</t>
  </si>
  <si>
    <t xml:space="preserve">atlikums gada </t>
  </si>
  <si>
    <t xml:space="preserve">veidā saņemtie </t>
  </si>
  <si>
    <t>nosaukums</t>
  </si>
  <si>
    <t>ieņēmumi</t>
  </si>
  <si>
    <t>personām</t>
  </si>
  <si>
    <t>beigās</t>
  </si>
  <si>
    <t>ziedojumi</t>
  </si>
  <si>
    <t>01  VALSTS PREZIDENTA KANCELEJA</t>
  </si>
  <si>
    <t>02 SAEIMA</t>
  </si>
  <si>
    <t>03  MINISTRU KABINETS</t>
  </si>
  <si>
    <t>10  AIZSARDZĪBAS MINISTRIJA</t>
  </si>
  <si>
    <t>11  ĀRLIETU MINISTRIJA</t>
  </si>
  <si>
    <t>12  EKONOMIKAS MINISTRIJA</t>
  </si>
  <si>
    <t>13 FINANSU MINISTRIJA</t>
  </si>
  <si>
    <t>14  IEKŠLIETU MINISTRIJA</t>
  </si>
  <si>
    <t xml:space="preserve">15  IZGLĪTĪBAS UN ZINĀTNES MINISTRIJA   </t>
  </si>
  <si>
    <t>16 ZEMKOPĪBAS MINISTRIJA</t>
  </si>
  <si>
    <t>17  SATIKSMES MINISTRIJA</t>
  </si>
  <si>
    <t>18  LABKLĀJĪBAS MINISTRIJA</t>
  </si>
  <si>
    <t xml:space="preserve">19  TIESLIETU MINISTRIJA  </t>
  </si>
  <si>
    <t>21 VIDES UN REĢIONĀLĀS ATTĪSTĪBAS MINISTRIJA</t>
  </si>
  <si>
    <t>22  KULTŪRAS MINISTRIJA</t>
  </si>
  <si>
    <t>24  VALSTS KONTROLE</t>
  </si>
  <si>
    <t>28  AUGSTĀKĀ TIESA</t>
  </si>
  <si>
    <t>32  PROKURATŪRA</t>
  </si>
  <si>
    <t>37  CENTRĀLĀ ZEMES KOMISIJA</t>
  </si>
  <si>
    <t>41  RADIO UN TELEVĪZIJAS PADOME</t>
  </si>
  <si>
    <t>30  SATVERSMES TIESA</t>
  </si>
  <si>
    <t>48 CILVĒKTIESĪBU  BIROJS</t>
  </si>
  <si>
    <t>K O P Ā</t>
  </si>
  <si>
    <t>*  - Mainīti atlikumi uz gada sākumu  saskaņā ar strukturālām  izmaiņām</t>
  </si>
  <si>
    <t>gada sākumā</t>
  </si>
  <si>
    <t>atlikums</t>
  </si>
  <si>
    <t xml:space="preserve">no valsts un </t>
  </si>
  <si>
    <t>kapitāliegul-dījumiem</t>
  </si>
  <si>
    <t>pašvaldību uzņēmu-miem</t>
  </si>
  <si>
    <t>Valsts  kases  pārvaldnieks                                               A.Veiss</t>
  </si>
  <si>
    <t>Finansu ministrs                                                                   I.Godmanis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</si>
  <si>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</si>
  <si>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</si>
  <si>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</si>
  <si>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</si>
  <si>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</si>
  <si>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</si>
  <si>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</si>
  <si>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</si>
  <si>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</si>
  <si>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</si>
  <si>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</si>
  <si>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</si>
  <si>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</si>
  <si>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</si>
  <si>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</si>
  <si>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</si>
  <si>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</si>
  <si>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</si>
  <si>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</si>
  <si>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</si>
  <si>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</si>
  <si>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</si>
  <si>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</si>
  <si>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</si>
  <si>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</si>
  <si>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</si>
  <si>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</si>
  <si>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</si>
  <si>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</si>
  <si>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</si>
  <si>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</si>
  <si>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</si>
  <si>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</si>
  <si>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</si>
  <si>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</si>
  <si>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</si>
  <si>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</si>
  <si>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</si>
  <si>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</si>
  <si>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</si>
  <si>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</si>
  <si>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</si>
  <si>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</si>
  <si>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</si>
  <si>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</si>
  <si>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</si>
  <si>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</si>
  <si>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</si>
  <si>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</si>
  <si>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</si>
  <si>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</si>
  <si>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</si>
  <si>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</si>
  <si>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</si>
  <si>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</si>
  <si>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</si>
  <si>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</si>
  <si>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</si>
  <si>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</si>
  <si>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</si>
  <si>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</si>
  <si>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</si>
  <si>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</si>
  <si>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</si>
  <si>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</si>
  <si>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</si>
  <si>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</si>
  <si>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</si>
  <si>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</si>
  <si>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</si>
  <si>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</si>
  <si>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</si>
  <si>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</si>
  <si>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</si>
  <si>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</si>
  <si>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</si>
  <si>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</si>
  <si>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</si>
  <si>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</si>
  <si>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</si>
  <si>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</si>
  <si>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</si>
  <si>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</si>
  <si>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</si>
  <si>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</si>
  <si>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</si>
  <si>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</si>
  <si>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</si>
  <si>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</si>
  <si>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</si>
  <si>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</si>
  <si>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</si>
  <si>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</si>
  <si>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</si>
  <si>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</si>
  <si>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</si>
  <si>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</si>
  <si>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</si>
  <si>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</si>
  <si>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</si>
  <si>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</si>
  <si>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</si>
  <si>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</si>
  <si>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</si>
  <si>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</si>
  <si>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</si>
  <si>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</si>
  <si>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</si>
  <si>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</si>
  <si>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</si>
  <si>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</si>
  <si>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</si>
  <si>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</si>
  <si>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</si>
  <si>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</si>
  <si>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</si>
  <si>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</si>
  <si>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</si>
  <si>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</si>
  <si>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</si>
  <si>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</si>
  <si>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</si>
  <si>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</si>
  <si>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</si>
  <si>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</si>
  <si>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</si>
  <si>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</si>
  <si>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</si>
  <si>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</si>
  <si>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</si>
  <si>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</si>
  <si>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</si>
  <si>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</si>
  <si>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</si>
  <si>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</si>
  <si>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</si>
  <si>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</si>
  <si>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</si>
  <si>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</si>
  <si>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</si>
  <si>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</si>
  <si>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</si>
  <si>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</si>
  <si>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</si>
  <si>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</si>
  <si>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</si>
  <si>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</si>
  <si>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</si>
  <si>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</si>
  <si>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</si>
  <si>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</si>
  <si>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</si>
  <si>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</si>
  <si>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</si>
  <si>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</si>
  <si>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</si>
  <si>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</si>
  <si>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</si>
  <si>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</si>
  <si>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</si>
  <si>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</si>
  <si>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</si>
  <si>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</si>
  <si>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</si>
  <si>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</si>
  <si>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</si>
  <si>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</si>
  <si>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Valsts budžeta iestāžu debitoru - kreditoru parādu saistību pārskats</t>
  </si>
  <si>
    <t>(Latos)</t>
  </si>
  <si>
    <t>Debitori</t>
  </si>
  <si>
    <t>Kreditori</t>
  </si>
  <si>
    <t>Ministrijas
un centrālās iestādes
nosaukums</t>
  </si>
  <si>
    <t>uz
gada
beigām</t>
  </si>
  <si>
    <r>
      <t xml:space="preserve">izmaiņas
</t>
    </r>
    <r>
      <rPr>
        <sz val="8"/>
        <rFont val="Arial"/>
        <family val="2"/>
      </rPr>
      <t>(3-2)</t>
    </r>
  </si>
  <si>
    <r>
      <t xml:space="preserve">izmaiņas
</t>
    </r>
    <r>
      <rPr>
        <sz val="8"/>
        <rFont val="Arial"/>
        <family val="2"/>
      </rPr>
      <t>(6-5)</t>
    </r>
  </si>
  <si>
    <t>01  Valsts prezidenta kanceleja</t>
  </si>
  <si>
    <t xml:space="preserve">          tajā skaitā:</t>
  </si>
  <si>
    <t xml:space="preserve">                  Latvenergo</t>
  </si>
  <si>
    <t xml:space="preserve">                  valsts un pašvaldību uzņēmumi</t>
  </si>
  <si>
    <t>02  Saeima</t>
  </si>
  <si>
    <t xml:space="preserve">                  Latvijas gāze</t>
  </si>
  <si>
    <t>03  Ministru kabinets</t>
  </si>
  <si>
    <t>10  Aizsardzības ministrija</t>
  </si>
  <si>
    <t>11  Ārlietu ministrija</t>
  </si>
  <si>
    <t>12  Ekonomikas ministrija</t>
  </si>
  <si>
    <t>13  Finansu ministrija</t>
  </si>
  <si>
    <t>14  Iiekšlietu ministrija</t>
  </si>
  <si>
    <t>15  Izglītības un zinātnes ministrija</t>
  </si>
  <si>
    <t>16  Zemkopības ministrija</t>
  </si>
  <si>
    <t>17  Satiksmes ministrija</t>
  </si>
  <si>
    <t>18  Labklājības ministrija</t>
  </si>
  <si>
    <t xml:space="preserve">21  Vides aizsardzības un reģionālās attīstības </t>
  </si>
  <si>
    <t xml:space="preserve">       ministrija</t>
  </si>
  <si>
    <t>22  Kultūras ministrija</t>
  </si>
  <si>
    <t>23  Valsts zemes dienests</t>
  </si>
  <si>
    <t>24  Valsts kontrole</t>
  </si>
  <si>
    <t>28  Augstākā tiesa</t>
  </si>
  <si>
    <t>30  Satversmes tiesa</t>
  </si>
  <si>
    <t>32  Prokuratūra</t>
  </si>
  <si>
    <t>35  Centrālā vēlēšanu komisija</t>
  </si>
  <si>
    <t>37  Centrālā zemes komisija</t>
  </si>
  <si>
    <t>41  Radio un televīzijas padome</t>
  </si>
  <si>
    <t>44  Satversmes aizsardzības birojs</t>
  </si>
  <si>
    <t>46  Eiropas integrācijas birojs</t>
  </si>
  <si>
    <t>48    Valsts cilvēktiesību birojs</t>
  </si>
  <si>
    <t>VID</t>
  </si>
  <si>
    <t>Pavisam kopā</t>
  </si>
  <si>
    <t xml:space="preserve">              Latvenergo</t>
  </si>
  <si>
    <t xml:space="preserve">              Latvijas gāze</t>
  </si>
  <si>
    <t xml:space="preserve">             valsts un pašvaldību uzņēmumi</t>
  </si>
  <si>
    <t xml:space="preserve">                  Dāvinājumu konti</t>
  </si>
  <si>
    <t xml:space="preserve">                  Depozītu konti</t>
  </si>
  <si>
    <t xml:space="preserve">       Gatavie ražojumi un preces pārdošanai</t>
  </si>
  <si>
    <t>2.    Izlietojums pēc budžeta izdevumu ekonomiskās klasifikācijas</t>
  </si>
  <si>
    <t xml:space="preserve">      1100     Atalgojumi</t>
  </si>
  <si>
    <t xml:space="preserve">      1200     Valsts sociālās apdrošināšanas iemaksas</t>
  </si>
  <si>
    <t xml:space="preserve">      1300     Komandējumi un dienesta braucienu izdevumi</t>
  </si>
  <si>
    <t xml:space="preserve">      1400     Pakalpojumu apmaksa</t>
  </si>
  <si>
    <t xml:space="preserve">      3000     Subsīdijas un dotācijas</t>
  </si>
  <si>
    <t xml:space="preserve">      4000    Kapitālie izdevumi</t>
  </si>
  <si>
    <t xml:space="preserve">      1600     Grāmatu un žurnālu  iegāde</t>
  </si>
  <si>
    <t>19  Tieslietu ministrija</t>
  </si>
  <si>
    <t>Valsts un pašvaldību budžetu finansu bilance</t>
  </si>
  <si>
    <t>*Uz 1998.gada 1.janvāri</t>
  </si>
  <si>
    <t>Naudas līdzekļi</t>
  </si>
  <si>
    <t>LVL Latvijas Bankā</t>
  </si>
  <si>
    <t>Valūtas groza apgrozāmie līdzekļi Latvijas Bankā</t>
  </si>
  <si>
    <t>LVL Komercbankās</t>
  </si>
  <si>
    <t>Valūta Latvijas Bankā</t>
  </si>
  <si>
    <t>Valūta Komercbankās</t>
  </si>
  <si>
    <t>Valūta Komercbankās ārzemēs</t>
  </si>
  <si>
    <t>Īstermiņa ieguldījumi</t>
  </si>
  <si>
    <t>Ieguldījumi   depozītos Latvijas Bankā</t>
  </si>
  <si>
    <t>Ieguldījumi   depozītos Latvijas Bankā valūtā</t>
  </si>
  <si>
    <t>Ieguldījumi   depozītos komercbankās LVL</t>
  </si>
  <si>
    <t>Ieguldījumi   depozītos komercbankās  valūtā</t>
  </si>
  <si>
    <t>Nākamo periodu izdevumi</t>
  </si>
  <si>
    <t>Pamatsummas atmaksas iekšējiem aizņēmumiem</t>
  </si>
  <si>
    <t>Krājbankas ilgtermiņa vērtspapīri</t>
  </si>
  <si>
    <t>Valsts budžeta prasības</t>
  </si>
  <si>
    <t>Kredītu izmaksājamās summas un ārējā parāda apkalpošanas maksājumi, 1999 - 2003</t>
  </si>
  <si>
    <t>(milj. valūtas vienību)</t>
  </si>
  <si>
    <t>Kreditors</t>
  </si>
  <si>
    <t>Kredīta summa un valūta</t>
  </si>
  <si>
    <t>Maksājumu veids</t>
  </si>
  <si>
    <t>Maksājumu valūta</t>
  </si>
  <si>
    <t>I</t>
  </si>
  <si>
    <t xml:space="preserve">II </t>
  </si>
  <si>
    <t>III</t>
  </si>
  <si>
    <t>IV</t>
  </si>
  <si>
    <t>Kredīta izmaksa</t>
  </si>
  <si>
    <t>Pamata maksājumi</t>
  </si>
  <si>
    <t>Procentu maksājumi</t>
  </si>
  <si>
    <t>Finnish Export Credit</t>
  </si>
  <si>
    <t>FIM</t>
  </si>
  <si>
    <t xml:space="preserve">Commodity Credit </t>
  </si>
  <si>
    <t>Corporation  (ASV)</t>
  </si>
  <si>
    <t>Schweizeriche Kreditanstalt (kopfin. ar ERAB)</t>
  </si>
  <si>
    <t>European Union (G-24)</t>
  </si>
  <si>
    <t>ECU</t>
  </si>
  <si>
    <t>AB Svensk Exportkredit (G-24)</t>
  </si>
  <si>
    <t>SVF (Stand-by 2)</t>
  </si>
  <si>
    <t>SDR</t>
  </si>
  <si>
    <t>SVF (STF 1)</t>
  </si>
  <si>
    <t>SVF (STF 2)</t>
  </si>
  <si>
    <t xml:space="preserve">Pasaules banka </t>
  </si>
  <si>
    <t>(rehabilitācija)</t>
  </si>
  <si>
    <t>JEXIM</t>
  </si>
  <si>
    <t>EBRD</t>
  </si>
  <si>
    <t>(ceļu projekts)</t>
  </si>
  <si>
    <t>(Latvenergo, ceļu projekts)</t>
  </si>
  <si>
    <t xml:space="preserve"> (privatizācija)</t>
  </si>
  <si>
    <t>(lauksaimniecība)</t>
  </si>
  <si>
    <t>Pasaules banka (Liepāja)</t>
  </si>
  <si>
    <t>Pasaules banka (Jelgava)</t>
  </si>
  <si>
    <t xml:space="preserve"> (komunālo pārkārtojumu projekts)</t>
  </si>
  <si>
    <t>(Labklājības attīstības reforma WE 02)</t>
  </si>
  <si>
    <t>Export Development</t>
  </si>
  <si>
    <t>Corporation</t>
  </si>
  <si>
    <t>(nepilsoņu pases)</t>
  </si>
  <si>
    <t>(SAL)</t>
  </si>
  <si>
    <t>Danish Soft Loan</t>
  </si>
  <si>
    <t xml:space="preserve"> (Latvijas Autoceļu direkcija)</t>
  </si>
  <si>
    <t>3,49 DKK</t>
  </si>
  <si>
    <t>(Rīgas gāze)</t>
  </si>
  <si>
    <t xml:space="preserve">Danish Soft Loan </t>
  </si>
  <si>
    <t xml:space="preserve"> (Strenču notekūdeņi)</t>
  </si>
  <si>
    <t>(Strenču apkure)</t>
  </si>
  <si>
    <t>(Līgatne)</t>
  </si>
  <si>
    <t xml:space="preserve"> (Labklājības ministrija)</t>
  </si>
  <si>
    <t>(Iekšlietu ministrija)</t>
  </si>
  <si>
    <t>(bērnu slimnīca)</t>
  </si>
  <si>
    <t>Danish Soft Loans</t>
  </si>
  <si>
    <t>(9 pašvaldības)</t>
  </si>
  <si>
    <t>(Cēsis)</t>
  </si>
  <si>
    <t xml:space="preserve"> (Liepājas osta)</t>
  </si>
  <si>
    <t>NUTEK (Liepas pag.)</t>
  </si>
  <si>
    <t>Nordic Investment bank</t>
  </si>
  <si>
    <t>(apkārtējās vides projekts)</t>
  </si>
  <si>
    <t>(Lauku attīstības projekts)</t>
  </si>
  <si>
    <t>Rīgas atkritumu projekts</t>
  </si>
  <si>
    <t>EV41</t>
  </si>
  <si>
    <t>NUTEK (Talsu pils.)</t>
  </si>
  <si>
    <t>(VID modernizācijas projekts)</t>
  </si>
  <si>
    <t xml:space="preserve"> (izglītības sist. attīstības projekts)</t>
  </si>
  <si>
    <t>(veselības aprūpes reforma)</t>
  </si>
  <si>
    <t>(PIP sadzīves atkritumu projekts)</t>
  </si>
  <si>
    <t>Kredītlīnija</t>
  </si>
  <si>
    <t>KOPĀ</t>
  </si>
  <si>
    <t>Valūtu kursi:</t>
  </si>
  <si>
    <t>Piezīmes:</t>
  </si>
  <si>
    <t>Procentu maksājumu aprēķini veikti vadoties pēc līgumiem (jauno projektu procentu maksājumi nav iekļauti)</t>
  </si>
  <si>
    <t>Projektu summas, par kurām nav noslēgti līgumi valūtā uzrādītas latos</t>
  </si>
  <si>
    <t>Aizdevumi citu līmeņu budžetiem</t>
  </si>
  <si>
    <t>Aizdevumi uzņēmējsabiedrībām</t>
  </si>
  <si>
    <t>' Latvijas Gāzes '' pārņemtās saistības</t>
  </si>
  <si>
    <t>BILANCE</t>
  </si>
  <si>
    <t>Rezerves un fondi</t>
  </si>
  <si>
    <t>Rezerves fonds</t>
  </si>
  <si>
    <t>Pasšvaldību finansu izlīdzināšanas fonds</t>
  </si>
  <si>
    <t>Iedzīvotāju ienākuma nodokļa sadales fonds</t>
  </si>
  <si>
    <t>Valsts budžeta saistības</t>
  </si>
  <si>
    <t>Ārvalstu aizņēmumi</t>
  </si>
  <si>
    <t>Saistības budžeta iestāžu noguldījumiem</t>
  </si>
  <si>
    <t>Valdības parādzīmes</t>
  </si>
  <si>
    <t>Krājbankas ilgtermiņa parādzīmes</t>
  </si>
  <si>
    <t>Pamatsummas tālāk aizdotiem kredītiem</t>
  </si>
  <si>
    <t>Pamatsummas iekšējiem aizdevumiem</t>
  </si>
  <si>
    <t>Rezultāts</t>
  </si>
  <si>
    <t>Fianansu ministrs                                                                                      I.Godmanis</t>
  </si>
  <si>
    <t>Valsts kases pārvaldnieks                                                                               A.Veiss</t>
  </si>
  <si>
    <t>Finansu ministrs                                                                                        I. Godmanis</t>
  </si>
  <si>
    <t>Valsts kases pārvaldnieks                                                                          A. Veiss</t>
  </si>
  <si>
    <t>Mēnesis</t>
  </si>
  <si>
    <t>Latvijas Banka</t>
  </si>
  <si>
    <t>Kopā</t>
  </si>
  <si>
    <t>Latos</t>
  </si>
  <si>
    <t>Valūtā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</si>
  <si>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</si>
  <si>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</si>
  <si>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</si>
  <si>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</si>
  <si>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</si>
  <si>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</si>
  <si>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</si>
  <si>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</si>
  <si>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</si>
  <si>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</si>
  <si>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</si>
  <si>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</si>
  <si>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Atlikums uz 1999.gada 1.janvāri</t>
  </si>
  <si>
    <t>Valsts kases pārvaldnieks                                 A.Veiss</t>
  </si>
  <si>
    <t>uz
gada
sākumu *</t>
  </si>
  <si>
    <t>168.</t>
  </si>
  <si>
    <t>20.09.2005</t>
  </si>
  <si>
    <t>Pārējie kopā</t>
  </si>
  <si>
    <t>Valsts kases pārvaldnieks                                                                                       A.Veiss</t>
  </si>
  <si>
    <t>Finansu ministrs                                                                                                I.Godmanis</t>
  </si>
  <si>
    <t>Pārskats</t>
  </si>
  <si>
    <t xml:space="preserve">   par līdzekļu neparedzētiem gadījumiem izlietojumu 1998.gadā</t>
  </si>
  <si>
    <t xml:space="preserve">            (Latos)</t>
  </si>
  <si>
    <t>Rādītāji</t>
  </si>
  <si>
    <t>Piešķirtā summa 1998.gadā</t>
  </si>
  <si>
    <t>1998.gada izpilde</t>
  </si>
  <si>
    <t>1.Sadalījumā pa ministrijām</t>
  </si>
  <si>
    <t>Labklājības ministrija</t>
  </si>
  <si>
    <t xml:space="preserve"> Izglītības un zinātnes ministrija</t>
  </si>
  <si>
    <t xml:space="preserve"> Finansu ministrija</t>
  </si>
  <si>
    <t>tai skaitā: pašvaldībām</t>
  </si>
  <si>
    <t xml:space="preserve">       Cēsu rajona padomei</t>
  </si>
  <si>
    <t xml:space="preserve">       Daugavpils pilsētas domei</t>
  </si>
  <si>
    <t xml:space="preserve">       Daugavpils rajona padomei</t>
  </si>
  <si>
    <t xml:space="preserve">       Daugavpils rajona Raudas speciālajai skolai</t>
  </si>
  <si>
    <t xml:space="preserve">       Dzērbenes pagasta padomei</t>
  </si>
  <si>
    <t xml:space="preserve">       Jēkabpils  pilsētas domei</t>
  </si>
  <si>
    <t xml:space="preserve">       Jēkabpils rajona  padomei</t>
  </si>
  <si>
    <t xml:space="preserve">       Jēkabpils  rajona padomes budžetam</t>
  </si>
  <si>
    <t xml:space="preserve">       Jēkabils  rajona  Salas pagasta  padomei</t>
  </si>
  <si>
    <t xml:space="preserve">       Jelgavas pilsētas domei</t>
  </si>
</sst>
</file>

<file path=xl/styles.xml><?xml version="1.0" encoding="utf-8"?>
<styleSheet xmlns="http://schemas.openxmlformats.org/spreadsheetml/2006/main">
  <numFmts count="23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##,###,###"/>
    <numFmt numFmtId="173" formatCode="#,###,"/>
    <numFmt numFmtId="174" formatCode="#,##0.000"/>
    <numFmt numFmtId="175" formatCode="#\ ##0"/>
    <numFmt numFmtId="176" formatCode="###0"/>
    <numFmt numFmtId="177" formatCode="0.0"/>
    <numFmt numFmtId="178" formatCode="0.000"/>
  </numFmts>
  <fonts count="5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BaltSouvenirLight"/>
      <family val="0"/>
    </font>
    <font>
      <b/>
      <i/>
      <sz val="10"/>
      <name val="Arial"/>
      <family val="2"/>
    </font>
    <font>
      <sz val="8"/>
      <name val="Arial"/>
      <family val="2"/>
    </font>
    <font>
      <sz val="8"/>
      <name val="RimTimes"/>
      <family val="0"/>
    </font>
    <font>
      <sz val="10"/>
      <name val="RimTimes"/>
      <family val="0"/>
    </font>
    <font>
      <i/>
      <sz val="10"/>
      <name val="Arial"/>
      <family val="2"/>
    </font>
    <font>
      <sz val="10"/>
      <name val="BaltSouvenirLight"/>
      <family val="0"/>
    </font>
    <font>
      <i/>
      <sz val="9"/>
      <name val="Arial"/>
      <family val="2"/>
    </font>
    <font>
      <i/>
      <sz val="9"/>
      <name val="BaltSouvenirLight"/>
      <family val="0"/>
    </font>
    <font>
      <b/>
      <sz val="11"/>
      <name val="BaltSouvenirLight"/>
      <family val="0"/>
    </font>
    <font>
      <b/>
      <sz val="8"/>
      <name val="Tahoma"/>
      <family val="0"/>
    </font>
    <font>
      <sz val="8"/>
      <name val="Tahoma"/>
      <family val="0"/>
    </font>
    <font>
      <sz val="11"/>
      <name val="Arial"/>
      <family val="2"/>
    </font>
    <font>
      <sz val="10"/>
      <name val="BRHelvetica"/>
      <family val="0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name val="BaltSouvenirLight"/>
      <family val="0"/>
    </font>
    <font>
      <b/>
      <sz val="9"/>
      <name val="BaltSouvenirLight"/>
      <family val="0"/>
    </font>
    <font>
      <sz val="7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sz val="10"/>
      <name val="BaltOptima"/>
      <family val="0"/>
    </font>
    <font>
      <i/>
      <sz val="11"/>
      <name val="BaltSouvenirLight"/>
      <family val="0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37"/>
      <name val="Arial"/>
      <family val="2"/>
    </font>
    <font>
      <sz val="8"/>
      <color indexed="48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48"/>
      <name val="Arial"/>
      <family val="2"/>
    </font>
    <font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" fontId="29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</cellStyleXfs>
  <cellXfs count="678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 wrapText="1"/>
    </xf>
    <xf numFmtId="3" fontId="11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wrapText="1"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4" fontId="1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12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0" fontId="25" fillId="0" borderId="0" xfId="0" applyFont="1" applyAlignment="1">
      <alignment/>
    </xf>
    <xf numFmtId="3" fontId="19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4" fillId="0" borderId="0" xfId="0" applyFont="1" applyBorder="1" applyAlignment="1">
      <alignment wrapText="1"/>
    </xf>
    <xf numFmtId="17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0" fillId="0" borderId="8" xfId="0" applyFont="1" applyBorder="1" applyAlignment="1">
      <alignment/>
    </xf>
    <xf numFmtId="172" fontId="0" fillId="0" borderId="22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22" xfId="0" applyNumberFormat="1" applyFont="1" applyFill="1" applyBorder="1" applyAlignment="1" applyProtection="1">
      <alignment horizontal="center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3" fontId="6" fillId="0" borderId="2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23" xfId="0" applyNumberFormat="1" applyFont="1" applyFill="1" applyBorder="1" applyAlignment="1" applyProtection="1">
      <alignment horizontal="center"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3" fontId="6" fillId="0" borderId="2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14" fontId="23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3" fontId="1" fillId="0" borderId="2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6" fillId="0" borderId="14" xfId="0" applyFont="1" applyBorder="1" applyAlignment="1">
      <alignment/>
    </xf>
    <xf numFmtId="0" fontId="9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Continuous"/>
    </xf>
    <xf numFmtId="0" fontId="6" fillId="0" borderId="28" xfId="0" applyFont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9" fillId="0" borderId="29" xfId="0" applyFont="1" applyBorder="1" applyAlignment="1">
      <alignment horizontal="centerContinuous"/>
    </xf>
    <xf numFmtId="0" fontId="6" fillId="0" borderId="26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2" fillId="0" borderId="27" xfId="0" applyFont="1" applyBorder="1" applyAlignment="1">
      <alignment horizontal="centerContinuous"/>
    </xf>
    <xf numFmtId="3" fontId="9" fillId="0" borderId="0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173" fontId="9" fillId="0" borderId="31" xfId="0" applyNumberFormat="1" applyFont="1" applyBorder="1" applyAlignment="1">
      <alignment horizontal="left"/>
    </xf>
    <xf numFmtId="3" fontId="9" fillId="0" borderId="6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 horizontal="right"/>
    </xf>
    <xf numFmtId="3" fontId="9" fillId="0" borderId="33" xfId="0" applyNumberFormat="1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173" fontId="9" fillId="0" borderId="34" xfId="0" applyNumberFormat="1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3" fontId="9" fillId="0" borderId="22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 horizontal="right"/>
    </xf>
    <xf numFmtId="3" fontId="9" fillId="0" borderId="36" xfId="0" applyNumberFormat="1" applyFont="1" applyBorder="1" applyAlignment="1">
      <alignment horizontal="right"/>
    </xf>
    <xf numFmtId="0" fontId="9" fillId="0" borderId="37" xfId="0" applyFont="1" applyBorder="1" applyAlignment="1">
      <alignment/>
    </xf>
    <xf numFmtId="173" fontId="9" fillId="0" borderId="19" xfId="0" applyNumberFormat="1" applyFont="1" applyBorder="1" applyAlignment="1">
      <alignment horizontal="left"/>
    </xf>
    <xf numFmtId="3" fontId="9" fillId="0" borderId="20" xfId="0" applyNumberFormat="1" applyFont="1" applyBorder="1" applyAlignment="1">
      <alignment horizontal="right"/>
    </xf>
    <xf numFmtId="3" fontId="9" fillId="0" borderId="38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173" fontId="9" fillId="0" borderId="39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right"/>
    </xf>
    <xf numFmtId="3" fontId="9" fillId="0" borderId="40" xfId="0" applyNumberFormat="1" applyFont="1" applyBorder="1" applyAlignment="1">
      <alignment horizontal="right"/>
    </xf>
    <xf numFmtId="3" fontId="9" fillId="0" borderId="41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28" xfId="0" applyFont="1" applyBorder="1" applyAlignment="1">
      <alignment horizontal="centerContinuous"/>
    </xf>
    <xf numFmtId="0" fontId="9" fillId="0" borderId="28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44" xfId="0" applyFont="1" applyBorder="1" applyAlignment="1">
      <alignment horizontal="centerContinuous"/>
    </xf>
    <xf numFmtId="0" fontId="9" fillId="0" borderId="43" xfId="0" applyFont="1" applyBorder="1" applyAlignment="1">
      <alignment/>
    </xf>
    <xf numFmtId="0" fontId="28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23" fillId="0" borderId="0" xfId="19" applyFont="1" applyAlignment="1">
      <alignment horizontal="centerContinuous"/>
      <protection/>
    </xf>
    <xf numFmtId="2" fontId="23" fillId="0" borderId="0" xfId="19" applyNumberFormat="1" applyFont="1" applyAlignment="1">
      <alignment horizontal="centerContinuous"/>
      <protection/>
    </xf>
    <xf numFmtId="4" fontId="9" fillId="0" borderId="0" xfId="19" applyFont="1" applyBorder="1">
      <alignment/>
      <protection/>
    </xf>
    <xf numFmtId="4" fontId="9" fillId="0" borderId="0" xfId="19" applyFont="1">
      <alignment/>
      <protection/>
    </xf>
    <xf numFmtId="4" fontId="9" fillId="0" borderId="0" xfId="19" applyFont="1" applyAlignment="1">
      <alignment horizontal="center"/>
      <protection/>
    </xf>
    <xf numFmtId="2" fontId="9" fillId="0" borderId="0" xfId="19" applyNumberFormat="1" applyFont="1" applyFill="1">
      <alignment/>
      <protection/>
    </xf>
    <xf numFmtId="2" fontId="9" fillId="0" borderId="0" xfId="19" applyNumberFormat="1" applyFont="1" applyFill="1" applyAlignment="1">
      <alignment horizontal="center"/>
      <protection/>
    </xf>
    <xf numFmtId="4" fontId="9" fillId="0" borderId="0" xfId="19" applyFont="1" applyFill="1" applyBorder="1" applyAlignment="1">
      <alignment horizontal="center"/>
      <protection/>
    </xf>
    <xf numFmtId="4" fontId="9" fillId="0" borderId="0" xfId="19" applyFont="1" applyFill="1" applyBorder="1">
      <alignment/>
      <protection/>
    </xf>
    <xf numFmtId="4" fontId="9" fillId="0" borderId="14" xfId="19" applyFont="1" applyFill="1" applyBorder="1" applyAlignment="1">
      <alignment horizontal="center"/>
      <protection/>
    </xf>
    <xf numFmtId="4" fontId="9" fillId="0" borderId="26" xfId="19" applyFont="1" applyFill="1" applyBorder="1" applyAlignment="1">
      <alignment horizontal="center"/>
      <protection/>
    </xf>
    <xf numFmtId="4" fontId="9" fillId="0" borderId="18" xfId="19" applyFont="1" applyFill="1" applyBorder="1" applyAlignment="1">
      <alignment horizontal="center"/>
      <protection/>
    </xf>
    <xf numFmtId="4" fontId="9" fillId="0" borderId="6" xfId="19" applyFont="1" applyFill="1" applyBorder="1" applyAlignment="1">
      <alignment horizontal="center"/>
      <protection/>
    </xf>
    <xf numFmtId="4" fontId="9" fillId="0" borderId="12" xfId="19" applyFont="1" applyBorder="1" applyAlignment="1">
      <alignment horizontal="center"/>
      <protection/>
    </xf>
    <xf numFmtId="4" fontId="9" fillId="0" borderId="40" xfId="19" applyFont="1" applyBorder="1" applyAlignment="1">
      <alignment horizontal="center"/>
      <protection/>
    </xf>
    <xf numFmtId="49" fontId="9" fillId="0" borderId="6" xfId="19" applyNumberFormat="1" applyFont="1" applyFill="1" applyBorder="1" applyAlignment="1">
      <alignment horizontal="center"/>
      <protection/>
    </xf>
    <xf numFmtId="49" fontId="9" fillId="0" borderId="0" xfId="19" applyNumberFormat="1" applyFont="1" applyBorder="1">
      <alignment/>
      <protection/>
    </xf>
    <xf numFmtId="49" fontId="9" fillId="0" borderId="0" xfId="19" applyNumberFormat="1" applyFont="1">
      <alignment/>
      <protection/>
    </xf>
    <xf numFmtId="49" fontId="9" fillId="0" borderId="12" xfId="19" applyNumberFormat="1" applyFont="1" applyBorder="1" applyAlignment="1">
      <alignment horizontal="center"/>
      <protection/>
    </xf>
    <xf numFmtId="49" fontId="9" fillId="0" borderId="40" xfId="19" applyNumberFormat="1" applyFont="1" applyBorder="1" applyAlignment="1">
      <alignment horizontal="center"/>
      <protection/>
    </xf>
    <xf numFmtId="4" fontId="9" fillId="0" borderId="12" xfId="19" applyFont="1" applyBorder="1" applyAlignment="1">
      <alignment horizontal="center" wrapText="1"/>
      <protection/>
    </xf>
    <xf numFmtId="4" fontId="9" fillId="0" borderId="0" xfId="19" applyFont="1" applyBorder="1" applyAlignment="1">
      <alignment horizontal="center"/>
      <protection/>
    </xf>
    <xf numFmtId="2" fontId="9" fillId="0" borderId="0" xfId="19" applyNumberFormat="1" applyFont="1" applyBorder="1" applyAlignment="1">
      <alignment horizontal="center"/>
      <protection/>
    </xf>
    <xf numFmtId="4" fontId="6" fillId="0" borderId="0" xfId="19" applyFont="1" applyBorder="1" applyAlignment="1">
      <alignment horizontal="left"/>
      <protection/>
    </xf>
    <xf numFmtId="4" fontId="6" fillId="0" borderId="0" xfId="19" applyFont="1" applyBorder="1">
      <alignment/>
      <protection/>
    </xf>
    <xf numFmtId="4" fontId="6" fillId="0" borderId="0" xfId="19" applyFont="1" applyBorder="1" applyAlignment="1">
      <alignment horizontal="right"/>
      <protection/>
    </xf>
    <xf numFmtId="2" fontId="6" fillId="0" borderId="0" xfId="19" applyNumberFormat="1" applyFont="1" applyBorder="1" applyAlignment="1">
      <alignment horizontal="left"/>
      <protection/>
    </xf>
    <xf numFmtId="4" fontId="6" fillId="0" borderId="0" xfId="19" applyFont="1" applyBorder="1" applyAlignment="1">
      <alignment horizontal="center"/>
      <protection/>
    </xf>
    <xf numFmtId="4" fontId="6" fillId="0" borderId="0" xfId="19" applyFont="1">
      <alignment/>
      <protection/>
    </xf>
    <xf numFmtId="2" fontId="9" fillId="0" borderId="0" xfId="19" applyNumberFormat="1" applyFont="1" applyAlignment="1">
      <alignment horizontal="center"/>
      <protection/>
    </xf>
    <xf numFmtId="4" fontId="9" fillId="0" borderId="0" xfId="19" applyFont="1" applyFill="1" applyBorder="1" applyAlignment="1">
      <alignment horizontal="right"/>
      <protection/>
    </xf>
    <xf numFmtId="174" fontId="9" fillId="0" borderId="12" xfId="19" applyNumberFormat="1" applyFont="1" applyBorder="1" applyAlignment="1">
      <alignment horizontal="center"/>
      <protection/>
    </xf>
    <xf numFmtId="4" fontId="9" fillId="0" borderId="14" xfId="19" applyFont="1" applyBorder="1" applyAlignment="1">
      <alignment horizontal="center"/>
      <protection/>
    </xf>
    <xf numFmtId="2" fontId="9" fillId="0" borderId="14" xfId="19" applyNumberFormat="1" applyFont="1" applyFill="1" applyBorder="1" applyAlignment="1">
      <alignment horizontal="center"/>
      <protection/>
    </xf>
    <xf numFmtId="4" fontId="9" fillId="0" borderId="26" xfId="19" applyFont="1" applyBorder="1" applyAlignment="1">
      <alignment horizontal="center"/>
      <protection/>
    </xf>
    <xf numFmtId="2" fontId="9" fillId="0" borderId="26" xfId="19" applyNumberFormat="1" applyFont="1" applyFill="1" applyBorder="1" applyAlignment="1">
      <alignment horizontal="center"/>
      <protection/>
    </xf>
    <xf numFmtId="4" fontId="9" fillId="0" borderId="18" xfId="19" applyFont="1" applyBorder="1" applyAlignment="1">
      <alignment horizontal="center"/>
      <protection/>
    </xf>
    <xf numFmtId="2" fontId="9" fillId="0" borderId="18" xfId="19" applyNumberFormat="1" applyFont="1" applyFill="1" applyBorder="1" applyAlignment="1">
      <alignment horizontal="center"/>
      <protection/>
    </xf>
    <xf numFmtId="4" fontId="9" fillId="0" borderId="12" xfId="19" applyNumberFormat="1" applyFont="1" applyBorder="1" applyAlignment="1">
      <alignment horizontal="center"/>
      <protection/>
    </xf>
    <xf numFmtId="2" fontId="9" fillId="0" borderId="12" xfId="19" applyNumberFormat="1" applyFont="1" applyFill="1" applyBorder="1" applyAlignment="1">
      <alignment horizontal="center"/>
      <protection/>
    </xf>
    <xf numFmtId="3" fontId="9" fillId="0" borderId="12" xfId="19" applyNumberFormat="1" applyFont="1" applyBorder="1" applyAlignment="1">
      <alignment horizontal="center"/>
      <protection/>
    </xf>
    <xf numFmtId="4" fontId="9" fillId="0" borderId="12" xfId="19" applyFont="1" applyBorder="1" applyAlignment="1" quotePrefix="1">
      <alignment horizontal="center"/>
      <protection/>
    </xf>
    <xf numFmtId="1" fontId="9" fillId="0" borderId="12" xfId="19" applyNumberFormat="1" applyFont="1" applyBorder="1" applyAlignment="1">
      <alignment horizontal="center"/>
      <protection/>
    </xf>
    <xf numFmtId="4" fontId="9" fillId="0" borderId="37" xfId="19" applyFont="1" applyBorder="1">
      <alignment/>
      <protection/>
    </xf>
    <xf numFmtId="4" fontId="9" fillId="0" borderId="12" xfId="19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175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75" fontId="5" fillId="0" borderId="0" xfId="0" applyNumberFormat="1" applyFont="1" applyBorder="1" applyAlignment="1">
      <alignment horizontal="left" vertical="center" wrapText="1"/>
    </xf>
    <xf numFmtId="175" fontId="0" fillId="0" borderId="0" xfId="0" applyNumberFormat="1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5" fontId="0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 vertical="top"/>
    </xf>
    <xf numFmtId="3" fontId="0" fillId="0" borderId="0" xfId="0" applyNumberFormat="1" applyFont="1" applyAlignment="1">
      <alignment horizontal="centerContinuous"/>
    </xf>
    <xf numFmtId="3" fontId="0" fillId="0" borderId="1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centerContinuous" wrapText="1"/>
    </xf>
    <xf numFmtId="3" fontId="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49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30" fillId="0" borderId="0" xfId="0" applyFont="1" applyAlignment="1">
      <alignment/>
    </xf>
    <xf numFmtId="49" fontId="21" fillId="0" borderId="0" xfId="0" applyNumberFormat="1" applyFont="1" applyBorder="1" applyAlignment="1">
      <alignment horizontal="left" wrapText="1"/>
    </xf>
    <xf numFmtId="0" fontId="14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3" fontId="31" fillId="0" borderId="0" xfId="0" applyNumberFormat="1" applyFont="1" applyAlignment="1">
      <alignment/>
    </xf>
    <xf numFmtId="0" fontId="31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3" fontId="22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 wrapText="1"/>
    </xf>
    <xf numFmtId="4" fontId="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4" fontId="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1" fillId="0" borderId="14" xfId="0" applyFont="1" applyBorder="1" applyAlignment="1">
      <alignment horizontal="centerContinuous"/>
    </xf>
    <xf numFmtId="0" fontId="6" fillId="0" borderId="1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6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9" fillId="2" borderId="0" xfId="0" applyFont="1" applyFill="1" applyBorder="1" applyAlignment="1">
      <alignment shrinkToFit="1"/>
    </xf>
    <xf numFmtId="0" fontId="33" fillId="2" borderId="0" xfId="0" applyFont="1" applyFill="1" applyAlignment="1">
      <alignment/>
    </xf>
    <xf numFmtId="0" fontId="9" fillId="2" borderId="0" xfId="0" applyFont="1" applyFill="1" applyAlignment="1">
      <alignment shrinkToFit="1"/>
    </xf>
    <xf numFmtId="0" fontId="9" fillId="2" borderId="0" xfId="0" applyFont="1" applyFill="1" applyAlignment="1">
      <alignment/>
    </xf>
    <xf numFmtId="0" fontId="34" fillId="0" borderId="0" xfId="0" applyFont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9" fillId="2" borderId="8" xfId="0" applyFont="1" applyFill="1" applyBorder="1" applyAlignment="1">
      <alignment shrinkToFit="1"/>
    </xf>
    <xf numFmtId="0" fontId="9" fillId="2" borderId="8" xfId="0" applyFont="1" applyFill="1" applyBorder="1" applyAlignment="1">
      <alignment/>
    </xf>
    <xf numFmtId="0" fontId="9" fillId="2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22" fillId="2" borderId="14" xfId="0" applyFont="1" applyFill="1" applyBorder="1" applyAlignment="1">
      <alignment shrinkToFit="1"/>
    </xf>
    <xf numFmtId="0" fontId="9" fillId="0" borderId="1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2" borderId="14" xfId="0" applyFont="1" applyFill="1" applyBorder="1" applyAlignment="1">
      <alignment/>
    </xf>
    <xf numFmtId="0" fontId="9" fillId="0" borderId="18" xfId="20" applyFont="1" applyFill="1" applyBorder="1" applyAlignment="1">
      <alignment horizontal="center" shrinkToFit="1"/>
      <protection/>
    </xf>
    <xf numFmtId="0" fontId="9" fillId="0" borderId="10" xfId="0" applyFont="1" applyBorder="1" applyAlignment="1">
      <alignment horizontal="center" wrapText="1"/>
    </xf>
    <xf numFmtId="0" fontId="36" fillId="2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shrinkToFit="1"/>
    </xf>
    <xf numFmtId="2" fontId="9" fillId="2" borderId="25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2" fontId="36" fillId="2" borderId="45" xfId="0" applyNumberFormat="1" applyFont="1" applyFill="1" applyBorder="1" applyAlignment="1">
      <alignment horizontal="center"/>
    </xf>
    <xf numFmtId="2" fontId="37" fillId="0" borderId="45" xfId="0" applyNumberFormat="1" applyFont="1" applyFill="1" applyBorder="1" applyAlignment="1">
      <alignment horizontal="center"/>
    </xf>
    <xf numFmtId="2" fontId="37" fillId="2" borderId="45" xfId="0" applyNumberFormat="1" applyFont="1" applyFill="1" applyBorder="1" applyAlignment="1">
      <alignment horizontal="center"/>
    </xf>
    <xf numFmtId="2" fontId="38" fillId="2" borderId="45" xfId="0" applyNumberFormat="1" applyFont="1" applyFill="1" applyBorder="1" applyAlignment="1">
      <alignment horizontal="center"/>
    </xf>
    <xf numFmtId="0" fontId="9" fillId="0" borderId="26" xfId="20" applyFont="1" applyFill="1" applyBorder="1" applyAlignment="1">
      <alignment horizontal="center"/>
      <protection/>
    </xf>
    <xf numFmtId="0" fontId="9" fillId="2" borderId="28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36" fillId="2" borderId="46" xfId="0" applyNumberFormat="1" applyFont="1" applyFill="1" applyBorder="1" applyAlignment="1">
      <alignment horizontal="center"/>
    </xf>
    <xf numFmtId="2" fontId="37" fillId="0" borderId="46" xfId="0" applyNumberFormat="1" applyFont="1" applyFill="1" applyBorder="1" applyAlignment="1">
      <alignment horizontal="center"/>
    </xf>
    <xf numFmtId="2" fontId="37" fillId="2" borderId="47" xfId="0" applyNumberFormat="1" applyFont="1" applyFill="1" applyBorder="1" applyAlignment="1">
      <alignment horizontal="center"/>
    </xf>
    <xf numFmtId="2" fontId="37" fillId="0" borderId="47" xfId="0" applyNumberFormat="1" applyFont="1" applyFill="1" applyBorder="1" applyAlignment="1">
      <alignment horizontal="center"/>
    </xf>
    <xf numFmtId="2" fontId="38" fillId="2" borderId="47" xfId="0" applyNumberFormat="1" applyFont="1" applyFill="1" applyBorder="1" applyAlignment="1">
      <alignment horizontal="center"/>
    </xf>
    <xf numFmtId="4" fontId="9" fillId="0" borderId="18" xfId="19" applyFont="1" applyFill="1" applyBorder="1" applyAlignment="1">
      <alignment horizontal="center" shrinkToFit="1"/>
      <protection/>
    </xf>
    <xf numFmtId="0" fontId="36" fillId="0" borderId="10" xfId="0" applyFont="1" applyFill="1" applyBorder="1" applyAlignment="1">
      <alignment horizontal="center"/>
    </xf>
    <xf numFmtId="2" fontId="36" fillId="2" borderId="48" xfId="0" applyNumberFormat="1" applyFont="1" applyFill="1" applyBorder="1" applyAlignment="1">
      <alignment horizontal="center"/>
    </xf>
    <xf numFmtId="2" fontId="37" fillId="0" borderId="48" xfId="0" applyNumberFormat="1" applyFont="1" applyFill="1" applyBorder="1" applyAlignment="1">
      <alignment horizontal="center"/>
    </xf>
    <xf numFmtId="2" fontId="37" fillId="2" borderId="18" xfId="0" applyNumberFormat="1" applyFont="1" applyFill="1" applyBorder="1" applyAlignment="1">
      <alignment horizontal="center"/>
    </xf>
    <xf numFmtId="2" fontId="37" fillId="0" borderId="18" xfId="0" applyNumberFormat="1" applyFont="1" applyFill="1" applyBorder="1" applyAlignment="1">
      <alignment horizontal="center"/>
    </xf>
    <xf numFmtId="2" fontId="38" fillId="2" borderId="1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shrinkToFit="1"/>
    </xf>
    <xf numFmtId="2" fontId="36" fillId="2" borderId="47" xfId="0" applyNumberFormat="1" applyFont="1" applyFill="1" applyBorder="1" applyAlignment="1">
      <alignment horizontal="center"/>
    </xf>
    <xf numFmtId="2" fontId="37" fillId="2" borderId="45" xfId="20" applyNumberFormat="1" applyFont="1" applyFill="1" applyBorder="1" applyAlignment="1">
      <alignment horizontal="center"/>
      <protection/>
    </xf>
    <xf numFmtId="2" fontId="37" fillId="0" borderId="45" xfId="20" applyNumberFormat="1" applyFont="1" applyFill="1" applyBorder="1" applyAlignment="1">
      <alignment horizontal="center"/>
      <protection/>
    </xf>
    <xf numFmtId="2" fontId="37" fillId="2" borderId="47" xfId="20" applyNumberFormat="1" applyFont="1" applyFill="1" applyBorder="1" applyAlignment="1">
      <alignment horizontal="center"/>
      <protection/>
    </xf>
    <xf numFmtId="2" fontId="37" fillId="0" borderId="47" xfId="20" applyNumberFormat="1" applyFont="1" applyFill="1" applyBorder="1" applyAlignment="1">
      <alignment horizontal="center"/>
      <protection/>
    </xf>
    <xf numFmtId="2" fontId="9" fillId="2" borderId="26" xfId="19" applyNumberFormat="1" applyFont="1" applyFill="1" applyBorder="1" applyAlignment="1">
      <alignment horizontal="center"/>
      <protection/>
    </xf>
    <xf numFmtId="2" fontId="37" fillId="2" borderId="26" xfId="20" applyNumberFormat="1" applyFont="1" applyFill="1" applyBorder="1" applyAlignment="1">
      <alignment horizontal="center"/>
      <protection/>
    </xf>
    <xf numFmtId="2" fontId="37" fillId="0" borderId="26" xfId="20" applyNumberFormat="1" applyFont="1" applyFill="1" applyBorder="1" applyAlignment="1">
      <alignment horizontal="center"/>
      <protection/>
    </xf>
    <xf numFmtId="2" fontId="9" fillId="2" borderId="28" xfId="19" applyNumberFormat="1" applyFont="1" applyFill="1" applyBorder="1" applyAlignment="1">
      <alignment horizontal="center"/>
      <protection/>
    </xf>
    <xf numFmtId="0" fontId="9" fillId="0" borderId="18" xfId="0" applyFont="1" applyFill="1" applyBorder="1" applyAlignment="1">
      <alignment horizontal="center" shrinkToFit="1"/>
    </xf>
    <xf numFmtId="2" fontId="9" fillId="2" borderId="30" xfId="0" applyNumberFormat="1" applyFont="1" applyFill="1" applyBorder="1" applyAlignment="1">
      <alignment horizontal="center"/>
    </xf>
    <xf numFmtId="2" fontId="37" fillId="2" borderId="18" xfId="20" applyNumberFormat="1" applyFont="1" applyFill="1" applyBorder="1" applyAlignment="1">
      <alignment horizontal="center"/>
      <protection/>
    </xf>
    <xf numFmtId="2" fontId="37" fillId="0" borderId="18" xfId="20" applyNumberFormat="1" applyFont="1" applyFill="1" applyBorder="1" applyAlignment="1">
      <alignment horizontal="center"/>
      <protection/>
    </xf>
    <xf numFmtId="0" fontId="9" fillId="0" borderId="26" xfId="20" applyFont="1" applyFill="1" applyBorder="1" applyAlignment="1">
      <alignment horizontal="center" shrinkToFit="1"/>
      <protection/>
    </xf>
    <xf numFmtId="2" fontId="9" fillId="0" borderId="49" xfId="0" applyNumberFormat="1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2" fontId="37" fillId="2" borderId="46" xfId="0" applyNumberFormat="1" applyFont="1" applyFill="1" applyBorder="1" applyAlignment="1">
      <alignment horizontal="center"/>
    </xf>
    <xf numFmtId="2" fontId="38" fillId="0" borderId="47" xfId="0" applyNumberFormat="1" applyFont="1" applyFill="1" applyBorder="1" applyAlignment="1">
      <alignment horizontal="center"/>
    </xf>
    <xf numFmtId="2" fontId="9" fillId="2" borderId="28" xfId="0" applyNumberFormat="1" applyFont="1" applyFill="1" applyBorder="1" applyAlignment="1">
      <alignment horizontal="center"/>
    </xf>
    <xf numFmtId="0" fontId="9" fillId="0" borderId="26" xfId="20" applyFont="1" applyFill="1" applyBorder="1" applyAlignment="1">
      <alignment horizontal="center" wrapText="1"/>
      <protection/>
    </xf>
    <xf numFmtId="49" fontId="9" fillId="0" borderId="18" xfId="0" applyNumberFormat="1" applyFont="1" applyFill="1" applyBorder="1" applyAlignment="1">
      <alignment horizontal="center" shrinkToFit="1"/>
    </xf>
    <xf numFmtId="0" fontId="9" fillId="0" borderId="30" xfId="0" applyFont="1" applyBorder="1" applyAlignment="1">
      <alignment/>
    </xf>
    <xf numFmtId="49" fontId="9" fillId="0" borderId="26" xfId="0" applyNumberFormat="1" applyFont="1" applyFill="1" applyBorder="1" applyAlignment="1">
      <alignment horizontal="center" shrinkToFit="1"/>
    </xf>
    <xf numFmtId="2" fontId="9" fillId="0" borderId="28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49" fontId="36" fillId="0" borderId="26" xfId="0" applyNumberFormat="1" applyFont="1" applyFill="1" applyBorder="1" applyAlignment="1">
      <alignment horizontal="center" shrinkToFit="1"/>
    </xf>
    <xf numFmtId="0" fontId="36" fillId="0" borderId="28" xfId="0" applyFont="1" applyFill="1" applyBorder="1" applyAlignment="1">
      <alignment horizontal="center"/>
    </xf>
    <xf numFmtId="2" fontId="36" fillId="0" borderId="47" xfId="0" applyNumberFormat="1" applyFont="1" applyFill="1" applyBorder="1" applyAlignment="1">
      <alignment horizontal="center"/>
    </xf>
    <xf numFmtId="49" fontId="36" fillId="0" borderId="18" xfId="0" applyNumberFormat="1" applyFont="1" applyFill="1" applyBorder="1" applyAlignment="1">
      <alignment horizontal="center" shrinkToFit="1"/>
    </xf>
    <xf numFmtId="0" fontId="36" fillId="0" borderId="30" xfId="0" applyFont="1" applyFill="1" applyBorder="1" applyAlignment="1">
      <alignment horizontal="center"/>
    </xf>
    <xf numFmtId="2" fontId="36" fillId="0" borderId="48" xfId="0" applyNumberFormat="1" applyFont="1" applyFill="1" applyBorder="1" applyAlignment="1">
      <alignment horizontal="center"/>
    </xf>
    <xf numFmtId="2" fontId="38" fillId="0" borderId="18" xfId="0" applyNumberFormat="1" applyFont="1" applyFill="1" applyBorder="1" applyAlignment="1">
      <alignment horizontal="center"/>
    </xf>
    <xf numFmtId="2" fontId="9" fillId="2" borderId="30" xfId="19" applyNumberFormat="1" applyFont="1" applyFill="1" applyBorder="1" applyAlignment="1">
      <alignment horizontal="center"/>
      <protection/>
    </xf>
    <xf numFmtId="0" fontId="9" fillId="0" borderId="14" xfId="20" applyFont="1" applyFill="1" applyBorder="1" applyAlignment="1">
      <alignment horizontal="center" wrapText="1"/>
      <protection/>
    </xf>
    <xf numFmtId="2" fontId="9" fillId="2" borderId="14" xfId="19" applyNumberFormat="1" applyFont="1" applyFill="1" applyBorder="1" applyAlignment="1">
      <alignment horizontal="center"/>
      <protection/>
    </xf>
    <xf numFmtId="177" fontId="9" fillId="2" borderId="28" xfId="19" applyNumberFormat="1" applyFont="1" applyFill="1" applyBorder="1" applyAlignment="1">
      <alignment horizontal="center"/>
      <protection/>
    </xf>
    <xf numFmtId="177" fontId="9" fillId="2" borderId="30" xfId="19" applyNumberFormat="1" applyFont="1" applyFill="1" applyBorder="1" applyAlignment="1">
      <alignment horizontal="center"/>
      <protection/>
    </xf>
    <xf numFmtId="2" fontId="36" fillId="0" borderId="46" xfId="0" applyNumberFormat="1" applyFont="1" applyFill="1" applyBorder="1" applyAlignment="1">
      <alignment horizontal="center"/>
    </xf>
    <xf numFmtId="2" fontId="36" fillId="0" borderId="18" xfId="0" applyNumberFormat="1" applyFont="1" applyFill="1" applyBorder="1" applyAlignment="1">
      <alignment horizontal="center"/>
    </xf>
    <xf numFmtId="2" fontId="9" fillId="2" borderId="18" xfId="19" applyNumberFormat="1" applyFont="1" applyFill="1" applyBorder="1" applyAlignment="1">
      <alignment horizontal="center"/>
      <protection/>
    </xf>
    <xf numFmtId="0" fontId="9" fillId="0" borderId="14" xfId="0" applyFont="1" applyBorder="1" applyAlignment="1">
      <alignment shrinkToFit="1"/>
    </xf>
    <xf numFmtId="0" fontId="9" fillId="0" borderId="14" xfId="0" applyFont="1" applyBorder="1" applyAlignment="1">
      <alignment/>
    </xf>
    <xf numFmtId="0" fontId="9" fillId="0" borderId="26" xfId="0" applyFont="1" applyBorder="1" applyAlignment="1">
      <alignment shrinkToFit="1"/>
    </xf>
    <xf numFmtId="0" fontId="9" fillId="0" borderId="26" xfId="0" applyFont="1" applyBorder="1" applyAlignment="1">
      <alignment/>
    </xf>
    <xf numFmtId="49" fontId="9" fillId="0" borderId="14" xfId="0" applyNumberFormat="1" applyFont="1" applyFill="1" applyBorder="1" applyAlignment="1">
      <alignment horizontal="center" shrinkToFit="1"/>
    </xf>
    <xf numFmtId="2" fontId="36" fillId="2" borderId="18" xfId="0" applyNumberFormat="1" applyFont="1" applyFill="1" applyBorder="1" applyAlignment="1">
      <alignment horizontal="center"/>
    </xf>
    <xf numFmtId="2" fontId="37" fillId="2" borderId="50" xfId="0" applyNumberFormat="1" applyFont="1" applyFill="1" applyBorder="1" applyAlignment="1">
      <alignment horizontal="center"/>
    </xf>
    <xf numFmtId="2" fontId="37" fillId="0" borderId="50" xfId="0" applyNumberFormat="1" applyFont="1" applyFill="1" applyBorder="1" applyAlignment="1">
      <alignment horizontal="center"/>
    </xf>
    <xf numFmtId="2" fontId="37" fillId="2" borderId="30" xfId="0" applyNumberFormat="1" applyFont="1" applyFill="1" applyBorder="1" applyAlignment="1">
      <alignment horizontal="center"/>
    </xf>
    <xf numFmtId="2" fontId="37" fillId="0" borderId="30" xfId="0" applyNumberFormat="1" applyFont="1" applyFill="1" applyBorder="1" applyAlignment="1">
      <alignment horizontal="center"/>
    </xf>
    <xf numFmtId="4" fontId="9" fillId="2" borderId="26" xfId="19" applyFont="1" applyFill="1" applyBorder="1" applyAlignment="1">
      <alignment horizontal="center"/>
      <protection/>
    </xf>
    <xf numFmtId="4" fontId="9" fillId="2" borderId="18" xfId="19" applyFont="1" applyFill="1" applyBorder="1" applyAlignment="1">
      <alignment horizontal="center"/>
      <protection/>
    </xf>
    <xf numFmtId="0" fontId="39" fillId="0" borderId="49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178" fontId="36" fillId="2" borderId="47" xfId="0" applyNumberFormat="1" applyFont="1" applyFill="1" applyBorder="1" applyAlignment="1">
      <alignment horizontal="center"/>
    </xf>
    <xf numFmtId="178" fontId="37" fillId="0" borderId="47" xfId="0" applyNumberFormat="1" applyFont="1" applyFill="1" applyBorder="1" applyAlignment="1">
      <alignment horizontal="center"/>
    </xf>
    <xf numFmtId="2" fontId="40" fillId="0" borderId="47" xfId="0" applyNumberFormat="1" applyFont="1" applyFill="1" applyBorder="1" applyAlignment="1">
      <alignment horizontal="center"/>
    </xf>
    <xf numFmtId="0" fontId="39" fillId="0" borderId="26" xfId="20" applyFont="1" applyFill="1" applyBorder="1" applyAlignment="1">
      <alignment horizontal="center" shrinkToFit="1"/>
      <protection/>
    </xf>
    <xf numFmtId="2" fontId="39" fillId="0" borderId="49" xfId="0" applyNumberFormat="1" applyFont="1" applyBorder="1" applyAlignment="1">
      <alignment horizontal="center"/>
    </xf>
    <xf numFmtId="2" fontId="39" fillId="2" borderId="47" xfId="0" applyNumberFormat="1" applyFont="1" applyFill="1" applyBorder="1" applyAlignment="1">
      <alignment horizontal="center"/>
    </xf>
    <xf numFmtId="0" fontId="39" fillId="0" borderId="18" xfId="20" applyFont="1" applyFill="1" applyBorder="1" applyAlignment="1">
      <alignment horizontal="center" shrinkToFit="1"/>
      <protection/>
    </xf>
    <xf numFmtId="2" fontId="39" fillId="2" borderId="48" xfId="0" applyNumberFormat="1" applyFont="1" applyFill="1" applyBorder="1" applyAlignment="1">
      <alignment horizontal="center"/>
    </xf>
    <xf numFmtId="2" fontId="39" fillId="2" borderId="26" xfId="19" applyNumberFormat="1" applyFont="1" applyFill="1" applyBorder="1" applyAlignment="1">
      <alignment horizontal="center"/>
      <protection/>
    </xf>
    <xf numFmtId="10" fontId="39" fillId="2" borderId="28" xfId="0" applyNumberFormat="1" applyFont="1" applyFill="1" applyBorder="1" applyAlignment="1">
      <alignment horizontal="center"/>
    </xf>
    <xf numFmtId="49" fontId="39" fillId="0" borderId="18" xfId="0" applyNumberFormat="1" applyFont="1" applyFill="1" applyBorder="1" applyAlignment="1">
      <alignment horizontal="center" shrinkToFit="1"/>
    </xf>
    <xf numFmtId="2" fontId="39" fillId="2" borderId="18" xfId="0" applyNumberFormat="1" applyFont="1" applyFill="1" applyBorder="1" applyAlignment="1">
      <alignment horizontal="center"/>
    </xf>
    <xf numFmtId="10" fontId="39" fillId="2" borderId="18" xfId="0" applyNumberFormat="1" applyFont="1" applyFill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39" fillId="0" borderId="25" xfId="0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2" fontId="39" fillId="2" borderId="45" xfId="0" applyNumberFormat="1" applyFont="1" applyFill="1" applyBorder="1" applyAlignment="1">
      <alignment horizontal="center"/>
    </xf>
    <xf numFmtId="2" fontId="37" fillId="2" borderId="51" xfId="0" applyNumberFormat="1" applyFont="1" applyFill="1" applyBorder="1" applyAlignment="1">
      <alignment horizontal="center"/>
    </xf>
    <xf numFmtId="2" fontId="37" fillId="0" borderId="51" xfId="0" applyNumberFormat="1" applyFont="1" applyFill="1" applyBorder="1" applyAlignment="1">
      <alignment horizontal="center"/>
    </xf>
    <xf numFmtId="2" fontId="39" fillId="0" borderId="28" xfId="0" applyNumberFormat="1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2" fontId="39" fillId="2" borderId="46" xfId="0" applyNumberFormat="1" applyFont="1" applyFill="1" applyBorder="1" applyAlignment="1">
      <alignment horizontal="center"/>
    </xf>
    <xf numFmtId="2" fontId="39" fillId="0" borderId="30" xfId="0" applyNumberFormat="1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9" fillId="0" borderId="27" xfId="20" applyFont="1" applyFill="1" applyBorder="1" applyAlignment="1">
      <alignment horizontal="center" shrinkToFit="1"/>
      <protection/>
    </xf>
    <xf numFmtId="0" fontId="36" fillId="0" borderId="18" xfId="20" applyFont="1" applyFill="1" applyBorder="1" applyAlignment="1">
      <alignment horizontal="center" shrinkToFit="1"/>
      <protection/>
    </xf>
    <xf numFmtId="0" fontId="36" fillId="0" borderId="18" xfId="0" applyFont="1" applyFill="1" applyBorder="1" applyAlignment="1">
      <alignment horizontal="center"/>
    </xf>
    <xf numFmtId="0" fontId="36" fillId="0" borderId="26" xfId="20" applyFont="1" applyFill="1" applyBorder="1" applyAlignment="1">
      <alignment horizontal="center" shrinkToFit="1"/>
      <protection/>
    </xf>
    <xf numFmtId="2" fontId="36" fillId="0" borderId="50" xfId="0" applyNumberFormat="1" applyFont="1" applyFill="1" applyBorder="1" applyAlignment="1">
      <alignment horizontal="center"/>
    </xf>
    <xf numFmtId="2" fontId="36" fillId="0" borderId="52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36" fillId="0" borderId="26" xfId="20" applyFont="1" applyFill="1" applyBorder="1" applyAlignment="1">
      <alignment horizontal="center"/>
      <protection/>
    </xf>
    <xf numFmtId="2" fontId="41" fillId="0" borderId="50" xfId="0" applyNumberFormat="1" applyFont="1" applyFill="1" applyBorder="1" applyAlignment="1">
      <alignment horizontal="center"/>
    </xf>
    <xf numFmtId="2" fontId="41" fillId="2" borderId="50" xfId="0" applyNumberFormat="1" applyFont="1" applyFill="1" applyBorder="1" applyAlignment="1">
      <alignment horizontal="center"/>
    </xf>
    <xf numFmtId="2" fontId="39" fillId="0" borderId="18" xfId="0" applyNumberFormat="1" applyFont="1" applyFill="1" applyBorder="1" applyAlignment="1">
      <alignment horizontal="center"/>
    </xf>
    <xf numFmtId="0" fontId="36" fillId="0" borderId="18" xfId="20" applyFont="1" applyFill="1" applyBorder="1" applyAlignment="1">
      <alignment horizontal="center"/>
      <protection/>
    </xf>
    <xf numFmtId="2" fontId="41" fillId="0" borderId="48" xfId="0" applyNumberFormat="1" applyFont="1" applyFill="1" applyBorder="1" applyAlignment="1">
      <alignment horizontal="center"/>
    </xf>
    <xf numFmtId="2" fontId="41" fillId="2" borderId="30" xfId="0" applyNumberFormat="1" applyFont="1" applyFill="1" applyBorder="1" applyAlignment="1">
      <alignment horizontal="center"/>
    </xf>
    <xf numFmtId="2" fontId="41" fillId="0" borderId="30" xfId="0" applyNumberFormat="1" applyFont="1" applyFill="1" applyBorder="1" applyAlignment="1">
      <alignment horizontal="center"/>
    </xf>
    <xf numFmtId="2" fontId="39" fillId="2" borderId="26" xfId="0" applyNumberFormat="1" applyFont="1" applyFill="1" applyBorder="1" applyAlignment="1">
      <alignment horizontal="center"/>
    </xf>
    <xf numFmtId="0" fontId="39" fillId="0" borderId="26" xfId="20" applyFont="1" applyFill="1" applyBorder="1" applyAlignment="1">
      <alignment horizontal="center"/>
      <protection/>
    </xf>
    <xf numFmtId="2" fontId="39" fillId="0" borderId="47" xfId="0" applyNumberFormat="1" applyFont="1" applyFill="1" applyBorder="1" applyAlignment="1">
      <alignment horizontal="center"/>
    </xf>
    <xf numFmtId="2" fontId="41" fillId="0" borderId="45" xfId="0" applyNumberFormat="1" applyFont="1" applyFill="1" applyBorder="1" applyAlignment="1">
      <alignment horizontal="center"/>
    </xf>
    <xf numFmtId="2" fontId="41" fillId="0" borderId="47" xfId="0" applyNumberFormat="1" applyFont="1" applyFill="1" applyBorder="1" applyAlignment="1">
      <alignment horizontal="center"/>
    </xf>
    <xf numFmtId="0" fontId="39" fillId="0" borderId="18" xfId="20" applyFont="1" applyFill="1" applyBorder="1" applyAlignment="1">
      <alignment horizontal="center"/>
      <protection/>
    </xf>
    <xf numFmtId="2" fontId="39" fillId="0" borderId="4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39" fillId="0" borderId="26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39" fillId="0" borderId="14" xfId="20" applyFont="1" applyFill="1" applyBorder="1" applyAlignment="1">
      <alignment horizontal="center"/>
      <protection/>
    </xf>
    <xf numFmtId="2" fontId="39" fillId="0" borderId="54" xfId="0" applyNumberFormat="1" applyFont="1" applyFill="1" applyBorder="1" applyAlignment="1">
      <alignment horizontal="center"/>
    </xf>
    <xf numFmtId="2" fontId="39" fillId="0" borderId="45" xfId="0" applyNumberFormat="1" applyFont="1" applyFill="1" applyBorder="1" applyAlignment="1">
      <alignment horizontal="center"/>
    </xf>
    <xf numFmtId="2" fontId="39" fillId="0" borderId="55" xfId="0" applyNumberFormat="1" applyFont="1" applyFill="1" applyBorder="1" applyAlignment="1">
      <alignment horizontal="center"/>
    </xf>
    <xf numFmtId="2" fontId="41" fillId="0" borderId="55" xfId="0" applyNumberFormat="1" applyFont="1" applyFill="1" applyBorder="1" applyAlignment="1">
      <alignment horizontal="center"/>
    </xf>
    <xf numFmtId="2" fontId="41" fillId="2" borderId="45" xfId="0" applyNumberFormat="1" applyFont="1" applyFill="1" applyBorder="1" applyAlignment="1">
      <alignment horizontal="center"/>
    </xf>
    <xf numFmtId="2" fontId="38" fillId="0" borderId="45" xfId="0" applyNumberFormat="1" applyFont="1" applyFill="1" applyBorder="1" applyAlignment="1">
      <alignment horizontal="center"/>
    </xf>
    <xf numFmtId="2" fontId="39" fillId="0" borderId="43" xfId="0" applyNumberFormat="1" applyFont="1" applyFill="1" applyBorder="1" applyAlignment="1">
      <alignment horizontal="center"/>
    </xf>
    <xf numFmtId="2" fontId="39" fillId="0" borderId="46" xfId="0" applyNumberFormat="1" applyFont="1" applyFill="1" applyBorder="1" applyAlignment="1">
      <alignment horizontal="center"/>
    </xf>
    <xf numFmtId="2" fontId="39" fillId="0" borderId="56" xfId="0" applyNumberFormat="1" applyFont="1" applyFill="1" applyBorder="1" applyAlignment="1">
      <alignment horizontal="center"/>
    </xf>
    <xf numFmtId="2" fontId="41" fillId="0" borderId="56" xfId="0" applyNumberFormat="1" applyFont="1" applyFill="1" applyBorder="1" applyAlignment="1">
      <alignment horizontal="center"/>
    </xf>
    <xf numFmtId="2" fontId="41" fillId="2" borderId="46" xfId="0" applyNumberFormat="1" applyFont="1" applyFill="1" applyBorder="1" applyAlignment="1">
      <alignment horizontal="center"/>
    </xf>
    <xf numFmtId="2" fontId="41" fillId="0" borderId="46" xfId="0" applyNumberFormat="1" applyFont="1" applyFill="1" applyBorder="1" applyAlignment="1">
      <alignment horizontal="center"/>
    </xf>
    <xf numFmtId="2" fontId="38" fillId="0" borderId="46" xfId="0" applyNumberFormat="1" applyFont="1" applyFill="1" applyBorder="1" applyAlignment="1">
      <alignment horizontal="center"/>
    </xf>
    <xf numFmtId="0" fontId="9" fillId="0" borderId="18" xfId="20" applyFont="1" applyFill="1" applyBorder="1" applyAlignment="1">
      <alignment horizontal="center"/>
      <protection/>
    </xf>
    <xf numFmtId="2" fontId="39" fillId="0" borderId="57" xfId="0" applyNumberFormat="1" applyFont="1" applyFill="1" applyBorder="1" applyAlignment="1">
      <alignment horizontal="center"/>
    </xf>
    <xf numFmtId="2" fontId="39" fillId="0" borderId="58" xfId="0" applyNumberFormat="1" applyFont="1" applyFill="1" applyBorder="1" applyAlignment="1">
      <alignment horizontal="center"/>
    </xf>
    <xf numFmtId="2" fontId="41" fillId="0" borderId="58" xfId="0" applyNumberFormat="1" applyFont="1" applyFill="1" applyBorder="1" applyAlignment="1">
      <alignment horizontal="center"/>
    </xf>
    <xf numFmtId="2" fontId="41" fillId="2" borderId="48" xfId="0" applyNumberFormat="1" applyFont="1" applyFill="1" applyBorder="1" applyAlignment="1">
      <alignment horizontal="center"/>
    </xf>
    <xf numFmtId="2" fontId="38" fillId="0" borderId="49" xfId="0" applyNumberFormat="1" applyFont="1" applyFill="1" applyBorder="1" applyAlignment="1">
      <alignment horizontal="center"/>
    </xf>
    <xf numFmtId="0" fontId="39" fillId="0" borderId="24" xfId="20" applyFont="1" applyFill="1" applyBorder="1" applyAlignment="1">
      <alignment horizontal="center" shrinkToFit="1"/>
      <protection/>
    </xf>
    <xf numFmtId="2" fontId="39" fillId="0" borderId="25" xfId="0" applyNumberFormat="1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9" fillId="0" borderId="1" xfId="20" applyFont="1" applyFill="1" applyBorder="1" applyAlignment="1">
      <alignment horizontal="center"/>
      <protection/>
    </xf>
    <xf numFmtId="2" fontId="41" fillId="2" borderId="55" xfId="0" applyNumberFormat="1" applyFont="1" applyFill="1" applyBorder="1" applyAlignment="1">
      <alignment horizontal="center"/>
    </xf>
    <xf numFmtId="0" fontId="39" fillId="0" borderId="27" xfId="20" applyFont="1" applyFill="1" applyBorder="1" applyAlignment="1">
      <alignment horizontal="center" shrinkToFit="1"/>
      <protection/>
    </xf>
    <xf numFmtId="2" fontId="39" fillId="0" borderId="28" xfId="0" applyNumberFormat="1" applyFont="1" applyFill="1" applyBorder="1" applyAlignment="1">
      <alignment horizontal="center"/>
    </xf>
    <xf numFmtId="0" fontId="9" fillId="0" borderId="0" xfId="20" applyFont="1" applyFill="1" applyBorder="1" applyAlignment="1">
      <alignment horizontal="center"/>
      <protection/>
    </xf>
    <xf numFmtId="2" fontId="41" fillId="2" borderId="56" xfId="0" applyNumberFormat="1" applyFont="1" applyFill="1" applyBorder="1" applyAlignment="1">
      <alignment horizontal="center"/>
    </xf>
    <xf numFmtId="0" fontId="39" fillId="0" borderId="29" xfId="20" applyFont="1" applyFill="1" applyBorder="1" applyAlignment="1">
      <alignment horizontal="center" shrinkToFit="1"/>
      <protection/>
    </xf>
    <xf numFmtId="2" fontId="39" fillId="0" borderId="30" xfId="0" applyNumberFormat="1" applyFont="1" applyFill="1" applyBorder="1" applyAlignment="1">
      <alignment horizontal="center"/>
    </xf>
    <xf numFmtId="0" fontId="9" fillId="0" borderId="8" xfId="20" applyFont="1" applyFill="1" applyBorder="1" applyAlignment="1">
      <alignment horizontal="center"/>
      <protection/>
    </xf>
    <xf numFmtId="2" fontId="41" fillId="2" borderId="58" xfId="0" applyNumberFormat="1" applyFont="1" applyFill="1" applyBorder="1" applyAlignment="1">
      <alignment horizontal="center"/>
    </xf>
    <xf numFmtId="2" fontId="38" fillId="0" borderId="48" xfId="0" applyNumberFormat="1" applyFont="1" applyFill="1" applyBorder="1" applyAlignment="1">
      <alignment horizontal="center"/>
    </xf>
    <xf numFmtId="49" fontId="35" fillId="0" borderId="24" xfId="0" applyNumberFormat="1" applyFont="1" applyFill="1" applyBorder="1" applyAlignment="1">
      <alignment shrinkToFit="1"/>
    </xf>
    <xf numFmtId="2" fontId="35" fillId="0" borderId="25" xfId="0" applyNumberFormat="1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10" fontId="35" fillId="0" borderId="14" xfId="0" applyNumberFormat="1" applyFont="1" applyFill="1" applyBorder="1" applyAlignment="1">
      <alignment horizontal="center"/>
    </xf>
    <xf numFmtId="2" fontId="35" fillId="0" borderId="45" xfId="0" applyNumberFormat="1" applyFont="1" applyFill="1" applyBorder="1" applyAlignment="1">
      <alignment/>
    </xf>
    <xf numFmtId="2" fontId="35" fillId="0" borderId="51" xfId="0" applyNumberFormat="1" applyFont="1" applyFill="1" applyBorder="1" applyAlignment="1">
      <alignment/>
    </xf>
    <xf numFmtId="2" fontId="35" fillId="2" borderId="51" xfId="0" applyNumberFormat="1" applyFont="1" applyFill="1" applyBorder="1" applyAlignment="1">
      <alignment/>
    </xf>
    <xf numFmtId="2" fontId="42" fillId="0" borderId="51" xfId="0" applyNumberFormat="1" applyFont="1" applyFill="1" applyBorder="1" applyAlignment="1">
      <alignment/>
    </xf>
    <xf numFmtId="0" fontId="35" fillId="0" borderId="27" xfId="0" applyFont="1" applyFill="1" applyBorder="1" applyAlignment="1">
      <alignment horizontal="center" shrinkToFit="1"/>
    </xf>
    <xf numFmtId="2" fontId="35" fillId="0" borderId="28" xfId="0" applyNumberFormat="1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2" fontId="35" fillId="0" borderId="46" xfId="0" applyNumberFormat="1" applyFont="1" applyFill="1" applyBorder="1" applyAlignment="1">
      <alignment/>
    </xf>
    <xf numFmtId="2" fontId="35" fillId="0" borderId="59" xfId="0" applyNumberFormat="1" applyFont="1" applyFill="1" applyBorder="1" applyAlignment="1">
      <alignment/>
    </xf>
    <xf numFmtId="2" fontId="35" fillId="2" borderId="59" xfId="0" applyNumberFormat="1" applyFont="1" applyFill="1" applyBorder="1" applyAlignment="1">
      <alignment/>
    </xf>
    <xf numFmtId="2" fontId="42" fillId="0" borderId="59" xfId="0" applyNumberFormat="1" applyFont="1" applyFill="1" applyBorder="1" applyAlignment="1">
      <alignment/>
    </xf>
    <xf numFmtId="0" fontId="35" fillId="0" borderId="29" xfId="0" applyFont="1" applyFill="1" applyBorder="1" applyAlignment="1">
      <alignment shrinkToFit="1"/>
    </xf>
    <xf numFmtId="2" fontId="35" fillId="0" borderId="3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2" fontId="35" fillId="0" borderId="48" xfId="0" applyNumberFormat="1" applyFont="1" applyFill="1" applyBorder="1" applyAlignment="1">
      <alignment/>
    </xf>
    <xf numFmtId="2" fontId="35" fillId="0" borderId="52" xfId="0" applyNumberFormat="1" applyFont="1" applyFill="1" applyBorder="1" applyAlignment="1">
      <alignment/>
    </xf>
    <xf numFmtId="2" fontId="35" fillId="2" borderId="52" xfId="0" applyNumberFormat="1" applyFont="1" applyFill="1" applyBorder="1" applyAlignment="1">
      <alignment/>
    </xf>
    <xf numFmtId="2" fontId="42" fillId="0" borderId="52" xfId="0" applyNumberFormat="1" applyFont="1" applyFill="1" applyBorder="1" applyAlignment="1">
      <alignment/>
    </xf>
    <xf numFmtId="9" fontId="36" fillId="2" borderId="0" xfId="21" applyFont="1" applyFill="1" applyBorder="1" applyAlignment="1">
      <alignment shrinkToFit="1"/>
    </xf>
    <xf numFmtId="9" fontId="41" fillId="2" borderId="0" xfId="21" applyFont="1" applyFill="1" applyBorder="1" applyAlignment="1">
      <alignment/>
    </xf>
    <xf numFmtId="0" fontId="41" fillId="2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43" fillId="2" borderId="0" xfId="0" applyFont="1" applyFill="1" applyBorder="1" applyAlignment="1">
      <alignment horizontal="center" shrinkToFit="1"/>
    </xf>
    <xf numFmtId="2" fontId="44" fillId="0" borderId="0" xfId="0" applyNumberFormat="1" applyFont="1" applyFill="1" applyBorder="1" applyAlignment="1">
      <alignment/>
    </xf>
    <xf numFmtId="2" fontId="44" fillId="2" borderId="0" xfId="0" applyNumberFormat="1" applyFont="1" applyFill="1" applyBorder="1" applyAlignment="1">
      <alignment/>
    </xf>
    <xf numFmtId="2" fontId="42" fillId="0" borderId="0" xfId="0" applyNumberFormat="1" applyFont="1" applyFill="1" applyBorder="1" applyAlignment="1">
      <alignment/>
    </xf>
    <xf numFmtId="0" fontId="35" fillId="2" borderId="0" xfId="0" applyFont="1" applyFill="1" applyBorder="1" applyAlignment="1">
      <alignment horizontal="center" shrinkToFit="1"/>
    </xf>
    <xf numFmtId="0" fontId="36" fillId="2" borderId="0" xfId="0" applyFont="1" applyFill="1" applyAlignment="1">
      <alignment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45" fillId="2" borderId="0" xfId="0" applyFont="1" applyFill="1" applyAlignment="1">
      <alignment horizontal="left"/>
    </xf>
    <xf numFmtId="0" fontId="49" fillId="2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shrinkToFit="1"/>
    </xf>
    <xf numFmtId="0" fontId="47" fillId="2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41" fillId="2" borderId="0" xfId="0" applyFont="1" applyFill="1" applyBorder="1" applyAlignment="1">
      <alignment shrinkToFit="1"/>
    </xf>
    <xf numFmtId="0" fontId="41" fillId="2" borderId="0" xfId="0" applyFont="1" applyFill="1" applyAlignment="1">
      <alignment/>
    </xf>
    <xf numFmtId="0" fontId="36" fillId="2" borderId="0" xfId="0" applyFont="1" applyFill="1" applyBorder="1" applyAlignment="1">
      <alignment shrinkToFit="1"/>
    </xf>
    <xf numFmtId="49" fontId="36" fillId="2" borderId="0" xfId="0" applyNumberFormat="1" applyFont="1" applyFill="1" applyBorder="1" applyAlignment="1">
      <alignment horizontal="left" shrinkToFit="1"/>
    </xf>
    <xf numFmtId="49" fontId="36" fillId="2" borderId="0" xfId="0" applyNumberFormat="1" applyFont="1" applyFill="1" applyBorder="1" applyAlignment="1">
      <alignment shrinkToFit="1"/>
    </xf>
    <xf numFmtId="49" fontId="45" fillId="2" borderId="0" xfId="0" applyNumberFormat="1" applyFont="1" applyFill="1" applyBorder="1" applyAlignment="1">
      <alignment shrinkToFit="1"/>
    </xf>
    <xf numFmtId="0" fontId="45" fillId="2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3" fontId="2" fillId="0" borderId="0" xfId="0" applyNumberFormat="1" applyFont="1" applyAlignment="1">
      <alignment horizontal="center"/>
    </xf>
    <xf numFmtId="3" fontId="2" fillId="0" borderId="6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19" fillId="0" borderId="61" xfId="0" applyNumberFormat="1" applyFont="1" applyBorder="1" applyAlignment="1">
      <alignment horizontal="center"/>
    </xf>
    <xf numFmtId="3" fontId="19" fillId="0" borderId="62" xfId="0" applyNumberFormat="1" applyFont="1" applyBorder="1" applyAlignment="1">
      <alignment horizontal="center"/>
    </xf>
    <xf numFmtId="3" fontId="19" fillId="0" borderId="6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 wrapText="1"/>
    </xf>
    <xf numFmtId="49" fontId="14" fillId="0" borderId="0" xfId="0" applyNumberFormat="1" applyFont="1" applyBorder="1" applyAlignment="1">
      <alignment horizontal="left" wrapText="1"/>
    </xf>
    <xf numFmtId="0" fontId="35" fillId="2" borderId="15" xfId="0" applyFont="1" applyFill="1" applyBorder="1" applyAlignment="1">
      <alignment horizontal="center"/>
    </xf>
    <xf numFmtId="0" fontId="35" fillId="2" borderId="17" xfId="0" applyFont="1" applyFill="1" applyBorder="1" applyAlignment="1">
      <alignment horizontal="center"/>
    </xf>
    <xf numFmtId="0" fontId="35" fillId="2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NFO" xfId="19"/>
    <cellStyle name="Normal_PARAD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A27" sqref="A27"/>
    </sheetView>
  </sheetViews>
  <sheetFormatPr defaultColWidth="9.140625" defaultRowHeight="12.75"/>
  <cols>
    <col min="1" max="1" width="69.8515625" style="0" customWidth="1"/>
    <col min="2" max="2" width="13.7109375" style="0" customWidth="1"/>
  </cols>
  <sheetData>
    <row r="1" spans="1:2" ht="27.75" customHeight="1">
      <c r="A1" s="657" t="s">
        <v>694</v>
      </c>
      <c r="B1" s="657"/>
    </row>
    <row r="2" ht="20.25" customHeight="1"/>
    <row r="3" spans="1:2" ht="15.75">
      <c r="A3" s="657" t="s">
        <v>693</v>
      </c>
      <c r="B3" s="657"/>
    </row>
    <row r="4" ht="14.25" customHeight="1"/>
    <row r="6" spans="1:2" ht="17.25" customHeight="1">
      <c r="A6" s="375" t="s">
        <v>697</v>
      </c>
      <c r="B6" s="375">
        <v>1</v>
      </c>
    </row>
    <row r="7" spans="1:2" ht="24" customHeight="1">
      <c r="A7" s="375" t="s">
        <v>696</v>
      </c>
      <c r="B7" s="375">
        <v>3</v>
      </c>
    </row>
    <row r="8" spans="1:2" ht="24" customHeight="1">
      <c r="A8" s="375" t="s">
        <v>695</v>
      </c>
      <c r="B8" s="375">
        <v>4</v>
      </c>
    </row>
    <row r="9" spans="1:2" ht="21.75" customHeight="1">
      <c r="A9" s="375" t="s">
        <v>698</v>
      </c>
      <c r="B9" s="375"/>
    </row>
    <row r="10" spans="1:2" ht="15.75" customHeight="1">
      <c r="A10" s="375" t="s">
        <v>699</v>
      </c>
      <c r="B10" s="375">
        <v>5</v>
      </c>
    </row>
    <row r="11" spans="1:2" s="375" customFormat="1" ht="20.25" customHeight="1">
      <c r="A11" s="375" t="s">
        <v>700</v>
      </c>
      <c r="B11" s="375">
        <v>6</v>
      </c>
    </row>
    <row r="12" s="375" customFormat="1" ht="18.75" customHeight="1">
      <c r="A12" s="375" t="s">
        <v>701</v>
      </c>
    </row>
    <row r="13" spans="1:2" s="375" customFormat="1" ht="14.25">
      <c r="A13" s="375" t="s">
        <v>702</v>
      </c>
      <c r="B13" s="375">
        <v>7</v>
      </c>
    </row>
    <row r="14" spans="1:2" s="375" customFormat="1" ht="19.5" customHeight="1">
      <c r="A14" s="375" t="s">
        <v>703</v>
      </c>
      <c r="B14" s="375">
        <v>9</v>
      </c>
    </row>
    <row r="15" spans="1:2" s="375" customFormat="1" ht="18.75" customHeight="1">
      <c r="A15" s="375" t="s">
        <v>704</v>
      </c>
      <c r="B15" s="375">
        <v>11</v>
      </c>
    </row>
    <row r="16" spans="1:2" s="375" customFormat="1" ht="18" customHeight="1">
      <c r="A16" s="375" t="s">
        <v>705</v>
      </c>
      <c r="B16" s="375">
        <v>13</v>
      </c>
    </row>
    <row r="17" s="375" customFormat="1" ht="21" customHeight="1">
      <c r="A17" s="375" t="s">
        <v>706</v>
      </c>
    </row>
    <row r="18" spans="1:2" s="375" customFormat="1" ht="14.25">
      <c r="A18" s="375" t="s">
        <v>707</v>
      </c>
      <c r="B18" s="375">
        <v>14</v>
      </c>
    </row>
    <row r="19" s="375" customFormat="1" ht="17.25" customHeight="1">
      <c r="A19" s="375" t="s">
        <v>708</v>
      </c>
    </row>
    <row r="20" spans="1:2" s="375" customFormat="1" ht="14.25">
      <c r="A20" s="375" t="s">
        <v>709</v>
      </c>
      <c r="B20" s="375">
        <v>17</v>
      </c>
    </row>
    <row r="21" spans="1:2" s="375" customFormat="1" ht="19.5" customHeight="1">
      <c r="A21" s="375" t="s">
        <v>710</v>
      </c>
      <c r="B21" s="375">
        <v>18</v>
      </c>
    </row>
    <row r="22" s="375" customFormat="1" ht="18" customHeight="1">
      <c r="A22" s="375" t="s">
        <v>711</v>
      </c>
    </row>
    <row r="23" spans="1:2" s="375" customFormat="1" ht="14.25">
      <c r="A23" s="375" t="s">
        <v>712</v>
      </c>
      <c r="B23" s="375">
        <v>19</v>
      </c>
    </row>
    <row r="24" spans="1:2" s="375" customFormat="1" ht="19.5" customHeight="1">
      <c r="A24" s="375" t="s">
        <v>713</v>
      </c>
      <c r="B24" s="375">
        <v>24</v>
      </c>
    </row>
    <row r="25" s="375" customFormat="1" ht="18" customHeight="1">
      <c r="A25" s="375" t="s">
        <v>714</v>
      </c>
    </row>
    <row r="26" spans="1:2" s="375" customFormat="1" ht="16.5" customHeight="1">
      <c r="A26" s="375" t="s">
        <v>728</v>
      </c>
      <c r="B26" s="375">
        <v>26</v>
      </c>
    </row>
    <row r="27" spans="1:2" s="375" customFormat="1" ht="20.25" customHeight="1">
      <c r="A27" s="375" t="s">
        <v>715</v>
      </c>
      <c r="B27" s="375">
        <v>30</v>
      </c>
    </row>
    <row r="28" spans="1:2" s="375" customFormat="1" ht="18.75" customHeight="1">
      <c r="A28" s="375" t="s">
        <v>716</v>
      </c>
      <c r="B28" s="375">
        <v>32</v>
      </c>
    </row>
    <row r="29" spans="1:2" s="375" customFormat="1" ht="18.75" customHeight="1">
      <c r="A29" s="375" t="s">
        <v>717</v>
      </c>
      <c r="B29" s="375">
        <v>38</v>
      </c>
    </row>
    <row r="30" s="375" customFormat="1" ht="19.5" customHeight="1">
      <c r="A30" s="375" t="s">
        <v>718</v>
      </c>
    </row>
    <row r="31" spans="1:2" s="375" customFormat="1" ht="14.25">
      <c r="A31" s="375" t="s">
        <v>719</v>
      </c>
      <c r="B31" s="375">
        <v>41</v>
      </c>
    </row>
    <row r="32" s="375" customFormat="1" ht="19.5" customHeight="1">
      <c r="A32" s="375" t="s">
        <v>720</v>
      </c>
    </row>
    <row r="33" spans="1:2" s="375" customFormat="1" ht="14.25">
      <c r="A33" s="375" t="s">
        <v>721</v>
      </c>
      <c r="B33" s="375">
        <v>42</v>
      </c>
    </row>
    <row r="34" s="375" customFormat="1" ht="18" customHeight="1">
      <c r="A34" s="375" t="s">
        <v>722</v>
      </c>
    </row>
    <row r="35" spans="1:2" s="375" customFormat="1" ht="14.25">
      <c r="A35" s="375" t="s">
        <v>723</v>
      </c>
      <c r="B35" s="375">
        <v>43</v>
      </c>
    </row>
    <row r="36" s="375" customFormat="1" ht="18.75" customHeight="1">
      <c r="A36" s="375" t="s">
        <v>724</v>
      </c>
    </row>
    <row r="37" spans="1:2" s="375" customFormat="1" ht="15.75" customHeight="1">
      <c r="A37" s="375" t="s">
        <v>725</v>
      </c>
      <c r="B37" s="375">
        <v>45</v>
      </c>
    </row>
    <row r="38" s="375" customFormat="1" ht="20.25" customHeight="1">
      <c r="A38" s="375" t="s">
        <v>726</v>
      </c>
    </row>
    <row r="39" spans="1:2" s="375" customFormat="1" ht="14.25">
      <c r="A39" s="375" t="s">
        <v>727</v>
      </c>
      <c r="B39" s="375">
        <v>46</v>
      </c>
    </row>
    <row r="40" s="375" customFormat="1" ht="14.25"/>
    <row r="41" s="375" customFormat="1" ht="14.25"/>
    <row r="42" s="375" customFormat="1" ht="14.25"/>
    <row r="43" s="375" customFormat="1" ht="14.25"/>
    <row r="44" s="375" customFormat="1" ht="14.25"/>
    <row r="45" s="375" customFormat="1" ht="14.25"/>
    <row r="46" s="375" customFormat="1" ht="14.25"/>
  </sheetData>
  <mergeCells count="2">
    <mergeCell ref="A1:B1"/>
    <mergeCell ref="A3:B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13">
      <selection activeCell="A129" sqref="A129"/>
    </sheetView>
  </sheetViews>
  <sheetFormatPr defaultColWidth="9.140625" defaultRowHeight="15.75" customHeight="1"/>
  <cols>
    <col min="1" max="1" width="37.421875" style="84" customWidth="1"/>
    <col min="2" max="2" width="10.28125" style="84" customWidth="1"/>
    <col min="3" max="3" width="10.140625" style="84" bestFit="1" customWidth="1"/>
    <col min="4" max="4" width="9.7109375" style="84" bestFit="1" customWidth="1"/>
    <col min="5" max="6" width="10.140625" style="84" bestFit="1" customWidth="1"/>
    <col min="7" max="7" width="10.140625" style="84" customWidth="1"/>
    <col min="8" max="16384" width="9.140625" style="84" customWidth="1"/>
  </cols>
  <sheetData>
    <row r="1" ht="15.75" customHeight="1">
      <c r="A1" s="107"/>
    </row>
    <row r="2" spans="1:7" ht="15.75" customHeight="1">
      <c r="A2" s="360" t="s">
        <v>1658</v>
      </c>
      <c r="B2" s="108"/>
      <c r="C2" s="108"/>
      <c r="D2" s="108"/>
      <c r="E2" s="108"/>
      <c r="F2" s="108"/>
      <c r="G2" s="108"/>
    </row>
    <row r="3" spans="1:7" ht="15.75" customHeight="1">
      <c r="A3" s="108"/>
      <c r="F3" s="107"/>
      <c r="G3" s="109" t="s">
        <v>1659</v>
      </c>
    </row>
    <row r="4" spans="1:7" ht="15.75" customHeight="1">
      <c r="A4" s="110"/>
      <c r="B4" s="111" t="s">
        <v>1660</v>
      </c>
      <c r="C4" s="112"/>
      <c r="D4" s="113"/>
      <c r="E4" s="111" t="s">
        <v>1661</v>
      </c>
      <c r="F4" s="112"/>
      <c r="G4" s="112"/>
    </row>
    <row r="5" spans="1:7" ht="42" customHeight="1">
      <c r="A5" s="114" t="s">
        <v>1662</v>
      </c>
      <c r="B5" s="115" t="s">
        <v>1843</v>
      </c>
      <c r="C5" s="115" t="s">
        <v>1663</v>
      </c>
      <c r="D5" s="115" t="s">
        <v>1664</v>
      </c>
      <c r="E5" s="115" t="s">
        <v>1843</v>
      </c>
      <c r="F5" s="115" t="s">
        <v>1663</v>
      </c>
      <c r="G5" s="115" t="s">
        <v>1665</v>
      </c>
    </row>
    <row r="6" spans="1:7" s="52" customFormat="1" ht="15.75" customHeight="1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</row>
    <row r="7" ht="15.75" customHeight="1">
      <c r="A7" s="37"/>
    </row>
    <row r="8" spans="1:7" ht="15.75" customHeight="1">
      <c r="A8" s="84" t="s">
        <v>1666</v>
      </c>
      <c r="B8" s="117">
        <v>27131</v>
      </c>
      <c r="C8" s="117">
        <v>6306</v>
      </c>
      <c r="D8" s="117">
        <f>C8-B8</f>
        <v>-20825</v>
      </c>
      <c r="E8" s="117">
        <v>40323</v>
      </c>
      <c r="F8" s="117">
        <v>32161</v>
      </c>
      <c r="G8" s="117">
        <f>F8-E8</f>
        <v>-8162</v>
      </c>
    </row>
    <row r="9" spans="1:7" s="118" customFormat="1" ht="15.75" customHeight="1">
      <c r="A9" s="118" t="s">
        <v>1667</v>
      </c>
      <c r="B9" s="119"/>
      <c r="C9" s="119"/>
      <c r="D9" s="117">
        <f aca="true" t="shared" si="0" ref="D9:D72">C9-B9</f>
        <v>0</v>
      </c>
      <c r="E9" s="119"/>
      <c r="F9" s="119"/>
      <c r="G9" s="117">
        <f aca="true" t="shared" si="1" ref="G9:G72">F9-E9</f>
        <v>0</v>
      </c>
    </row>
    <row r="10" spans="1:7" s="120" customFormat="1" ht="15.75" customHeight="1">
      <c r="A10" s="120" t="s">
        <v>1668</v>
      </c>
      <c r="B10" s="121"/>
      <c r="C10" s="121"/>
      <c r="D10" s="117">
        <f t="shared" si="0"/>
        <v>0</v>
      </c>
      <c r="E10" s="121">
        <v>285</v>
      </c>
      <c r="F10" s="121"/>
      <c r="G10" s="117">
        <f t="shared" si="1"/>
        <v>-285</v>
      </c>
    </row>
    <row r="11" spans="1:7" s="120" customFormat="1" ht="15.75" customHeight="1">
      <c r="A11" s="118" t="s">
        <v>1669</v>
      </c>
      <c r="B11" s="121"/>
      <c r="C11" s="121">
        <v>54</v>
      </c>
      <c r="D11" s="117">
        <f t="shared" si="0"/>
        <v>54</v>
      </c>
      <c r="E11" s="121"/>
      <c r="F11" s="121"/>
      <c r="G11" s="117"/>
    </row>
    <row r="12" spans="2:7" ht="15.75" customHeight="1">
      <c r="B12" s="117"/>
      <c r="C12" s="117"/>
      <c r="D12" s="117">
        <f t="shared" si="0"/>
        <v>0</v>
      </c>
      <c r="E12" s="117"/>
      <c r="F12" s="117"/>
      <c r="G12" s="117">
        <f t="shared" si="1"/>
        <v>0</v>
      </c>
    </row>
    <row r="13" spans="1:7" ht="15.75" customHeight="1">
      <c r="A13" s="84" t="s">
        <v>1670</v>
      </c>
      <c r="B13" s="117">
        <v>51708</v>
      </c>
      <c r="C13" s="117">
        <v>99710</v>
      </c>
      <c r="D13" s="117">
        <f t="shared" si="0"/>
        <v>48002</v>
      </c>
      <c r="E13" s="117">
        <v>70625</v>
      </c>
      <c r="F13" s="117">
        <v>50236</v>
      </c>
      <c r="G13" s="117">
        <f t="shared" si="1"/>
        <v>-20389</v>
      </c>
    </row>
    <row r="14" spans="1:7" ht="15.75" customHeight="1">
      <c r="A14" s="118" t="s">
        <v>1667</v>
      </c>
      <c r="B14" s="117"/>
      <c r="C14" s="117"/>
      <c r="D14" s="117"/>
      <c r="E14" s="117"/>
      <c r="F14" s="117"/>
      <c r="G14" s="117"/>
    </row>
    <row r="15" spans="1:7" ht="15.75" customHeight="1">
      <c r="A15" s="120" t="s">
        <v>1668</v>
      </c>
      <c r="B15" s="117"/>
      <c r="C15" s="117"/>
      <c r="D15" s="117"/>
      <c r="E15" s="117">
        <v>2554</v>
      </c>
      <c r="F15" s="117"/>
      <c r="G15" s="117">
        <f t="shared" si="1"/>
        <v>-2554</v>
      </c>
    </row>
    <row r="16" spans="1:7" ht="15.75" customHeight="1">
      <c r="A16" s="120" t="s">
        <v>1671</v>
      </c>
      <c r="B16" s="117"/>
      <c r="C16" s="117"/>
      <c r="D16" s="117"/>
      <c r="E16" s="117">
        <v>729</v>
      </c>
      <c r="F16" s="117"/>
      <c r="G16" s="117">
        <f t="shared" si="1"/>
        <v>-729</v>
      </c>
    </row>
    <row r="17" spans="1:7" ht="15.75" customHeight="1">
      <c r="A17" s="118" t="s">
        <v>1669</v>
      </c>
      <c r="B17" s="117">
        <v>292</v>
      </c>
      <c r="C17" s="117"/>
      <c r="D17" s="117">
        <f t="shared" si="0"/>
        <v>-292</v>
      </c>
      <c r="E17" s="117">
        <f>621+469</f>
        <v>1090</v>
      </c>
      <c r="F17" s="117"/>
      <c r="G17" s="117">
        <f t="shared" si="1"/>
        <v>-1090</v>
      </c>
    </row>
    <row r="18" spans="2:7" ht="15.75" customHeight="1">
      <c r="B18" s="117"/>
      <c r="C18" s="117"/>
      <c r="D18" s="117">
        <f t="shared" si="0"/>
        <v>0</v>
      </c>
      <c r="E18" s="117"/>
      <c r="F18" s="117"/>
      <c r="G18" s="117">
        <f t="shared" si="1"/>
        <v>0</v>
      </c>
    </row>
    <row r="19" spans="1:7" ht="15.75" customHeight="1">
      <c r="A19" s="84" t="s">
        <v>1672</v>
      </c>
      <c r="B19" s="117">
        <v>119058</v>
      </c>
      <c r="C19" s="117">
        <v>81643</v>
      </c>
      <c r="D19" s="117">
        <f t="shared" si="0"/>
        <v>-37415</v>
      </c>
      <c r="E19" s="117">
        <v>56843</v>
      </c>
      <c r="F19" s="117">
        <v>26086</v>
      </c>
      <c r="G19" s="117">
        <f t="shared" si="1"/>
        <v>-30757</v>
      </c>
    </row>
    <row r="20" spans="2:7" ht="15.75" customHeight="1">
      <c r="B20" s="117"/>
      <c r="C20" s="117"/>
      <c r="D20" s="117">
        <f t="shared" si="0"/>
        <v>0</v>
      </c>
      <c r="E20" s="117"/>
      <c r="F20" s="117"/>
      <c r="G20" s="117">
        <f t="shared" si="1"/>
        <v>0</v>
      </c>
    </row>
    <row r="21" spans="1:7" ht="15.75" customHeight="1">
      <c r="A21" s="84" t="s">
        <v>1673</v>
      </c>
      <c r="B21" s="117">
        <v>662433</v>
      </c>
      <c r="C21" s="117">
        <v>1083582</v>
      </c>
      <c r="D21" s="117">
        <f t="shared" si="0"/>
        <v>421149</v>
      </c>
      <c r="E21" s="117">
        <v>2589708</v>
      </c>
      <c r="F21" s="117">
        <v>1584226</v>
      </c>
      <c r="G21" s="117">
        <f t="shared" si="1"/>
        <v>-1005482</v>
      </c>
    </row>
    <row r="22" spans="1:7" s="118" customFormat="1" ht="15.75" customHeight="1">
      <c r="A22" s="118" t="s">
        <v>1667</v>
      </c>
      <c r="B22" s="119"/>
      <c r="C22" s="119"/>
      <c r="D22" s="117">
        <f t="shared" si="0"/>
        <v>0</v>
      </c>
      <c r="E22" s="119"/>
      <c r="F22" s="119"/>
      <c r="G22" s="117">
        <f t="shared" si="1"/>
        <v>0</v>
      </c>
    </row>
    <row r="23" spans="1:7" s="120" customFormat="1" ht="15.75" customHeight="1">
      <c r="A23" s="120" t="s">
        <v>1668</v>
      </c>
      <c r="B23" s="121"/>
      <c r="C23" s="121">
        <v>4863</v>
      </c>
      <c r="D23" s="117">
        <f t="shared" si="0"/>
        <v>4863</v>
      </c>
      <c r="E23" s="121">
        <v>13682</v>
      </c>
      <c r="F23" s="121">
        <v>15842</v>
      </c>
      <c r="G23" s="117">
        <f t="shared" si="1"/>
        <v>2160</v>
      </c>
    </row>
    <row r="24" spans="1:7" s="120" customFormat="1" ht="15.75" customHeight="1">
      <c r="A24" s="120" t="s">
        <v>1671</v>
      </c>
      <c r="B24" s="121"/>
      <c r="C24" s="121">
        <v>58</v>
      </c>
      <c r="D24" s="117">
        <f t="shared" si="0"/>
        <v>58</v>
      </c>
      <c r="E24" s="121">
        <v>12483</v>
      </c>
      <c r="F24" s="121">
        <v>11957</v>
      </c>
      <c r="G24" s="117">
        <f t="shared" si="1"/>
        <v>-526</v>
      </c>
    </row>
    <row r="25" spans="1:7" s="118" customFormat="1" ht="15.75" customHeight="1">
      <c r="A25" s="118" t="s">
        <v>1669</v>
      </c>
      <c r="B25" s="119">
        <f>7373+1211</f>
        <v>8584</v>
      </c>
      <c r="C25" s="119">
        <f>14732+1838</f>
        <v>16570</v>
      </c>
      <c r="D25" s="117">
        <f t="shared" si="0"/>
        <v>7986</v>
      </c>
      <c r="E25" s="119">
        <f>3975+1038</f>
        <v>5013</v>
      </c>
      <c r="F25" s="119">
        <f>4696+1856</f>
        <v>6552</v>
      </c>
      <c r="G25" s="117">
        <f t="shared" si="1"/>
        <v>1539</v>
      </c>
    </row>
    <row r="26" spans="2:7" s="118" customFormat="1" ht="15.75" customHeight="1">
      <c r="B26" s="119"/>
      <c r="C26" s="119"/>
      <c r="D26" s="117">
        <f t="shared" si="0"/>
        <v>0</v>
      </c>
      <c r="E26" s="119"/>
      <c r="F26" s="119"/>
      <c r="G26" s="117">
        <f t="shared" si="1"/>
        <v>0</v>
      </c>
    </row>
    <row r="27" spans="1:7" ht="15.75" customHeight="1">
      <c r="A27" s="84" t="s">
        <v>1674</v>
      </c>
      <c r="B27" s="117">
        <v>32822</v>
      </c>
      <c r="C27" s="117">
        <v>43354</v>
      </c>
      <c r="D27" s="117">
        <f t="shared" si="0"/>
        <v>10532</v>
      </c>
      <c r="E27" s="117">
        <v>262307</v>
      </c>
      <c r="F27" s="117">
        <v>259575</v>
      </c>
      <c r="G27" s="117">
        <f t="shared" si="1"/>
        <v>-2732</v>
      </c>
    </row>
    <row r="28" spans="2:7" ht="15.75" customHeight="1">
      <c r="B28" s="117"/>
      <c r="C28" s="117"/>
      <c r="D28" s="117">
        <f t="shared" si="0"/>
        <v>0</v>
      </c>
      <c r="E28" s="117"/>
      <c r="F28" s="117"/>
      <c r="G28" s="117">
        <f t="shared" si="1"/>
        <v>0</v>
      </c>
    </row>
    <row r="29" spans="1:7" ht="15.75" customHeight="1">
      <c r="A29" s="84" t="s">
        <v>1675</v>
      </c>
      <c r="B29" s="117">
        <v>70902</v>
      </c>
      <c r="C29" s="117">
        <v>33851</v>
      </c>
      <c r="D29" s="117">
        <f t="shared" si="0"/>
        <v>-37051</v>
      </c>
      <c r="E29" s="117">
        <v>406861</v>
      </c>
      <c r="F29" s="117">
        <v>1071505</v>
      </c>
      <c r="G29" s="117">
        <f t="shared" si="1"/>
        <v>664644</v>
      </c>
    </row>
    <row r="30" spans="1:7" ht="15.75" customHeight="1">
      <c r="A30" s="118" t="s">
        <v>1667</v>
      </c>
      <c r="B30" s="117"/>
      <c r="C30" s="117"/>
      <c r="D30" s="117"/>
      <c r="E30" s="117"/>
      <c r="F30" s="117"/>
      <c r="G30" s="117"/>
    </row>
    <row r="31" spans="1:7" ht="15.75" customHeight="1">
      <c r="A31" s="118" t="s">
        <v>1669</v>
      </c>
      <c r="B31" s="117">
        <v>31281</v>
      </c>
      <c r="C31" s="117">
        <v>4604</v>
      </c>
      <c r="D31" s="117">
        <f t="shared" si="0"/>
        <v>-26677</v>
      </c>
      <c r="E31" s="117">
        <v>237829</v>
      </c>
      <c r="F31" s="117">
        <v>122445</v>
      </c>
      <c r="G31" s="117">
        <f t="shared" si="1"/>
        <v>-115384</v>
      </c>
    </row>
    <row r="32" spans="2:7" ht="15.75" customHeight="1">
      <c r="B32" s="117"/>
      <c r="C32" s="117"/>
      <c r="D32" s="117">
        <f t="shared" si="0"/>
        <v>0</v>
      </c>
      <c r="E32" s="117"/>
      <c r="F32" s="117"/>
      <c r="G32" s="117">
        <f t="shared" si="1"/>
        <v>0</v>
      </c>
    </row>
    <row r="33" spans="1:7" ht="15.75" customHeight="1">
      <c r="A33" s="84" t="s">
        <v>1676</v>
      </c>
      <c r="B33" s="117">
        <v>221017</v>
      </c>
      <c r="C33" s="117">
        <v>164064</v>
      </c>
      <c r="D33" s="117">
        <f t="shared" si="0"/>
        <v>-56953</v>
      </c>
      <c r="E33" s="117">
        <v>128106</v>
      </c>
      <c r="F33" s="117">
        <v>141829</v>
      </c>
      <c r="G33" s="117">
        <f t="shared" si="1"/>
        <v>13723</v>
      </c>
    </row>
    <row r="34" spans="1:7" ht="15.75" customHeight="1">
      <c r="A34" s="118" t="s">
        <v>1667</v>
      </c>
      <c r="B34" s="117"/>
      <c r="C34" s="117"/>
      <c r="D34" s="117">
        <f t="shared" si="0"/>
        <v>0</v>
      </c>
      <c r="E34" s="117"/>
      <c r="F34" s="117"/>
      <c r="G34" s="117">
        <f t="shared" si="1"/>
        <v>0</v>
      </c>
    </row>
    <row r="35" spans="1:7" ht="15.75" customHeight="1">
      <c r="A35" s="120" t="s">
        <v>1668</v>
      </c>
      <c r="B35" s="120"/>
      <c r="C35" s="120"/>
      <c r="D35" s="117">
        <f t="shared" si="0"/>
        <v>0</v>
      </c>
      <c r="E35" s="120">
        <v>53</v>
      </c>
      <c r="F35" s="120">
        <v>30</v>
      </c>
      <c r="G35" s="117">
        <f t="shared" si="1"/>
        <v>-23</v>
      </c>
    </row>
    <row r="36" spans="1:7" ht="15.75" customHeight="1">
      <c r="A36" s="118" t="s">
        <v>1669</v>
      </c>
      <c r="B36" s="120">
        <v>369</v>
      </c>
      <c r="C36" s="120"/>
      <c r="D36" s="117">
        <f t="shared" si="0"/>
        <v>-369</v>
      </c>
      <c r="E36" s="120">
        <v>142</v>
      </c>
      <c r="F36" s="120">
        <f>1087+91</f>
        <v>1178</v>
      </c>
      <c r="G36" s="117">
        <f t="shared" si="1"/>
        <v>1036</v>
      </c>
    </row>
    <row r="37" spans="1:7" ht="15.75" customHeight="1">
      <c r="A37" s="118"/>
      <c r="B37" s="117"/>
      <c r="C37" s="117"/>
      <c r="D37" s="117">
        <f t="shared" si="0"/>
        <v>0</v>
      </c>
      <c r="E37" s="117"/>
      <c r="F37" s="117"/>
      <c r="G37" s="117">
        <f t="shared" si="1"/>
        <v>0</v>
      </c>
    </row>
    <row r="38" spans="1:7" ht="15.75" customHeight="1">
      <c r="A38" s="84" t="s">
        <v>1677</v>
      </c>
      <c r="B38" s="117">
        <v>2281294</v>
      </c>
      <c r="C38" s="117">
        <v>3183854</v>
      </c>
      <c r="D38" s="117">
        <f t="shared" si="0"/>
        <v>902560</v>
      </c>
      <c r="E38" s="117">
        <v>6220830</v>
      </c>
      <c r="F38" s="117">
        <v>8272897</v>
      </c>
      <c r="G38" s="117">
        <f t="shared" si="1"/>
        <v>2052067</v>
      </c>
    </row>
    <row r="39" spans="1:7" ht="15.75" customHeight="1">
      <c r="A39" s="118" t="s">
        <v>1667</v>
      </c>
      <c r="B39" s="117"/>
      <c r="C39" s="117"/>
      <c r="D39" s="117">
        <f t="shared" si="0"/>
        <v>0</v>
      </c>
      <c r="E39" s="117"/>
      <c r="F39" s="117"/>
      <c r="G39" s="117">
        <f t="shared" si="1"/>
        <v>0</v>
      </c>
    </row>
    <row r="40" spans="1:7" ht="15.75" customHeight="1">
      <c r="A40" s="120" t="s">
        <v>1668</v>
      </c>
      <c r="B40" s="121">
        <v>16933</v>
      </c>
      <c r="C40" s="121">
        <v>9680</v>
      </c>
      <c r="D40" s="117">
        <f t="shared" si="0"/>
        <v>-7253</v>
      </c>
      <c r="E40" s="121">
        <v>219385</v>
      </c>
      <c r="F40" s="121">
        <v>168471</v>
      </c>
      <c r="G40" s="117">
        <f t="shared" si="1"/>
        <v>-50914</v>
      </c>
    </row>
    <row r="41" spans="1:7" ht="15.75" customHeight="1">
      <c r="A41" s="120" t="s">
        <v>1671</v>
      </c>
      <c r="B41" s="121">
        <v>11585</v>
      </c>
      <c r="C41" s="121"/>
      <c r="D41" s="117">
        <f t="shared" si="0"/>
        <v>-11585</v>
      </c>
      <c r="E41" s="121">
        <v>33086</v>
      </c>
      <c r="F41" s="121">
        <v>28664</v>
      </c>
      <c r="G41" s="117">
        <f t="shared" si="1"/>
        <v>-4422</v>
      </c>
    </row>
    <row r="42" spans="1:7" ht="15.75" customHeight="1">
      <c r="A42" s="118" t="s">
        <v>1669</v>
      </c>
      <c r="B42" s="121">
        <f>11647+146</f>
        <v>11793</v>
      </c>
      <c r="C42" s="121">
        <f>284570+27396</f>
        <v>311966</v>
      </c>
      <c r="D42" s="117">
        <f t="shared" si="0"/>
        <v>300173</v>
      </c>
      <c r="E42" s="121">
        <f>72637+3271</f>
        <v>75908</v>
      </c>
      <c r="F42" s="121">
        <f>175477+102849</f>
        <v>278326</v>
      </c>
      <c r="G42" s="117">
        <f t="shared" si="1"/>
        <v>202418</v>
      </c>
    </row>
    <row r="43" spans="1:7" ht="15.75" customHeight="1">
      <c r="A43" s="118"/>
      <c r="B43" s="121"/>
      <c r="C43" s="121"/>
      <c r="D43" s="117">
        <f t="shared" si="0"/>
        <v>0</v>
      </c>
      <c r="E43" s="121"/>
      <c r="F43" s="121"/>
      <c r="G43" s="117">
        <f t="shared" si="1"/>
        <v>0</v>
      </c>
    </row>
    <row r="44" spans="1:7" s="35" customFormat="1" ht="15.75" customHeight="1">
      <c r="A44" s="84" t="s">
        <v>1678</v>
      </c>
      <c r="B44" s="117">
        <v>1027573</v>
      </c>
      <c r="C44" s="117">
        <v>1547731</v>
      </c>
      <c r="D44" s="117">
        <f t="shared" si="0"/>
        <v>520158</v>
      </c>
      <c r="E44" s="117">
        <v>3232950</v>
      </c>
      <c r="F44" s="117">
        <v>4101849</v>
      </c>
      <c r="G44" s="117">
        <f t="shared" si="1"/>
        <v>868899</v>
      </c>
    </row>
    <row r="45" spans="1:7" s="35" customFormat="1" ht="15.75" customHeight="1">
      <c r="A45" s="118" t="s">
        <v>1667</v>
      </c>
      <c r="B45" s="117"/>
      <c r="C45" s="117"/>
      <c r="D45" s="117">
        <f t="shared" si="0"/>
        <v>0</v>
      </c>
      <c r="E45" s="117"/>
      <c r="F45" s="117"/>
      <c r="G45" s="117">
        <f t="shared" si="1"/>
        <v>0</v>
      </c>
    </row>
    <row r="46" spans="1:7" s="35" customFormat="1" ht="15.75" customHeight="1">
      <c r="A46" s="120" t="s">
        <v>1668</v>
      </c>
      <c r="B46" s="121"/>
      <c r="C46" s="121">
        <v>9043</v>
      </c>
      <c r="D46" s="117">
        <f t="shared" si="0"/>
        <v>9043</v>
      </c>
      <c r="E46" s="121">
        <v>470760</v>
      </c>
      <c r="F46" s="121">
        <v>465539</v>
      </c>
      <c r="G46" s="117">
        <f t="shared" si="1"/>
        <v>-5221</v>
      </c>
    </row>
    <row r="47" spans="1:7" s="35" customFormat="1" ht="15.75" customHeight="1">
      <c r="A47" s="120" t="s">
        <v>1671</v>
      </c>
      <c r="B47" s="121">
        <v>77</v>
      </c>
      <c r="C47" s="121">
        <v>267</v>
      </c>
      <c r="D47" s="117">
        <f t="shared" si="0"/>
        <v>190</v>
      </c>
      <c r="E47" s="121">
        <v>125122</v>
      </c>
      <c r="F47" s="121">
        <v>119534</v>
      </c>
      <c r="G47" s="117">
        <f t="shared" si="1"/>
        <v>-5588</v>
      </c>
    </row>
    <row r="48" spans="1:7" s="35" customFormat="1" ht="15.75" customHeight="1">
      <c r="A48" s="118" t="s">
        <v>1669</v>
      </c>
      <c r="B48" s="121">
        <f>1203+27450</f>
        <v>28653</v>
      </c>
      <c r="C48" s="121">
        <f>27556+25645</f>
        <v>53201</v>
      </c>
      <c r="D48" s="117">
        <f t="shared" si="0"/>
        <v>24548</v>
      </c>
      <c r="E48" s="121">
        <f>13096+20976</f>
        <v>34072</v>
      </c>
      <c r="F48" s="121">
        <f>16182+58785</f>
        <v>74967</v>
      </c>
      <c r="G48" s="117">
        <f t="shared" si="1"/>
        <v>40895</v>
      </c>
    </row>
    <row r="49" spans="1:7" s="35" customFormat="1" ht="15.75" customHeight="1">
      <c r="A49" s="118"/>
      <c r="B49" s="121"/>
      <c r="C49" s="121"/>
      <c r="D49" s="117">
        <f t="shared" si="0"/>
        <v>0</v>
      </c>
      <c r="E49" s="121"/>
      <c r="F49" s="121"/>
      <c r="G49" s="117">
        <f t="shared" si="1"/>
        <v>0</v>
      </c>
    </row>
    <row r="50" spans="1:7" ht="15.75" customHeight="1">
      <c r="A50" s="84" t="s">
        <v>1679</v>
      </c>
      <c r="B50" s="117">
        <v>1209076</v>
      </c>
      <c r="C50" s="117">
        <v>1703079</v>
      </c>
      <c r="D50" s="117">
        <f t="shared" si="0"/>
        <v>494003</v>
      </c>
      <c r="E50" s="117">
        <v>4661805</v>
      </c>
      <c r="F50" s="117">
        <v>5545734</v>
      </c>
      <c r="G50" s="117">
        <f t="shared" si="1"/>
        <v>883929</v>
      </c>
    </row>
    <row r="51" spans="1:7" ht="15.75" customHeight="1">
      <c r="A51" s="118" t="s">
        <v>1667</v>
      </c>
      <c r="B51" s="117"/>
      <c r="C51" s="117"/>
      <c r="D51" s="117">
        <f t="shared" si="0"/>
        <v>0</v>
      </c>
      <c r="E51" s="117"/>
      <c r="F51" s="117"/>
      <c r="G51" s="117">
        <f t="shared" si="1"/>
        <v>0</v>
      </c>
    </row>
    <row r="52" spans="1:7" ht="15.75" customHeight="1">
      <c r="A52" s="120" t="s">
        <v>1668</v>
      </c>
      <c r="B52" s="121">
        <v>1176</v>
      </c>
      <c r="C52" s="121">
        <v>687</v>
      </c>
      <c r="D52" s="117">
        <f t="shared" si="0"/>
        <v>-489</v>
      </c>
      <c r="E52" s="121">
        <v>57496</v>
      </c>
      <c r="F52" s="121">
        <v>80408</v>
      </c>
      <c r="G52" s="117">
        <f t="shared" si="1"/>
        <v>22912</v>
      </c>
    </row>
    <row r="53" spans="1:7" ht="15.75" customHeight="1">
      <c r="A53" s="120" t="s">
        <v>1671</v>
      </c>
      <c r="B53" s="121">
        <v>3261</v>
      </c>
      <c r="C53" s="121">
        <v>163</v>
      </c>
      <c r="D53" s="117">
        <f t="shared" si="0"/>
        <v>-3098</v>
      </c>
      <c r="E53" s="121">
        <v>19883</v>
      </c>
      <c r="F53" s="121">
        <v>27094</v>
      </c>
      <c r="G53" s="117">
        <f t="shared" si="1"/>
        <v>7211</v>
      </c>
    </row>
    <row r="54" spans="1:7" ht="15.75" customHeight="1">
      <c r="A54" s="118" t="s">
        <v>1669</v>
      </c>
      <c r="B54" s="121">
        <f>3259+176</f>
        <v>3435</v>
      </c>
      <c r="C54" s="121">
        <f>4159+6854</f>
        <v>11013</v>
      </c>
      <c r="D54" s="117">
        <f t="shared" si="0"/>
        <v>7578</v>
      </c>
      <c r="E54" s="121">
        <f>39065+108897</f>
        <v>147962</v>
      </c>
      <c r="F54" s="121">
        <f>34341+104662</f>
        <v>139003</v>
      </c>
      <c r="G54" s="117">
        <f t="shared" si="1"/>
        <v>-8959</v>
      </c>
    </row>
    <row r="55" spans="1:7" ht="15.75" customHeight="1">
      <c r="A55" s="118"/>
      <c r="B55" s="121"/>
      <c r="C55" s="121"/>
      <c r="D55" s="117">
        <f t="shared" si="0"/>
        <v>0</v>
      </c>
      <c r="E55" s="121"/>
      <c r="F55" s="121"/>
      <c r="G55" s="117">
        <f t="shared" si="1"/>
        <v>0</v>
      </c>
    </row>
    <row r="56" spans="1:7" ht="15.75" customHeight="1">
      <c r="A56" s="84" t="s">
        <v>1680</v>
      </c>
      <c r="B56" s="117">
        <v>1732549</v>
      </c>
      <c r="C56" s="117">
        <v>1412303</v>
      </c>
      <c r="D56" s="117">
        <f t="shared" si="0"/>
        <v>-320246</v>
      </c>
      <c r="E56" s="117">
        <v>15372727</v>
      </c>
      <c r="F56" s="117">
        <v>23863544</v>
      </c>
      <c r="G56" s="117">
        <f t="shared" si="1"/>
        <v>8490817</v>
      </c>
    </row>
    <row r="57" spans="2:7" ht="15.75" customHeight="1">
      <c r="B57" s="117"/>
      <c r="C57" s="117"/>
      <c r="D57" s="117">
        <f t="shared" si="0"/>
        <v>0</v>
      </c>
      <c r="E57" s="117"/>
      <c r="F57" s="117"/>
      <c r="G57" s="117">
        <f t="shared" si="1"/>
        <v>0</v>
      </c>
    </row>
    <row r="58" spans="1:7" ht="15.75" customHeight="1">
      <c r="A58" s="84" t="s">
        <v>1681</v>
      </c>
      <c r="B58" s="117">
        <v>13718022</v>
      </c>
      <c r="C58" s="117">
        <v>9197069</v>
      </c>
      <c r="D58" s="117">
        <f t="shared" si="0"/>
        <v>-4520953</v>
      </c>
      <c r="E58" s="117">
        <v>4166761</v>
      </c>
      <c r="F58" s="117">
        <v>8336867</v>
      </c>
      <c r="G58" s="117">
        <f t="shared" si="1"/>
        <v>4170106</v>
      </c>
    </row>
    <row r="59" spans="1:7" ht="15.75" customHeight="1">
      <c r="A59" s="118" t="s">
        <v>1667</v>
      </c>
      <c r="B59" s="117"/>
      <c r="C59" s="117"/>
      <c r="D59" s="117">
        <f t="shared" si="0"/>
        <v>0</v>
      </c>
      <c r="E59" s="117"/>
      <c r="F59" s="117"/>
      <c r="G59" s="117">
        <f t="shared" si="1"/>
        <v>0</v>
      </c>
    </row>
    <row r="60" spans="1:7" ht="15.75" customHeight="1">
      <c r="A60" s="120" t="s">
        <v>1668</v>
      </c>
      <c r="B60" s="121">
        <v>1666</v>
      </c>
      <c r="C60" s="121">
        <v>1822</v>
      </c>
      <c r="D60" s="117">
        <f t="shared" si="0"/>
        <v>156</v>
      </c>
      <c r="E60" s="121">
        <v>5954</v>
      </c>
      <c r="F60" s="121">
        <v>12057</v>
      </c>
      <c r="G60" s="117">
        <f t="shared" si="1"/>
        <v>6103</v>
      </c>
    </row>
    <row r="61" spans="1:7" ht="15.75" customHeight="1">
      <c r="A61" s="120" t="s">
        <v>1671</v>
      </c>
      <c r="B61" s="121">
        <v>183</v>
      </c>
      <c r="C61" s="121">
        <v>5722</v>
      </c>
      <c r="D61" s="117">
        <f t="shared" si="0"/>
        <v>5539</v>
      </c>
      <c r="E61" s="121">
        <v>3607</v>
      </c>
      <c r="F61" s="121">
        <v>5928</v>
      </c>
      <c r="G61" s="117">
        <f t="shared" si="1"/>
        <v>2321</v>
      </c>
    </row>
    <row r="62" spans="1:7" ht="15.75" customHeight="1">
      <c r="A62" s="118" t="s">
        <v>1669</v>
      </c>
      <c r="B62" s="121">
        <f>29275+14914</f>
        <v>44189</v>
      </c>
      <c r="C62" s="121">
        <f>74218+223089</f>
        <v>297307</v>
      </c>
      <c r="D62" s="117">
        <f t="shared" si="0"/>
        <v>253118</v>
      </c>
      <c r="E62" s="121">
        <f>5058+62363</f>
        <v>67421</v>
      </c>
      <c r="F62" s="121">
        <f>18686+32212</f>
        <v>50898</v>
      </c>
      <c r="G62" s="117">
        <f t="shared" si="1"/>
        <v>-16523</v>
      </c>
    </row>
    <row r="63" spans="1:7" ht="15.75" customHeight="1">
      <c r="A63" s="118"/>
      <c r="B63" s="117"/>
      <c r="C63" s="117"/>
      <c r="D63" s="117">
        <f t="shared" si="0"/>
        <v>0</v>
      </c>
      <c r="E63" s="117"/>
      <c r="F63" s="117"/>
      <c r="G63" s="117">
        <f t="shared" si="1"/>
        <v>0</v>
      </c>
    </row>
    <row r="64" spans="1:7" ht="15.75" customHeight="1">
      <c r="A64" s="84" t="s">
        <v>1712</v>
      </c>
      <c r="B64" s="117">
        <v>114146</v>
      </c>
      <c r="C64" s="117">
        <v>245926</v>
      </c>
      <c r="D64" s="117">
        <f t="shared" si="0"/>
        <v>131780</v>
      </c>
      <c r="E64" s="117">
        <v>221880</v>
      </c>
      <c r="F64" s="117">
        <v>232066</v>
      </c>
      <c r="G64" s="117">
        <f t="shared" si="1"/>
        <v>10186</v>
      </c>
    </row>
    <row r="65" spans="1:7" ht="15.75" customHeight="1">
      <c r="A65" s="118"/>
      <c r="B65" s="117"/>
      <c r="C65" s="117"/>
      <c r="D65" s="117">
        <f t="shared" si="0"/>
        <v>0</v>
      </c>
      <c r="E65" s="117"/>
      <c r="F65" s="117"/>
      <c r="G65" s="117">
        <f t="shared" si="1"/>
        <v>0</v>
      </c>
    </row>
    <row r="66" spans="1:7" ht="15.75" customHeight="1">
      <c r="A66" s="84" t="s">
        <v>1682</v>
      </c>
      <c r="B66" s="117">
        <v>1382277</v>
      </c>
      <c r="C66" s="117">
        <v>811287</v>
      </c>
      <c r="D66" s="117">
        <f t="shared" si="0"/>
        <v>-570990</v>
      </c>
      <c r="E66" s="117">
        <v>209463</v>
      </c>
      <c r="F66" s="117">
        <v>204175</v>
      </c>
      <c r="G66" s="117">
        <f t="shared" si="1"/>
        <v>-5288</v>
      </c>
    </row>
    <row r="67" spans="1:7" ht="15.75" customHeight="1">
      <c r="A67" s="84" t="s">
        <v>1683</v>
      </c>
      <c r="B67" s="117"/>
      <c r="C67" s="117"/>
      <c r="D67" s="117">
        <f t="shared" si="0"/>
        <v>0</v>
      </c>
      <c r="E67" s="117"/>
      <c r="F67" s="117"/>
      <c r="G67" s="117">
        <f t="shared" si="1"/>
        <v>0</v>
      </c>
    </row>
    <row r="68" spans="1:7" ht="15.75" customHeight="1">
      <c r="A68" s="118" t="s">
        <v>1667</v>
      </c>
      <c r="B68" s="117"/>
      <c r="C68" s="117"/>
      <c r="D68" s="117">
        <f t="shared" si="0"/>
        <v>0</v>
      </c>
      <c r="E68" s="117"/>
      <c r="F68" s="117"/>
      <c r="G68" s="117">
        <f t="shared" si="1"/>
        <v>0</v>
      </c>
    </row>
    <row r="69" spans="1:7" ht="15.75" customHeight="1">
      <c r="A69" s="120" t="s">
        <v>1668</v>
      </c>
      <c r="B69" s="117"/>
      <c r="C69" s="117"/>
      <c r="D69" s="117"/>
      <c r="E69" s="117">
        <v>504</v>
      </c>
      <c r="F69" s="117">
        <v>455</v>
      </c>
      <c r="G69" s="117">
        <f t="shared" si="1"/>
        <v>-49</v>
      </c>
    </row>
    <row r="70" spans="1:7" ht="15.75" customHeight="1">
      <c r="A70" s="118" t="s">
        <v>1669</v>
      </c>
      <c r="B70" s="121">
        <v>201</v>
      </c>
      <c r="C70" s="121">
        <f>98+20</f>
        <v>118</v>
      </c>
      <c r="D70" s="117">
        <f t="shared" si="0"/>
        <v>-83</v>
      </c>
      <c r="E70" s="121">
        <f>3398</f>
        <v>3398</v>
      </c>
      <c r="F70" s="121">
        <f>3976+256</f>
        <v>4232</v>
      </c>
      <c r="G70" s="117">
        <f t="shared" si="1"/>
        <v>834</v>
      </c>
    </row>
    <row r="71" spans="1:7" ht="15.75" customHeight="1">
      <c r="A71" s="118"/>
      <c r="B71" s="117"/>
      <c r="C71" s="117"/>
      <c r="D71" s="117">
        <f t="shared" si="0"/>
        <v>0</v>
      </c>
      <c r="E71" s="117"/>
      <c r="F71" s="117"/>
      <c r="G71" s="117">
        <f t="shared" si="1"/>
        <v>0</v>
      </c>
    </row>
    <row r="72" spans="1:7" ht="15.75" customHeight="1">
      <c r="A72" s="84" t="s">
        <v>1684</v>
      </c>
      <c r="B72" s="117">
        <v>251790</v>
      </c>
      <c r="C72" s="117">
        <v>223785</v>
      </c>
      <c r="D72" s="117">
        <f t="shared" si="0"/>
        <v>-28005</v>
      </c>
      <c r="E72" s="117">
        <v>632915</v>
      </c>
      <c r="F72" s="117">
        <v>566038</v>
      </c>
      <c r="G72" s="117">
        <f t="shared" si="1"/>
        <v>-66877</v>
      </c>
    </row>
    <row r="73" spans="1:7" ht="15.75" customHeight="1">
      <c r="A73" s="118" t="s">
        <v>1667</v>
      </c>
      <c r="B73" s="117"/>
      <c r="C73" s="117"/>
      <c r="D73" s="117">
        <f aca="true" t="shared" si="2" ref="D73:D115">C73-B73</f>
        <v>0</v>
      </c>
      <c r="E73" s="117"/>
      <c r="F73" s="117"/>
      <c r="G73" s="117">
        <f aca="true" t="shared" si="3" ref="G73:G115">F73-E73</f>
        <v>0</v>
      </c>
    </row>
    <row r="74" spans="1:7" ht="15.75" customHeight="1">
      <c r="A74" s="120" t="s">
        <v>1668</v>
      </c>
      <c r="B74" s="121"/>
      <c r="C74" s="121">
        <v>12</v>
      </c>
      <c r="D74" s="117">
        <f t="shared" si="2"/>
        <v>12</v>
      </c>
      <c r="E74" s="121">
        <v>3019</v>
      </c>
      <c r="F74" s="121">
        <v>6183</v>
      </c>
      <c r="G74" s="117">
        <f t="shared" si="3"/>
        <v>3164</v>
      </c>
    </row>
    <row r="75" spans="1:7" ht="15.75" customHeight="1">
      <c r="A75" s="120" t="s">
        <v>1671</v>
      </c>
      <c r="B75" s="121">
        <v>122</v>
      </c>
      <c r="C75" s="121">
        <v>190</v>
      </c>
      <c r="D75" s="117">
        <f t="shared" si="2"/>
        <v>68</v>
      </c>
      <c r="E75" s="121"/>
      <c r="F75" s="121">
        <v>2774</v>
      </c>
      <c r="G75" s="117">
        <f t="shared" si="3"/>
        <v>2774</v>
      </c>
    </row>
    <row r="76" spans="1:7" ht="15.75" customHeight="1">
      <c r="A76" s="118" t="s">
        <v>1669</v>
      </c>
      <c r="B76" s="121">
        <f>2139+180</f>
        <v>2319</v>
      </c>
      <c r="C76" s="121">
        <f>547+50</f>
        <v>597</v>
      </c>
      <c r="D76" s="117">
        <f t="shared" si="2"/>
        <v>-1722</v>
      </c>
      <c r="E76" s="121">
        <f>45362+18326</f>
        <v>63688</v>
      </c>
      <c r="F76" s="121">
        <f>12142+19937</f>
        <v>32079</v>
      </c>
      <c r="G76" s="117">
        <f t="shared" si="3"/>
        <v>-31609</v>
      </c>
    </row>
    <row r="77" spans="1:7" ht="15.75" customHeight="1">
      <c r="A77" s="118"/>
      <c r="B77" s="117"/>
      <c r="C77" s="117"/>
      <c r="D77" s="117">
        <f t="shared" si="2"/>
        <v>0</v>
      </c>
      <c r="E77" s="117"/>
      <c r="F77" s="117"/>
      <c r="G77" s="117">
        <f t="shared" si="3"/>
        <v>0</v>
      </c>
    </row>
    <row r="78" spans="1:7" ht="15.75" customHeight="1">
      <c r="A78" s="84" t="s">
        <v>1685</v>
      </c>
      <c r="B78" s="117">
        <v>295367</v>
      </c>
      <c r="C78" s="117">
        <v>362395</v>
      </c>
      <c r="D78" s="117">
        <f t="shared" si="2"/>
        <v>67028</v>
      </c>
      <c r="E78" s="117">
        <v>541934</v>
      </c>
      <c r="F78" s="117">
        <v>497768</v>
      </c>
      <c r="G78" s="117">
        <f t="shared" si="3"/>
        <v>-44166</v>
      </c>
    </row>
    <row r="79" spans="1:7" ht="15.75" customHeight="1">
      <c r="A79" s="118" t="s">
        <v>1667</v>
      </c>
      <c r="B79" s="117"/>
      <c r="C79" s="117"/>
      <c r="D79" s="117">
        <f t="shared" si="2"/>
        <v>0</v>
      </c>
      <c r="E79" s="117"/>
      <c r="F79" s="117"/>
      <c r="G79" s="117">
        <f t="shared" si="3"/>
        <v>0</v>
      </c>
    </row>
    <row r="80" spans="1:7" ht="15.75" customHeight="1">
      <c r="A80" s="120" t="s">
        <v>1668</v>
      </c>
      <c r="B80" s="117"/>
      <c r="C80" s="117">
        <v>677</v>
      </c>
      <c r="D80" s="117">
        <f t="shared" si="2"/>
        <v>677</v>
      </c>
      <c r="E80" s="117">
        <v>24</v>
      </c>
      <c r="F80" s="117">
        <v>70</v>
      </c>
      <c r="G80" s="117">
        <f t="shared" si="3"/>
        <v>46</v>
      </c>
    </row>
    <row r="81" spans="1:7" ht="15.75" customHeight="1">
      <c r="A81" s="120" t="s">
        <v>1671</v>
      </c>
      <c r="B81" s="117"/>
      <c r="C81" s="117"/>
      <c r="D81" s="117">
        <f t="shared" si="2"/>
        <v>0</v>
      </c>
      <c r="E81" s="117">
        <v>127</v>
      </c>
      <c r="F81" s="117">
        <v>127</v>
      </c>
      <c r="G81" s="117">
        <f t="shared" si="3"/>
        <v>0</v>
      </c>
    </row>
    <row r="82" spans="1:7" ht="15.75" customHeight="1">
      <c r="A82" s="118" t="s">
        <v>1669</v>
      </c>
      <c r="B82" s="117">
        <f>42975+2709</f>
        <v>45684</v>
      </c>
      <c r="C82" s="117">
        <f>5354+9184</f>
        <v>14538</v>
      </c>
      <c r="D82" s="117">
        <f t="shared" si="2"/>
        <v>-31146</v>
      </c>
      <c r="E82" s="117">
        <f>57329+3482</f>
        <v>60811</v>
      </c>
      <c r="F82" s="117">
        <f>28978+9637</f>
        <v>38615</v>
      </c>
      <c r="G82" s="117">
        <f t="shared" si="3"/>
        <v>-22196</v>
      </c>
    </row>
    <row r="83" spans="1:7" ht="15.75" customHeight="1">
      <c r="A83" s="118"/>
      <c r="B83" s="117"/>
      <c r="C83" s="117"/>
      <c r="D83" s="117">
        <f t="shared" si="2"/>
        <v>0</v>
      </c>
      <c r="E83" s="117"/>
      <c r="F83" s="117"/>
      <c r="G83" s="117">
        <f t="shared" si="3"/>
        <v>0</v>
      </c>
    </row>
    <row r="84" spans="1:7" ht="15.75" customHeight="1">
      <c r="A84" s="84" t="s">
        <v>1686</v>
      </c>
      <c r="B84" s="117">
        <v>38808</v>
      </c>
      <c r="C84" s="117">
        <v>2861</v>
      </c>
      <c r="D84" s="117">
        <f t="shared" si="2"/>
        <v>-35947</v>
      </c>
      <c r="E84" s="117">
        <v>5839</v>
      </c>
      <c r="F84" s="117">
        <v>63612</v>
      </c>
      <c r="G84" s="117">
        <f t="shared" si="3"/>
        <v>57773</v>
      </c>
    </row>
    <row r="85" spans="1:7" ht="15.75" customHeight="1">
      <c r="A85" s="118" t="s">
        <v>1667</v>
      </c>
      <c r="B85" s="117"/>
      <c r="C85" s="117"/>
      <c r="D85" s="117">
        <f t="shared" si="2"/>
        <v>0</v>
      </c>
      <c r="E85" s="117"/>
      <c r="F85" s="117"/>
      <c r="G85" s="117">
        <f t="shared" si="3"/>
        <v>0</v>
      </c>
    </row>
    <row r="86" spans="1:7" ht="15.75" customHeight="1">
      <c r="A86" s="120" t="s">
        <v>1668</v>
      </c>
      <c r="B86" s="117"/>
      <c r="C86" s="117"/>
      <c r="D86" s="117">
        <f t="shared" si="2"/>
        <v>0</v>
      </c>
      <c r="E86" s="117"/>
      <c r="F86" s="117"/>
      <c r="G86" s="117">
        <f t="shared" si="3"/>
        <v>0</v>
      </c>
    </row>
    <row r="87" spans="1:7" ht="15.75" customHeight="1">
      <c r="A87" s="118" t="s">
        <v>1669</v>
      </c>
      <c r="B87" s="117"/>
      <c r="C87" s="117"/>
      <c r="D87" s="117">
        <f t="shared" si="2"/>
        <v>0</v>
      </c>
      <c r="E87" s="117">
        <v>936</v>
      </c>
      <c r="F87" s="117"/>
      <c r="G87" s="117">
        <f t="shared" si="3"/>
        <v>-936</v>
      </c>
    </row>
    <row r="88" spans="1:7" ht="15.75" customHeight="1">
      <c r="A88" s="118"/>
      <c r="B88" s="117"/>
      <c r="C88" s="117"/>
      <c r="D88" s="117">
        <f t="shared" si="2"/>
        <v>0</v>
      </c>
      <c r="E88" s="117"/>
      <c r="F88" s="117"/>
      <c r="G88" s="117">
        <f t="shared" si="3"/>
        <v>0</v>
      </c>
    </row>
    <row r="89" spans="1:7" ht="15.75" customHeight="1">
      <c r="A89" s="84" t="s">
        <v>1687</v>
      </c>
      <c r="B89" s="117">
        <v>657</v>
      </c>
      <c r="C89" s="117">
        <v>734</v>
      </c>
      <c r="D89" s="117">
        <f t="shared" si="2"/>
        <v>77</v>
      </c>
      <c r="E89" s="117">
        <v>68437</v>
      </c>
      <c r="F89" s="117">
        <v>93160</v>
      </c>
      <c r="G89" s="117">
        <f t="shared" si="3"/>
        <v>24723</v>
      </c>
    </row>
    <row r="90" spans="1:7" ht="15.75" customHeight="1">
      <c r="A90" s="118" t="s">
        <v>1667</v>
      </c>
      <c r="B90" s="117"/>
      <c r="C90" s="117"/>
      <c r="D90" s="117"/>
      <c r="E90" s="117"/>
      <c r="F90" s="117"/>
      <c r="G90" s="117"/>
    </row>
    <row r="91" spans="1:7" ht="15.75" customHeight="1">
      <c r="A91" s="118" t="s">
        <v>1669</v>
      </c>
      <c r="B91" s="117">
        <v>346</v>
      </c>
      <c r="C91" s="117">
        <v>698</v>
      </c>
      <c r="D91" s="117">
        <f t="shared" si="2"/>
        <v>352</v>
      </c>
      <c r="E91" s="117">
        <v>35045</v>
      </c>
      <c r="F91" s="117">
        <v>55253</v>
      </c>
      <c r="G91" s="117">
        <f>F91-E91</f>
        <v>20208</v>
      </c>
    </row>
    <row r="92" spans="2:7" ht="15.75" customHeight="1">
      <c r="B92" s="117"/>
      <c r="C92" s="117"/>
      <c r="D92" s="117"/>
      <c r="E92" s="117"/>
      <c r="F92" s="117"/>
      <c r="G92" s="117"/>
    </row>
    <row r="93" spans="2:7" ht="15.75" customHeight="1">
      <c r="B93" s="117"/>
      <c r="C93" s="117"/>
      <c r="D93" s="117">
        <f t="shared" si="2"/>
        <v>0</v>
      </c>
      <c r="E93" s="117"/>
      <c r="F93" s="117"/>
      <c r="G93" s="117">
        <f t="shared" si="3"/>
        <v>0</v>
      </c>
    </row>
    <row r="94" spans="1:7" ht="15.75" customHeight="1">
      <c r="A94" s="84" t="s">
        <v>1688</v>
      </c>
      <c r="B94" s="117">
        <v>28</v>
      </c>
      <c r="C94" s="117">
        <v>1449</v>
      </c>
      <c r="D94" s="117">
        <f t="shared" si="2"/>
        <v>1421</v>
      </c>
      <c r="E94" s="117">
        <v>1</v>
      </c>
      <c r="F94" s="117">
        <v>16</v>
      </c>
      <c r="G94" s="117">
        <f t="shared" si="3"/>
        <v>15</v>
      </c>
    </row>
    <row r="95" spans="1:7" ht="15.75" customHeight="1">
      <c r="A95" s="118"/>
      <c r="B95" s="117"/>
      <c r="C95" s="117"/>
      <c r="D95" s="117">
        <f t="shared" si="2"/>
        <v>0</v>
      </c>
      <c r="E95" s="117"/>
      <c r="F95" s="117"/>
      <c r="G95" s="117">
        <f t="shared" si="3"/>
        <v>0</v>
      </c>
    </row>
    <row r="96" spans="1:7" ht="15.75" customHeight="1">
      <c r="A96" s="84" t="s">
        <v>1689</v>
      </c>
      <c r="B96" s="117">
        <v>23758</v>
      </c>
      <c r="C96" s="117">
        <v>16598</v>
      </c>
      <c r="D96" s="117">
        <f t="shared" si="2"/>
        <v>-7160</v>
      </c>
      <c r="E96" s="117">
        <v>784834</v>
      </c>
      <c r="F96" s="117">
        <v>741078</v>
      </c>
      <c r="G96" s="117">
        <f t="shared" si="3"/>
        <v>-43756</v>
      </c>
    </row>
    <row r="97" spans="1:7" ht="15.75" customHeight="1">
      <c r="A97" s="118" t="s">
        <v>1667</v>
      </c>
      <c r="B97" s="117"/>
      <c r="C97" s="117"/>
      <c r="D97" s="117">
        <f t="shared" si="2"/>
        <v>0</v>
      </c>
      <c r="E97" s="117"/>
      <c r="F97" s="117"/>
      <c r="G97" s="117">
        <f t="shared" si="3"/>
        <v>0</v>
      </c>
    </row>
    <row r="98" spans="1:7" ht="15.75" customHeight="1">
      <c r="A98" s="120" t="s">
        <v>1668</v>
      </c>
      <c r="B98" s="117"/>
      <c r="C98" s="117"/>
      <c r="D98" s="117">
        <f t="shared" si="2"/>
        <v>0</v>
      </c>
      <c r="E98" s="117">
        <v>1991</v>
      </c>
      <c r="F98" s="117">
        <v>2762</v>
      </c>
      <c r="G98" s="117">
        <f t="shared" si="3"/>
        <v>771</v>
      </c>
    </row>
    <row r="99" spans="1:7" ht="15.75" customHeight="1">
      <c r="A99" s="118" t="s">
        <v>1669</v>
      </c>
      <c r="B99" s="117"/>
      <c r="C99" s="117"/>
      <c r="D99" s="117">
        <f t="shared" si="2"/>
        <v>0</v>
      </c>
      <c r="E99" s="117">
        <v>2353</v>
      </c>
      <c r="F99" s="117">
        <v>3465</v>
      </c>
      <c r="G99" s="117">
        <f t="shared" si="3"/>
        <v>1112</v>
      </c>
    </row>
    <row r="100" spans="1:7" ht="15.75" customHeight="1">
      <c r="A100" s="118"/>
      <c r="B100" s="117"/>
      <c r="C100" s="117"/>
      <c r="D100" s="117">
        <f t="shared" si="2"/>
        <v>0</v>
      </c>
      <c r="E100" s="117"/>
      <c r="F100" s="117"/>
      <c r="G100" s="117">
        <f t="shared" si="3"/>
        <v>0</v>
      </c>
    </row>
    <row r="101" spans="1:7" ht="15.75" customHeight="1">
      <c r="A101" s="84" t="s">
        <v>1690</v>
      </c>
      <c r="B101" s="117"/>
      <c r="C101" s="117">
        <v>20228</v>
      </c>
      <c r="D101" s="117">
        <f t="shared" si="2"/>
        <v>20228</v>
      </c>
      <c r="E101" s="117"/>
      <c r="F101" s="117"/>
      <c r="G101" s="117">
        <f t="shared" si="3"/>
        <v>0</v>
      </c>
    </row>
    <row r="102" spans="1:7" ht="15.75" customHeight="1">
      <c r="A102" s="118"/>
      <c r="B102" s="117"/>
      <c r="C102" s="117"/>
      <c r="D102" s="117">
        <f t="shared" si="2"/>
        <v>0</v>
      </c>
      <c r="E102" s="117"/>
      <c r="F102" s="117"/>
      <c r="G102" s="117">
        <f t="shared" si="3"/>
        <v>0</v>
      </c>
    </row>
    <row r="103" spans="1:7" ht="15.75" customHeight="1">
      <c r="A103" s="84" t="s">
        <v>1691</v>
      </c>
      <c r="B103" s="117">
        <v>2568</v>
      </c>
      <c r="C103" s="117">
        <v>2967</v>
      </c>
      <c r="D103" s="117">
        <f t="shared" si="2"/>
        <v>399</v>
      </c>
      <c r="E103" s="117"/>
      <c r="F103" s="117"/>
      <c r="G103" s="117">
        <f t="shared" si="3"/>
        <v>0</v>
      </c>
    </row>
    <row r="104" spans="1:7" ht="15.75" customHeight="1">
      <c r="A104" s="118"/>
      <c r="B104" s="117"/>
      <c r="C104" s="117"/>
      <c r="D104" s="117">
        <f t="shared" si="2"/>
        <v>0</v>
      </c>
      <c r="E104" s="117"/>
      <c r="F104" s="117"/>
      <c r="G104" s="117">
        <f t="shared" si="3"/>
        <v>0</v>
      </c>
    </row>
    <row r="105" spans="1:7" ht="15.75" customHeight="1">
      <c r="A105" s="84" t="s">
        <v>1692</v>
      </c>
      <c r="B105" s="117">
        <v>2378</v>
      </c>
      <c r="C105" s="117">
        <v>20269</v>
      </c>
      <c r="D105" s="117">
        <f t="shared" si="2"/>
        <v>17891</v>
      </c>
      <c r="E105" s="117">
        <v>343</v>
      </c>
      <c r="F105" s="117">
        <v>1971</v>
      </c>
      <c r="G105" s="117">
        <f t="shared" si="3"/>
        <v>1628</v>
      </c>
    </row>
    <row r="106" spans="1:7" ht="15.75" customHeight="1">
      <c r="A106" s="118" t="s">
        <v>1667</v>
      </c>
      <c r="B106" s="117"/>
      <c r="C106" s="117"/>
      <c r="D106" s="117"/>
      <c r="E106" s="117"/>
      <c r="F106" s="117"/>
      <c r="G106" s="117"/>
    </row>
    <row r="107" spans="1:7" ht="15.75" customHeight="1">
      <c r="A107" s="118" t="s">
        <v>1669</v>
      </c>
      <c r="B107" s="117"/>
      <c r="C107" s="117">
        <v>18036</v>
      </c>
      <c r="D107" s="117">
        <f t="shared" si="2"/>
        <v>18036</v>
      </c>
      <c r="E107" s="117"/>
      <c r="F107" s="117"/>
      <c r="G107" s="117"/>
    </row>
    <row r="108" spans="1:7" ht="15.75" customHeight="1">
      <c r="A108" s="118"/>
      <c r="B108" s="117"/>
      <c r="C108" s="117"/>
      <c r="D108" s="117">
        <f t="shared" si="2"/>
        <v>0</v>
      </c>
      <c r="E108" s="117"/>
      <c r="F108" s="117"/>
      <c r="G108" s="117">
        <f t="shared" si="3"/>
        <v>0</v>
      </c>
    </row>
    <row r="109" spans="1:7" ht="15.75" customHeight="1">
      <c r="A109" s="84" t="s">
        <v>1693</v>
      </c>
      <c r="B109" s="117">
        <v>21233</v>
      </c>
      <c r="C109" s="117">
        <v>19779</v>
      </c>
      <c r="D109" s="117">
        <f t="shared" si="2"/>
        <v>-1454</v>
      </c>
      <c r="E109" s="117">
        <v>8491</v>
      </c>
      <c r="F109" s="117"/>
      <c r="G109" s="117">
        <f t="shared" si="3"/>
        <v>-8491</v>
      </c>
    </row>
    <row r="110" spans="1:7" ht="15.75" customHeight="1">
      <c r="A110" s="118"/>
      <c r="B110" s="117"/>
      <c r="C110" s="117"/>
      <c r="D110" s="117">
        <f t="shared" si="2"/>
        <v>0</v>
      </c>
      <c r="E110" s="117"/>
      <c r="F110" s="117"/>
      <c r="G110" s="117">
        <f t="shared" si="3"/>
        <v>0</v>
      </c>
    </row>
    <row r="111" spans="1:7" ht="15.75" customHeight="1">
      <c r="A111" s="84" t="s">
        <v>1694</v>
      </c>
      <c r="B111" s="117"/>
      <c r="C111" s="117"/>
      <c r="D111" s="117">
        <f t="shared" si="2"/>
        <v>0</v>
      </c>
      <c r="E111" s="117"/>
      <c r="F111" s="117"/>
      <c r="G111" s="117">
        <f t="shared" si="3"/>
        <v>0</v>
      </c>
    </row>
    <row r="112" spans="2:7" ht="15.75" customHeight="1">
      <c r="B112" s="117"/>
      <c r="C112" s="117"/>
      <c r="D112" s="117"/>
      <c r="E112" s="117"/>
      <c r="F112" s="117"/>
      <c r="G112" s="117"/>
    </row>
    <row r="113" spans="1:7" ht="15.75" customHeight="1">
      <c r="A113" s="84" t="s">
        <v>1695</v>
      </c>
      <c r="B113" s="117"/>
      <c r="C113" s="117"/>
      <c r="D113" s="117"/>
      <c r="E113" s="117">
        <v>1134</v>
      </c>
      <c r="F113" s="117">
        <v>8460</v>
      </c>
      <c r="G113" s="117">
        <f t="shared" si="3"/>
        <v>7326</v>
      </c>
    </row>
    <row r="114" spans="2:7" s="35" customFormat="1" ht="15.75" customHeight="1">
      <c r="B114" s="122"/>
      <c r="C114" s="122"/>
      <c r="D114" s="117">
        <f t="shared" si="2"/>
        <v>0</v>
      </c>
      <c r="E114" s="122"/>
      <c r="F114" s="122"/>
      <c r="G114" s="117">
        <f t="shared" si="3"/>
        <v>0</v>
      </c>
    </row>
    <row r="115" spans="1:7" s="35" customFormat="1" ht="15.75" customHeight="1">
      <c r="A115" s="35" t="s">
        <v>1696</v>
      </c>
      <c r="B115" s="122">
        <v>1044442</v>
      </c>
      <c r="C115" s="122">
        <v>1290037</v>
      </c>
      <c r="D115" s="117">
        <f t="shared" si="2"/>
        <v>245595</v>
      </c>
      <c r="E115" s="122">
        <v>775013</v>
      </c>
      <c r="F115" s="122">
        <v>1274515</v>
      </c>
      <c r="G115" s="117">
        <f t="shared" si="3"/>
        <v>499502</v>
      </c>
    </row>
    <row r="116" spans="1:7" s="35" customFormat="1" ht="15.75" customHeight="1">
      <c r="A116" s="118" t="s">
        <v>1667</v>
      </c>
      <c r="B116" s="122"/>
      <c r="C116" s="122"/>
      <c r="D116" s="117"/>
      <c r="E116" s="122"/>
      <c r="F116" s="122"/>
      <c r="G116" s="117"/>
    </row>
    <row r="117" spans="1:7" s="35" customFormat="1" ht="15.75" customHeight="1">
      <c r="A117" s="120" t="s">
        <v>1668</v>
      </c>
      <c r="B117" s="122">
        <v>3846</v>
      </c>
      <c r="C117" s="122">
        <v>655</v>
      </c>
      <c r="D117" s="117"/>
      <c r="E117" s="122"/>
      <c r="F117" s="122"/>
      <c r="G117" s="117"/>
    </row>
    <row r="118" spans="1:7" s="35" customFormat="1" ht="15.75" customHeight="1">
      <c r="A118" s="120" t="s">
        <v>1671</v>
      </c>
      <c r="B118" s="122"/>
      <c r="C118" s="122"/>
      <c r="D118" s="117"/>
      <c r="E118" s="122">
        <v>5644</v>
      </c>
      <c r="F118" s="122">
        <v>463</v>
      </c>
      <c r="G118" s="117"/>
    </row>
    <row r="119" spans="1:7" s="35" customFormat="1" ht="15.75" customHeight="1">
      <c r="A119" s="118" t="s">
        <v>1669</v>
      </c>
      <c r="B119" s="122">
        <f>242+371</f>
        <v>613</v>
      </c>
      <c r="C119" s="122">
        <f>278+600</f>
        <v>878</v>
      </c>
      <c r="D119" s="117"/>
      <c r="E119" s="122">
        <v>964</v>
      </c>
      <c r="F119" s="122">
        <f>5942+255</f>
        <v>6197</v>
      </c>
      <c r="G119" s="117"/>
    </row>
    <row r="120" spans="2:7" s="35" customFormat="1" ht="15.75" customHeight="1">
      <c r="B120" s="122"/>
      <c r="C120" s="122"/>
      <c r="D120" s="117"/>
      <c r="E120" s="122"/>
      <c r="F120" s="122"/>
      <c r="G120" s="117"/>
    </row>
    <row r="121" spans="1:7" s="123" customFormat="1" ht="15.75" customHeight="1">
      <c r="A121" s="123" t="s">
        <v>1697</v>
      </c>
      <c r="B121" s="124">
        <f aca="true" t="shared" si="4" ref="B121:G121">SUM(B8+B13+B19+B21+B27+B29+B33+B38+B44+B50+B56+B58+B64+B66+B72+B78+B84+B89+B94+B96+B101+B103+B105+B109+B111+B113+B115)</f>
        <v>24331037</v>
      </c>
      <c r="C121" s="124">
        <f t="shared" si="4"/>
        <v>21574861</v>
      </c>
      <c r="D121" s="124">
        <f t="shared" si="4"/>
        <v>-2756176</v>
      </c>
      <c r="E121" s="124">
        <f t="shared" si="4"/>
        <v>40460130</v>
      </c>
      <c r="F121" s="124">
        <f t="shared" si="4"/>
        <v>56969368</v>
      </c>
      <c r="G121" s="124">
        <f t="shared" si="4"/>
        <v>16509238</v>
      </c>
    </row>
    <row r="122" s="35" customFormat="1" ht="15.75" customHeight="1">
      <c r="A122" s="125" t="s">
        <v>1667</v>
      </c>
    </row>
    <row r="123" spans="1:7" s="35" customFormat="1" ht="15.75" customHeight="1">
      <c r="A123" s="126" t="s">
        <v>1698</v>
      </c>
      <c r="B123" s="127">
        <f aca="true" t="shared" si="5" ref="B123:G123">SUM(B10+B23+B35+B40+B46+B52+B60+B74+B80+B86+B98+B117+B69+B15)</f>
        <v>23621</v>
      </c>
      <c r="C123" s="127">
        <f t="shared" si="5"/>
        <v>27439</v>
      </c>
      <c r="D123" s="127">
        <f t="shared" si="5"/>
        <v>7009</v>
      </c>
      <c r="E123" s="127">
        <f t="shared" si="5"/>
        <v>775707</v>
      </c>
      <c r="F123" s="127">
        <f t="shared" si="5"/>
        <v>751817</v>
      </c>
      <c r="G123" s="127">
        <f t="shared" si="5"/>
        <v>-23890</v>
      </c>
    </row>
    <row r="124" spans="1:7" s="35" customFormat="1" ht="15.75" customHeight="1">
      <c r="A124" s="126" t="s">
        <v>1699</v>
      </c>
      <c r="B124" s="127">
        <f aca="true" t="shared" si="6" ref="B124:G124">SUM(B24+B41+B47+B53+B61+B75+B81+B118+B16)</f>
        <v>15228</v>
      </c>
      <c r="C124" s="127">
        <f t="shared" si="6"/>
        <v>6400</v>
      </c>
      <c r="D124" s="127">
        <f t="shared" si="6"/>
        <v>-8828</v>
      </c>
      <c r="E124" s="127">
        <f t="shared" si="6"/>
        <v>200681</v>
      </c>
      <c r="F124" s="127">
        <f t="shared" si="6"/>
        <v>196541</v>
      </c>
      <c r="G124" s="127">
        <f t="shared" si="6"/>
        <v>1041</v>
      </c>
    </row>
    <row r="125" spans="1:7" s="35" customFormat="1" ht="15.75" customHeight="1">
      <c r="A125" s="125" t="s">
        <v>1700</v>
      </c>
      <c r="B125" s="127">
        <f aca="true" t="shared" si="7" ref="B125:G125">SUM(B11+B17+B25+B36+B42+B48+B54+B62+B70+B76+B82+B87+B91+B99+B107+B119+B31)</f>
        <v>177759</v>
      </c>
      <c r="C125" s="127">
        <f t="shared" si="7"/>
        <v>729580</v>
      </c>
      <c r="D125" s="127">
        <f t="shared" si="7"/>
        <v>551556</v>
      </c>
      <c r="E125" s="127">
        <f t="shared" si="7"/>
        <v>736632</v>
      </c>
      <c r="F125" s="127">
        <f t="shared" si="7"/>
        <v>813210</v>
      </c>
      <c r="G125" s="127">
        <f t="shared" si="7"/>
        <v>71345</v>
      </c>
    </row>
    <row r="126" spans="2:7" ht="15.75" customHeight="1">
      <c r="B126" s="117"/>
      <c r="C126" s="117"/>
      <c r="D126" s="117"/>
      <c r="E126" s="117"/>
      <c r="F126" s="117"/>
      <c r="G126" s="117"/>
    </row>
    <row r="127" ht="15.75" customHeight="1">
      <c r="A127" s="373" t="s">
        <v>1085</v>
      </c>
    </row>
    <row r="130" s="41" customFormat="1" ht="15.75" customHeight="1">
      <c r="A130" s="41" t="s">
        <v>1822</v>
      </c>
    </row>
    <row r="135" s="41" customFormat="1" ht="15.75" customHeight="1">
      <c r="A135" s="41" t="s">
        <v>1823</v>
      </c>
    </row>
  </sheetData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G186"/>
  <sheetViews>
    <sheetView workbookViewId="0" topLeftCell="D37">
      <selection activeCell="H16" sqref="H16"/>
    </sheetView>
  </sheetViews>
  <sheetFormatPr defaultColWidth="9.140625" defaultRowHeight="12.75"/>
  <cols>
    <col min="1" max="1" width="25.7109375" style="199" customWidth="1"/>
    <col min="2" max="2" width="12.140625" style="199" customWidth="1"/>
    <col min="3" max="3" width="11.8515625" style="199" customWidth="1"/>
    <col min="4" max="4" width="11.7109375" style="199" customWidth="1"/>
    <col min="5" max="5" width="11.421875" style="199" customWidth="1"/>
    <col min="6" max="6" width="12.00390625" style="199" customWidth="1"/>
    <col min="7" max="7" width="11.140625" style="199" customWidth="1"/>
    <col min="8" max="8" width="14.140625" style="0" customWidth="1"/>
    <col min="164" max="16384" width="9.140625" style="199" customWidth="1"/>
  </cols>
  <sheetData>
    <row r="1" spans="1:6" ht="15.75">
      <c r="A1" s="202"/>
      <c r="B1" s="393"/>
      <c r="C1" s="393"/>
      <c r="D1" s="393"/>
      <c r="E1" s="393"/>
      <c r="F1" s="393"/>
    </row>
    <row r="2" spans="1:7" ht="15.75">
      <c r="A2" s="202" t="s">
        <v>276</v>
      </c>
      <c r="B2" s="202"/>
      <c r="C2" s="202"/>
      <c r="D2" s="202"/>
      <c r="E2" s="202"/>
      <c r="F2" s="202"/>
      <c r="G2" s="202"/>
    </row>
    <row r="3" spans="1:7" ht="15.75">
      <c r="A3" s="202" t="s">
        <v>277</v>
      </c>
      <c r="B3" s="202"/>
      <c r="C3" s="202"/>
      <c r="D3" s="202"/>
      <c r="E3" s="202"/>
      <c r="F3" s="202"/>
      <c r="G3" s="202"/>
    </row>
    <row r="4" spans="1:7" ht="15.75">
      <c r="A4" s="202"/>
      <c r="B4" s="393"/>
      <c r="C4" s="393"/>
      <c r="D4" s="393"/>
      <c r="E4" s="393"/>
      <c r="F4" s="393"/>
      <c r="G4" s="107" t="s">
        <v>260</v>
      </c>
    </row>
    <row r="5" spans="2:163" s="394" customFormat="1" ht="12.75">
      <c r="B5" s="395" t="s">
        <v>1660</v>
      </c>
      <c r="C5" s="395"/>
      <c r="D5" s="395"/>
      <c r="E5" s="395" t="s">
        <v>1661</v>
      </c>
      <c r="F5" s="396"/>
      <c r="G5" s="39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</row>
    <row r="6" spans="1:163" s="397" customFormat="1" ht="38.25">
      <c r="A6" s="397" t="s">
        <v>278</v>
      </c>
      <c r="B6" s="397" t="s">
        <v>279</v>
      </c>
      <c r="C6" s="397" t="s">
        <v>280</v>
      </c>
      <c r="D6" s="397" t="s">
        <v>281</v>
      </c>
      <c r="E6" s="397" t="s">
        <v>279</v>
      </c>
      <c r="F6" s="397" t="s">
        <v>280</v>
      </c>
      <c r="G6" s="397" t="s">
        <v>282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</row>
    <row r="7" spans="1:163" s="397" customFormat="1" ht="12.75">
      <c r="A7" s="397">
        <v>1</v>
      </c>
      <c r="B7" s="397">
        <v>2</v>
      </c>
      <c r="C7" s="397">
        <v>3</v>
      </c>
      <c r="D7" s="397">
        <v>4</v>
      </c>
      <c r="E7" s="397">
        <v>5</v>
      </c>
      <c r="F7" s="397">
        <v>6</v>
      </c>
      <c r="G7" s="397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</row>
    <row r="8" spans="1:163" s="84" customFormat="1" ht="12.75">
      <c r="A8" s="398" t="s">
        <v>283</v>
      </c>
      <c r="B8" s="54">
        <v>978551</v>
      </c>
      <c r="C8" s="54">
        <v>1416123</v>
      </c>
      <c r="D8" s="54">
        <f>C8-B8</f>
        <v>437572</v>
      </c>
      <c r="E8" s="54">
        <v>12737718</v>
      </c>
      <c r="F8" s="54">
        <v>14975054</v>
      </c>
      <c r="G8" s="54">
        <f>F8-E8</f>
        <v>2237336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</row>
    <row r="9" spans="1:163" s="84" customFormat="1" ht="12.75">
      <c r="A9" s="398" t="s">
        <v>1358</v>
      </c>
      <c r="B9" s="54">
        <v>263270</v>
      </c>
      <c r="C9" s="54">
        <v>250193</v>
      </c>
      <c r="D9" s="54">
        <f aca="true" t="shared" si="0" ref="D9:D43">C9-B9</f>
        <v>-13077</v>
      </c>
      <c r="E9" s="54">
        <v>1186038</v>
      </c>
      <c r="F9" s="54">
        <v>770648</v>
      </c>
      <c r="G9" s="54">
        <f aca="true" t="shared" si="1" ref="G9:G40">F9-E9</f>
        <v>-415390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</row>
    <row r="10" spans="1:163" s="84" customFormat="1" ht="12.75">
      <c r="A10" s="398" t="s">
        <v>1193</v>
      </c>
      <c r="B10" s="54">
        <v>1010319</v>
      </c>
      <c r="C10" s="54">
        <v>437489</v>
      </c>
      <c r="D10" s="54">
        <f t="shared" si="0"/>
        <v>-572830</v>
      </c>
      <c r="E10" s="54">
        <v>7284245</v>
      </c>
      <c r="F10" s="54">
        <v>9622456</v>
      </c>
      <c r="G10" s="54">
        <f t="shared" si="1"/>
        <v>2338211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</row>
    <row r="11" spans="1:163" s="84" customFormat="1" ht="12.75">
      <c r="A11" s="398" t="s">
        <v>1157</v>
      </c>
      <c r="B11" s="54">
        <v>23371</v>
      </c>
      <c r="C11" s="54">
        <v>288580</v>
      </c>
      <c r="D11" s="54">
        <f t="shared" si="0"/>
        <v>265209</v>
      </c>
      <c r="E11" s="54">
        <v>100240</v>
      </c>
      <c r="F11" s="54">
        <v>175138</v>
      </c>
      <c r="G11" s="54">
        <f t="shared" si="1"/>
        <v>74898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</row>
    <row r="12" spans="1:163" s="84" customFormat="1" ht="12.75">
      <c r="A12" s="398" t="s">
        <v>1160</v>
      </c>
      <c r="B12" s="54">
        <v>311752</v>
      </c>
      <c r="C12" s="54">
        <v>305806</v>
      </c>
      <c r="D12" s="54">
        <f t="shared" si="0"/>
        <v>-5946</v>
      </c>
      <c r="E12" s="54">
        <v>741462</v>
      </c>
      <c r="F12" s="54">
        <v>580337</v>
      </c>
      <c r="G12" s="54">
        <f t="shared" si="1"/>
        <v>-161125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</row>
    <row r="13" spans="1:163" s="84" customFormat="1" ht="12.75">
      <c r="A13" s="398" t="s">
        <v>1165</v>
      </c>
      <c r="B13" s="54">
        <v>24330</v>
      </c>
      <c r="C13" s="54">
        <v>217295</v>
      </c>
      <c r="D13" s="54">
        <f t="shared" si="0"/>
        <v>192965</v>
      </c>
      <c r="E13" s="54">
        <v>346312</v>
      </c>
      <c r="F13" s="54">
        <v>127342</v>
      </c>
      <c r="G13" s="54">
        <f t="shared" si="1"/>
        <v>-218970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</row>
    <row r="14" spans="1:163" s="84" customFormat="1" ht="12.75">
      <c r="A14" s="398" t="s">
        <v>284</v>
      </c>
      <c r="B14" s="54">
        <v>4765171</v>
      </c>
      <c r="C14" s="54">
        <v>8542073</v>
      </c>
      <c r="D14" s="54">
        <f t="shared" si="0"/>
        <v>3776902</v>
      </c>
      <c r="E14" s="54">
        <v>1133276</v>
      </c>
      <c r="F14" s="54">
        <v>382588</v>
      </c>
      <c r="G14" s="54">
        <f t="shared" si="1"/>
        <v>-750688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</row>
    <row r="15" spans="1:163" s="84" customFormat="1" ht="12.75">
      <c r="A15" s="398" t="s">
        <v>285</v>
      </c>
      <c r="B15" s="54">
        <v>77559</v>
      </c>
      <c r="C15" s="54">
        <v>141257</v>
      </c>
      <c r="D15" s="54">
        <f t="shared" si="0"/>
        <v>63698</v>
      </c>
      <c r="E15" s="54">
        <v>1014823</v>
      </c>
      <c r="F15" s="54">
        <v>957426</v>
      </c>
      <c r="G15" s="54">
        <f t="shared" si="1"/>
        <v>-57397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</row>
    <row r="16" spans="1:163" s="84" customFormat="1" ht="12.75">
      <c r="A16" s="398" t="s">
        <v>286</v>
      </c>
      <c r="B16" s="54">
        <v>96479</v>
      </c>
      <c r="C16" s="54">
        <v>98704</v>
      </c>
      <c r="D16" s="54">
        <f t="shared" si="0"/>
        <v>2225</v>
      </c>
      <c r="E16" s="54">
        <v>346987</v>
      </c>
      <c r="F16" s="54">
        <v>406858</v>
      </c>
      <c r="G16" s="54">
        <f t="shared" si="1"/>
        <v>59871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</row>
    <row r="17" spans="1:163" s="84" customFormat="1" ht="12.75">
      <c r="A17" s="398" t="s">
        <v>287</v>
      </c>
      <c r="B17" s="54">
        <v>55551</v>
      </c>
      <c r="C17" s="54">
        <v>93661</v>
      </c>
      <c r="D17" s="54">
        <f t="shared" si="0"/>
        <v>38110</v>
      </c>
      <c r="E17" s="54">
        <v>441145</v>
      </c>
      <c r="F17" s="54">
        <v>302345</v>
      </c>
      <c r="G17" s="54">
        <f t="shared" si="1"/>
        <v>-138800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</row>
    <row r="18" spans="1:163" s="84" customFormat="1" ht="12.75">
      <c r="A18" s="398" t="s">
        <v>288</v>
      </c>
      <c r="B18" s="54">
        <v>131269</v>
      </c>
      <c r="C18" s="54">
        <v>264691</v>
      </c>
      <c r="D18" s="54">
        <f t="shared" si="0"/>
        <v>133422</v>
      </c>
      <c r="E18" s="54">
        <v>240715</v>
      </c>
      <c r="F18" s="54">
        <v>617967</v>
      </c>
      <c r="G18" s="54">
        <f t="shared" si="1"/>
        <v>377252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</row>
    <row r="19" spans="1:163" s="84" customFormat="1" ht="12.75">
      <c r="A19" s="398" t="s">
        <v>289</v>
      </c>
      <c r="B19" s="54">
        <v>820266</v>
      </c>
      <c r="C19" s="54">
        <v>879356</v>
      </c>
      <c r="D19" s="54">
        <f t="shared" si="0"/>
        <v>59090</v>
      </c>
      <c r="E19" s="54">
        <v>844819</v>
      </c>
      <c r="F19" s="54">
        <v>1093129</v>
      </c>
      <c r="G19" s="54">
        <f t="shared" si="1"/>
        <v>248310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</row>
    <row r="20" spans="1:163" s="84" customFormat="1" ht="12.75">
      <c r="A20" s="398" t="s">
        <v>290</v>
      </c>
      <c r="B20" s="54">
        <v>309194</v>
      </c>
      <c r="C20" s="54">
        <v>374483</v>
      </c>
      <c r="D20" s="54">
        <f t="shared" si="0"/>
        <v>65289</v>
      </c>
      <c r="E20" s="54">
        <v>649916</v>
      </c>
      <c r="F20" s="54">
        <v>829985</v>
      </c>
      <c r="G20" s="54">
        <f t="shared" si="1"/>
        <v>180069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</row>
    <row r="21" spans="1:163" s="84" customFormat="1" ht="12.75">
      <c r="A21" s="398" t="s">
        <v>291</v>
      </c>
      <c r="B21" s="54">
        <v>455910</v>
      </c>
      <c r="C21" s="54">
        <v>257975</v>
      </c>
      <c r="D21" s="54">
        <f t="shared" si="0"/>
        <v>-197935</v>
      </c>
      <c r="E21" s="54">
        <v>743885</v>
      </c>
      <c r="F21" s="54">
        <v>642527</v>
      </c>
      <c r="G21" s="54">
        <f t="shared" si="1"/>
        <v>-101358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</row>
    <row r="22" spans="1:163" s="84" customFormat="1" ht="12.75">
      <c r="A22" s="398" t="s">
        <v>292</v>
      </c>
      <c r="B22" s="54">
        <v>207304</v>
      </c>
      <c r="C22" s="54">
        <v>200959</v>
      </c>
      <c r="D22" s="54">
        <f t="shared" si="0"/>
        <v>-6345</v>
      </c>
      <c r="E22" s="54">
        <v>1052531</v>
      </c>
      <c r="F22" s="54">
        <v>1278981</v>
      </c>
      <c r="G22" s="54">
        <f t="shared" si="1"/>
        <v>226450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</row>
    <row r="23" spans="1:163" s="84" customFormat="1" ht="12.75">
      <c r="A23" s="398" t="s">
        <v>293</v>
      </c>
      <c r="B23" s="54">
        <v>314442</v>
      </c>
      <c r="C23" s="54">
        <v>521137</v>
      </c>
      <c r="D23" s="54">
        <f t="shared" si="0"/>
        <v>206695</v>
      </c>
      <c r="E23" s="54">
        <v>727559</v>
      </c>
      <c r="F23" s="54">
        <v>830861</v>
      </c>
      <c r="G23" s="54">
        <f t="shared" si="1"/>
        <v>103302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</row>
    <row r="24" spans="1:163" s="84" customFormat="1" ht="12.75">
      <c r="A24" s="398" t="s">
        <v>294</v>
      </c>
      <c r="B24" s="54">
        <v>160901</v>
      </c>
      <c r="C24" s="54">
        <v>492392</v>
      </c>
      <c r="D24" s="54">
        <f t="shared" si="0"/>
        <v>331491</v>
      </c>
      <c r="E24" s="54">
        <v>738343</v>
      </c>
      <c r="F24" s="54">
        <v>842830</v>
      </c>
      <c r="G24" s="54">
        <f t="shared" si="1"/>
        <v>104487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</row>
    <row r="25" spans="1:163" s="84" customFormat="1" ht="12.75">
      <c r="A25" s="398" t="s">
        <v>295</v>
      </c>
      <c r="B25" s="54">
        <v>355536</v>
      </c>
      <c r="C25" s="54">
        <v>60015</v>
      </c>
      <c r="D25" s="54">
        <f t="shared" si="0"/>
        <v>-295521</v>
      </c>
      <c r="E25" s="54">
        <v>592718</v>
      </c>
      <c r="F25" s="54">
        <v>684158</v>
      </c>
      <c r="G25" s="54">
        <f t="shared" si="1"/>
        <v>91440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</row>
    <row r="26" spans="1:163" s="84" customFormat="1" ht="12.75">
      <c r="A26" s="398" t="s">
        <v>296</v>
      </c>
      <c r="B26" s="54">
        <v>119698</v>
      </c>
      <c r="C26" s="54">
        <v>258463</v>
      </c>
      <c r="D26" s="54">
        <f t="shared" si="0"/>
        <v>138765</v>
      </c>
      <c r="E26" s="54">
        <v>707305</v>
      </c>
      <c r="F26" s="54">
        <v>849614</v>
      </c>
      <c r="G26" s="54">
        <f t="shared" si="1"/>
        <v>142309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</row>
    <row r="27" spans="1:163" s="84" customFormat="1" ht="12.75">
      <c r="A27" s="398" t="s">
        <v>297</v>
      </c>
      <c r="B27" s="54">
        <v>118593</v>
      </c>
      <c r="C27" s="54">
        <v>229752</v>
      </c>
      <c r="D27" s="54">
        <f t="shared" si="0"/>
        <v>111159</v>
      </c>
      <c r="E27" s="54">
        <v>371515</v>
      </c>
      <c r="F27" s="54">
        <v>702347</v>
      </c>
      <c r="G27" s="54">
        <f t="shared" si="1"/>
        <v>330832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</row>
    <row r="28" spans="1:163" s="84" customFormat="1" ht="12.75">
      <c r="A28" s="398" t="s">
        <v>298</v>
      </c>
      <c r="B28" s="54">
        <v>94253</v>
      </c>
      <c r="C28" s="54">
        <v>243730</v>
      </c>
      <c r="D28" s="54">
        <f t="shared" si="0"/>
        <v>149477</v>
      </c>
      <c r="E28" s="54">
        <v>638590</v>
      </c>
      <c r="F28" s="54">
        <v>1175334</v>
      </c>
      <c r="G28" s="54">
        <f t="shared" si="1"/>
        <v>536744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</row>
    <row r="29" spans="1:163" s="84" customFormat="1" ht="12.75">
      <c r="A29" s="398" t="s">
        <v>299</v>
      </c>
      <c r="B29" s="54">
        <v>135103</v>
      </c>
      <c r="C29" s="54">
        <v>185228</v>
      </c>
      <c r="D29" s="54">
        <f t="shared" si="0"/>
        <v>50125</v>
      </c>
      <c r="E29" s="54">
        <v>506331</v>
      </c>
      <c r="F29" s="54">
        <v>382793</v>
      </c>
      <c r="G29" s="54">
        <f t="shared" si="1"/>
        <v>-123538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</row>
    <row r="30" spans="1:163" s="84" customFormat="1" ht="12.75">
      <c r="A30" s="398" t="s">
        <v>300</v>
      </c>
      <c r="B30" s="54">
        <v>181839</v>
      </c>
      <c r="C30" s="54">
        <v>215935</v>
      </c>
      <c r="D30" s="54">
        <f t="shared" si="0"/>
        <v>34096</v>
      </c>
      <c r="E30" s="54">
        <v>461289</v>
      </c>
      <c r="F30" s="54">
        <v>509992</v>
      </c>
      <c r="G30" s="54">
        <f t="shared" si="1"/>
        <v>48703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</row>
    <row r="31" spans="1:163" s="84" customFormat="1" ht="12.75">
      <c r="A31" s="398" t="s">
        <v>301</v>
      </c>
      <c r="B31" s="54">
        <v>529119</v>
      </c>
      <c r="C31" s="54">
        <v>1200758</v>
      </c>
      <c r="D31" s="54">
        <f t="shared" si="0"/>
        <v>671639</v>
      </c>
      <c r="E31" s="54">
        <v>688920</v>
      </c>
      <c r="F31" s="54">
        <v>3344054</v>
      </c>
      <c r="G31" s="54">
        <f t="shared" si="1"/>
        <v>2655134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</row>
    <row r="32" spans="1:163" s="84" customFormat="1" ht="12.75">
      <c r="A32" s="398" t="s">
        <v>302</v>
      </c>
      <c r="B32" s="54">
        <v>211223</v>
      </c>
      <c r="C32" s="54">
        <v>712642</v>
      </c>
      <c r="D32" s="54">
        <f t="shared" si="0"/>
        <v>501419</v>
      </c>
      <c r="E32" s="54">
        <v>696351</v>
      </c>
      <c r="F32" s="54">
        <v>890515</v>
      </c>
      <c r="G32" s="54">
        <f t="shared" si="1"/>
        <v>194164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</row>
    <row r="33" spans="1:163" s="84" customFormat="1" ht="12.75">
      <c r="A33" s="398" t="s">
        <v>303</v>
      </c>
      <c r="B33" s="54">
        <v>81586</v>
      </c>
      <c r="C33" s="54">
        <v>153265</v>
      </c>
      <c r="D33" s="54">
        <f t="shared" si="0"/>
        <v>71679</v>
      </c>
      <c r="E33" s="54">
        <v>262782</v>
      </c>
      <c r="F33" s="54">
        <v>484317</v>
      </c>
      <c r="G33" s="54">
        <f t="shared" si="1"/>
        <v>221535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</row>
    <row r="34" spans="1:163" s="84" customFormat="1" ht="12.75">
      <c r="A34" s="398" t="s">
        <v>304</v>
      </c>
      <c r="B34" s="54">
        <v>1996716</v>
      </c>
      <c r="C34" s="54">
        <v>1961168</v>
      </c>
      <c r="D34" s="54">
        <f t="shared" si="0"/>
        <v>-35548</v>
      </c>
      <c r="E34" s="54">
        <v>3877079</v>
      </c>
      <c r="F34" s="54">
        <v>4027853</v>
      </c>
      <c r="G34" s="54">
        <f t="shared" si="1"/>
        <v>150774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</row>
    <row r="35" spans="1:163" s="84" customFormat="1" ht="12.75">
      <c r="A35" s="398" t="s">
        <v>305</v>
      </c>
      <c r="B35" s="54">
        <v>332288</v>
      </c>
      <c r="C35" s="54">
        <v>395581</v>
      </c>
      <c r="D35" s="54">
        <f t="shared" si="0"/>
        <v>63293</v>
      </c>
      <c r="E35" s="54">
        <v>1329610</v>
      </c>
      <c r="F35" s="54">
        <v>1614793</v>
      </c>
      <c r="G35" s="54">
        <f t="shared" si="1"/>
        <v>285183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</row>
    <row r="36" spans="1:163" s="84" customFormat="1" ht="12.75">
      <c r="A36" s="398" t="s">
        <v>306</v>
      </c>
      <c r="B36" s="54">
        <v>69922</v>
      </c>
      <c r="C36" s="54">
        <v>100865</v>
      </c>
      <c r="D36" s="54">
        <f t="shared" si="0"/>
        <v>30943</v>
      </c>
      <c r="E36" s="54">
        <v>470519</v>
      </c>
      <c r="F36" s="54">
        <v>1127224</v>
      </c>
      <c r="G36" s="54">
        <f t="shared" si="1"/>
        <v>656705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</row>
    <row r="37" spans="1:163" s="84" customFormat="1" ht="12.75">
      <c r="A37" s="398" t="s">
        <v>307</v>
      </c>
      <c r="B37" s="54">
        <v>417458</v>
      </c>
      <c r="C37" s="54">
        <v>436894</v>
      </c>
      <c r="D37" s="54">
        <f t="shared" si="0"/>
        <v>19436</v>
      </c>
      <c r="E37" s="54">
        <v>926025</v>
      </c>
      <c r="F37" s="54">
        <v>1587627</v>
      </c>
      <c r="G37" s="54">
        <f t="shared" si="1"/>
        <v>661602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</row>
    <row r="38" spans="1:163" s="84" customFormat="1" ht="12.75">
      <c r="A38" s="398" t="s">
        <v>308</v>
      </c>
      <c r="B38" s="54">
        <v>773911</v>
      </c>
      <c r="C38" s="54">
        <v>871014</v>
      </c>
      <c r="D38" s="54">
        <f t="shared" si="0"/>
        <v>97103</v>
      </c>
      <c r="E38" s="54">
        <v>1063266</v>
      </c>
      <c r="F38" s="54">
        <v>1075669</v>
      </c>
      <c r="G38" s="54">
        <f t="shared" si="1"/>
        <v>12403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</row>
    <row r="39" spans="1:163" s="84" customFormat="1" ht="12.75">
      <c r="A39" s="398" t="s">
        <v>309</v>
      </c>
      <c r="B39" s="54">
        <v>1407772</v>
      </c>
      <c r="C39" s="54">
        <v>1774922</v>
      </c>
      <c r="D39" s="54">
        <f t="shared" si="0"/>
        <v>367150</v>
      </c>
      <c r="E39" s="54">
        <v>2851827</v>
      </c>
      <c r="F39" s="54">
        <v>2988516</v>
      </c>
      <c r="G39" s="54">
        <f t="shared" si="1"/>
        <v>136689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</row>
    <row r="40" spans="1:163" s="84" customFormat="1" ht="12.75">
      <c r="A40" s="398" t="s">
        <v>310</v>
      </c>
      <c r="B40" s="54">
        <v>71526</v>
      </c>
      <c r="C40" s="54">
        <v>112037</v>
      </c>
      <c r="D40" s="54">
        <f t="shared" si="0"/>
        <v>40511</v>
      </c>
      <c r="E40" s="54">
        <v>253405</v>
      </c>
      <c r="F40" s="54">
        <v>201314</v>
      </c>
      <c r="G40" s="54">
        <f t="shared" si="1"/>
        <v>-52091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</row>
    <row r="41" spans="1:163" s="198" customFormat="1" ht="12.75">
      <c r="A41" s="399" t="s">
        <v>311</v>
      </c>
      <c r="B41" s="59">
        <f aca="true" t="shared" si="2" ref="B41:G41">SUM(B8:B40)</f>
        <v>16902182</v>
      </c>
      <c r="C41" s="59">
        <f t="shared" si="2"/>
        <v>23694443</v>
      </c>
      <c r="D41" s="59">
        <f t="shared" si="2"/>
        <v>6792261</v>
      </c>
      <c r="E41" s="59">
        <f t="shared" si="2"/>
        <v>46027546</v>
      </c>
      <c r="F41" s="59">
        <f t="shared" si="2"/>
        <v>56082592</v>
      </c>
      <c r="G41" s="59">
        <f t="shared" si="2"/>
        <v>10055046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</row>
    <row r="42" spans="1:163" s="84" customFormat="1" ht="12.75">
      <c r="A42" s="398"/>
      <c r="B42" s="398"/>
      <c r="C42" s="398"/>
      <c r="D42" s="39"/>
      <c r="G42" s="39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</row>
    <row r="43" spans="1:163" s="402" customFormat="1" ht="12.75">
      <c r="A43" s="400" t="s">
        <v>312</v>
      </c>
      <c r="B43" s="401">
        <v>9123</v>
      </c>
      <c r="C43" s="401">
        <v>11273</v>
      </c>
      <c r="D43" s="401">
        <f t="shared" si="0"/>
        <v>2150</v>
      </c>
      <c r="E43" s="401">
        <v>1166469</v>
      </c>
      <c r="F43" s="401">
        <v>956351</v>
      </c>
      <c r="G43" s="401">
        <f>F43-E43</f>
        <v>-210118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</row>
    <row r="44" spans="1:163" s="402" customFormat="1" ht="12.75">
      <c r="A44" s="400" t="s">
        <v>313</v>
      </c>
      <c r="B44" s="401">
        <v>100184</v>
      </c>
      <c r="C44" s="401">
        <v>94740</v>
      </c>
      <c r="D44" s="401">
        <f>C44-B44</f>
        <v>-5444</v>
      </c>
      <c r="E44" s="401">
        <v>303883</v>
      </c>
      <c r="F44" s="401">
        <v>209340</v>
      </c>
      <c r="G44" s="401">
        <f>F44-E44</f>
        <v>-94543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</row>
    <row r="45" spans="1:163" s="402" customFormat="1" ht="12.75">
      <c r="A45" s="402" t="s">
        <v>314</v>
      </c>
      <c r="B45" s="401">
        <v>519542</v>
      </c>
      <c r="C45" s="401">
        <v>616977</v>
      </c>
      <c r="D45" s="401">
        <f>C45-B45</f>
        <v>97435</v>
      </c>
      <c r="E45" s="401">
        <v>872320</v>
      </c>
      <c r="F45" s="401">
        <v>3398370</v>
      </c>
      <c r="G45" s="401">
        <f>F45-E45</f>
        <v>2526050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</row>
    <row r="46" spans="1:163" s="402" customFormat="1" ht="12.75">
      <c r="A46" s="403" t="s">
        <v>315</v>
      </c>
      <c r="B46" s="401">
        <v>3591027</v>
      </c>
      <c r="C46" s="401">
        <v>10737282</v>
      </c>
      <c r="D46" s="401">
        <f>C46-B46</f>
        <v>7146255</v>
      </c>
      <c r="E46" s="401">
        <v>2083823</v>
      </c>
      <c r="F46" s="401">
        <v>1400258</v>
      </c>
      <c r="G46" s="401">
        <f>F46-E46</f>
        <v>-683565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</row>
    <row r="47" spans="1:163" s="198" customFormat="1" ht="12.75">
      <c r="A47" s="198" t="s">
        <v>316</v>
      </c>
      <c r="B47" s="54"/>
      <c r="C47" s="54"/>
      <c r="D47" s="54"/>
      <c r="E47" s="54"/>
      <c r="F47" s="54"/>
      <c r="G47" s="5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</row>
    <row r="48" spans="2:163" s="84" customFormat="1" ht="12.75">
      <c r="B48" s="39"/>
      <c r="C48" s="39"/>
      <c r="D48" s="39"/>
      <c r="E48" s="39"/>
      <c r="F48" s="39"/>
      <c r="G48" s="3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</row>
    <row r="49" spans="1:163" s="84" customFormat="1" ht="12.75">
      <c r="A49" s="84" t="s">
        <v>317</v>
      </c>
      <c r="B49" s="39"/>
      <c r="C49" s="39"/>
      <c r="D49" s="39"/>
      <c r="E49" s="39"/>
      <c r="F49" s="39" t="s">
        <v>41</v>
      </c>
      <c r="G49" s="3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2:163" s="84" customFormat="1" ht="12.75">
      <c r="B50" s="39"/>
      <c r="C50" s="39"/>
      <c r="D50" s="39"/>
      <c r="E50" s="39"/>
      <c r="F50" s="39"/>
      <c r="G50" s="39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</row>
    <row r="51" spans="2:163" s="84" customFormat="1" ht="12.75">
      <c r="B51" s="39"/>
      <c r="C51" s="39"/>
      <c r="D51" s="39"/>
      <c r="E51" s="39"/>
      <c r="F51" s="39"/>
      <c r="G51" s="39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1:163" s="84" customFormat="1" ht="12.75">
      <c r="A52" s="84" t="s">
        <v>318</v>
      </c>
      <c r="B52" s="39"/>
      <c r="C52" s="39"/>
      <c r="D52" s="39"/>
      <c r="E52" s="39"/>
      <c r="F52" s="39" t="s">
        <v>43</v>
      </c>
      <c r="G52" s="39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</row>
    <row r="53" spans="2:163" s="84" customFormat="1" ht="12.75">
      <c r="B53" s="39"/>
      <c r="C53" s="39"/>
      <c r="D53" s="39"/>
      <c r="E53" s="39"/>
      <c r="F53" s="39"/>
      <c r="G53" s="39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</row>
    <row r="54" spans="2:163" s="84" customFormat="1" ht="12.75">
      <c r="B54" s="39"/>
      <c r="C54" s="39"/>
      <c r="D54" s="39"/>
      <c r="E54" s="39"/>
      <c r="F54" s="39"/>
      <c r="G54" s="39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</row>
    <row r="55" spans="2:163" s="84" customFormat="1" ht="12.75">
      <c r="B55" s="39"/>
      <c r="C55" s="39"/>
      <c r="D55" s="39"/>
      <c r="E55" s="39"/>
      <c r="F55" s="39"/>
      <c r="G55" s="39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</row>
    <row r="56" spans="2:163" s="84" customFormat="1" ht="12.75">
      <c r="B56" s="39"/>
      <c r="C56" s="39"/>
      <c r="D56" s="39"/>
      <c r="E56" s="39"/>
      <c r="F56" s="39"/>
      <c r="G56" s="39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</row>
    <row r="57" spans="2:163" s="84" customFormat="1" ht="12.75">
      <c r="B57" s="39"/>
      <c r="C57" s="39"/>
      <c r="D57" s="39"/>
      <c r="E57" s="39"/>
      <c r="F57" s="39"/>
      <c r="G57" s="39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</row>
    <row r="58" spans="2:163" s="84" customFormat="1" ht="12.75">
      <c r="B58" s="398"/>
      <c r="C58" s="398"/>
      <c r="D58" s="39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</row>
    <row r="59" spans="2:163" s="84" customFormat="1" ht="12.75">
      <c r="B59" s="398"/>
      <c r="C59" s="398"/>
      <c r="D59" s="398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</row>
    <row r="60" spans="2:163" s="84" customFormat="1" ht="12.75">
      <c r="B60" s="398"/>
      <c r="C60" s="398"/>
      <c r="D60" s="398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</row>
    <row r="61" spans="2:163" s="84" customFormat="1" ht="12.75">
      <c r="B61" s="398"/>
      <c r="C61" s="398"/>
      <c r="D61" s="398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</row>
    <row r="62" spans="2:163" s="84" customFormat="1" ht="12.75">
      <c r="B62" s="398"/>
      <c r="C62" s="398"/>
      <c r="D62" s="398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</row>
    <row r="63" spans="2:163" s="84" customFormat="1" ht="12.75">
      <c r="B63" s="398"/>
      <c r="C63" s="398"/>
      <c r="D63" s="398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</row>
    <row r="64" spans="2:163" s="84" customFormat="1" ht="12.75">
      <c r="B64" s="398"/>
      <c r="C64" s="398"/>
      <c r="D64" s="398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</row>
    <row r="65" spans="2:163" s="84" customFormat="1" ht="12.75">
      <c r="B65" s="398"/>
      <c r="C65" s="398"/>
      <c r="D65" s="398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</row>
    <row r="66" spans="2:163" s="84" customFormat="1" ht="12.75">
      <c r="B66" s="398"/>
      <c r="C66" s="398"/>
      <c r="D66" s="398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</row>
    <row r="67" spans="2:163" s="84" customFormat="1" ht="12.75">
      <c r="B67" s="398"/>
      <c r="C67" s="398"/>
      <c r="D67" s="398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</row>
    <row r="68" spans="2:163" s="84" customFormat="1" ht="12.75">
      <c r="B68" s="398"/>
      <c r="C68" s="398"/>
      <c r="D68" s="39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</row>
    <row r="69" spans="2:163" s="84" customFormat="1" ht="12.75">
      <c r="B69" s="398"/>
      <c r="C69" s="398"/>
      <c r="D69" s="398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</row>
    <row r="70" spans="2:163" s="84" customFormat="1" ht="12.75">
      <c r="B70" s="398"/>
      <c r="C70" s="398"/>
      <c r="D70" s="398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</row>
    <row r="71" spans="2:163" s="84" customFormat="1" ht="12.75">
      <c r="B71" s="398"/>
      <c r="C71" s="398"/>
      <c r="D71" s="398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</row>
    <row r="72" spans="2:163" s="84" customFormat="1" ht="12.75">
      <c r="B72" s="398"/>
      <c r="C72" s="398"/>
      <c r="D72" s="398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</row>
    <row r="73" spans="2:163" s="84" customFormat="1" ht="12.75">
      <c r="B73" s="398"/>
      <c r="C73" s="398"/>
      <c r="D73" s="398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</row>
    <row r="74" spans="2:163" s="84" customFormat="1" ht="12.75">
      <c r="B74" s="398"/>
      <c r="C74" s="398"/>
      <c r="D74" s="398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</row>
    <row r="75" spans="2:163" s="84" customFormat="1" ht="12.75">
      <c r="B75" s="398"/>
      <c r="C75" s="398"/>
      <c r="D75" s="398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</row>
    <row r="76" spans="2:163" s="84" customFormat="1" ht="12.75">
      <c r="B76" s="398"/>
      <c r="C76" s="398"/>
      <c r="D76" s="398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</row>
    <row r="77" spans="2:163" s="84" customFormat="1" ht="12.75">
      <c r="B77" s="398"/>
      <c r="C77" s="398"/>
      <c r="D77" s="398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</row>
    <row r="78" spans="2:163" s="84" customFormat="1" ht="12.75">
      <c r="B78" s="398"/>
      <c r="C78" s="398"/>
      <c r="D78" s="39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</row>
    <row r="79" spans="2:163" s="84" customFormat="1" ht="12.75">
      <c r="B79" s="398"/>
      <c r="C79" s="398"/>
      <c r="D79" s="398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</row>
    <row r="80" spans="2:163" s="84" customFormat="1" ht="12.75">
      <c r="B80" s="398"/>
      <c r="C80" s="398"/>
      <c r="D80" s="398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</row>
    <row r="81" spans="2:163" s="84" customFormat="1" ht="12.75">
      <c r="B81" s="398"/>
      <c r="C81" s="398"/>
      <c r="D81" s="398"/>
      <c r="E81" s="39"/>
      <c r="F81" s="398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</row>
    <row r="82" spans="3:163" s="84" customFormat="1" ht="12.75">
      <c r="C82" s="398"/>
      <c r="D82" s="398"/>
      <c r="E82" s="39"/>
      <c r="F82" s="398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</row>
    <row r="83" spans="3:163" s="84" customFormat="1" ht="12.75">
      <c r="C83" s="398"/>
      <c r="D83" s="398"/>
      <c r="E83" s="39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</row>
    <row r="84" spans="3:163" s="84" customFormat="1" ht="12.75">
      <c r="C84" s="398"/>
      <c r="D84" s="398"/>
      <c r="E84" s="39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</row>
    <row r="85" spans="3:163" s="84" customFormat="1" ht="12.75">
      <c r="C85" s="398"/>
      <c r="D85" s="398"/>
      <c r="E85" s="39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</row>
    <row r="86" spans="3:163" s="84" customFormat="1" ht="12.75">
      <c r="C86" s="398"/>
      <c r="D86" s="398"/>
      <c r="E86" s="39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</row>
    <row r="87" spans="3:163" s="84" customFormat="1" ht="12.75">
      <c r="C87" s="398"/>
      <c r="D87" s="398"/>
      <c r="E87" s="39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</row>
    <row r="88" spans="3:163" s="84" customFormat="1" ht="12.75">
      <c r="C88" s="398"/>
      <c r="D88" s="398"/>
      <c r="E88" s="39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</row>
    <row r="89" spans="3:163" s="84" customFormat="1" ht="12.75">
      <c r="C89" s="398"/>
      <c r="D89" s="398"/>
      <c r="E89" s="3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</row>
    <row r="90" spans="3:163" s="35" customFormat="1" ht="12.75">
      <c r="C90" s="404"/>
      <c r="D90" s="404"/>
      <c r="E90" s="128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</row>
    <row r="91" spans="3:163" s="35" customFormat="1" ht="12.75">
      <c r="C91" s="404"/>
      <c r="D91" s="404"/>
      <c r="E91" s="128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</row>
    <row r="92" spans="3:163" s="35" customFormat="1" ht="12.75">
      <c r="C92" s="404"/>
      <c r="D92" s="404"/>
      <c r="E92" s="128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</row>
    <row r="93" spans="3:163" s="35" customFormat="1" ht="12.75">
      <c r="C93" s="404"/>
      <c r="D93" s="404"/>
      <c r="E93" s="128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</row>
    <row r="94" spans="3:163" s="35" customFormat="1" ht="12.75">
      <c r="C94" s="404"/>
      <c r="D94" s="404"/>
      <c r="E94" s="128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</row>
    <row r="95" spans="3:163" s="35" customFormat="1" ht="12.75">
      <c r="C95" s="404"/>
      <c r="D95" s="404"/>
      <c r="F95" s="128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</row>
    <row r="96" spans="3:163" s="35" customFormat="1" ht="12.75">
      <c r="C96" s="404"/>
      <c r="D96" s="404"/>
      <c r="F96" s="128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</row>
    <row r="97" spans="3:163" s="35" customFormat="1" ht="12.75">
      <c r="C97" s="404"/>
      <c r="D97" s="404"/>
      <c r="F97" s="128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</row>
    <row r="98" spans="3:163" s="35" customFormat="1" ht="12.75">
      <c r="C98" s="404"/>
      <c r="D98" s="404"/>
      <c r="F98" s="12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</row>
    <row r="99" spans="3:163" s="35" customFormat="1" ht="12.75">
      <c r="C99" s="404"/>
      <c r="D99" s="404"/>
      <c r="F99" s="128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</row>
    <row r="100" spans="3:163" s="35" customFormat="1" ht="12.75">
      <c r="C100" s="404"/>
      <c r="D100" s="404"/>
      <c r="F100" s="12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</row>
    <row r="101" spans="3:163" s="35" customFormat="1" ht="12.75">
      <c r="C101" s="404"/>
      <c r="D101" s="404"/>
      <c r="F101" s="12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</row>
    <row r="102" spans="3:163" s="35" customFormat="1" ht="12.75">
      <c r="C102" s="404"/>
      <c r="D102" s="404"/>
      <c r="F102" s="12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</row>
    <row r="103" spans="3:163" s="35" customFormat="1" ht="12.75">
      <c r="C103" s="404"/>
      <c r="D103" s="404"/>
      <c r="F103" s="12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</row>
    <row r="104" spans="3:163" s="35" customFormat="1" ht="12.75">
      <c r="C104" s="404"/>
      <c r="D104" s="404"/>
      <c r="F104" s="12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</row>
    <row r="105" spans="3:163" s="35" customFormat="1" ht="12.75">
      <c r="C105" s="404"/>
      <c r="D105" s="404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</row>
    <row r="106" spans="3:163" s="35" customFormat="1" ht="12.75">
      <c r="C106" s="404"/>
      <c r="D106" s="40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</row>
    <row r="107" spans="3:163" s="35" customFormat="1" ht="12.75">
      <c r="C107" s="404"/>
      <c r="D107" s="404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</row>
    <row r="108" spans="3:163" s="35" customFormat="1" ht="12.75">
      <c r="C108" s="404"/>
      <c r="D108" s="404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</row>
    <row r="109" spans="3:163" s="35" customFormat="1" ht="12.75">
      <c r="C109" s="404"/>
      <c r="D109" s="404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</row>
    <row r="110" spans="3:163" s="35" customFormat="1" ht="12.75">
      <c r="C110" s="404"/>
      <c r="D110" s="404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</row>
    <row r="111" spans="3:163" s="35" customFormat="1" ht="12.75">
      <c r="C111" s="404"/>
      <c r="D111" s="404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</row>
    <row r="112" spans="3:163" s="35" customFormat="1" ht="12.75">
      <c r="C112" s="404"/>
      <c r="D112" s="404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</row>
    <row r="113" spans="3:163" s="35" customFormat="1" ht="12.75">
      <c r="C113" s="404"/>
      <c r="D113" s="404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</row>
    <row r="114" spans="3:163" s="35" customFormat="1" ht="12.75">
      <c r="C114" s="404"/>
      <c r="D114" s="40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</row>
    <row r="115" spans="3:163" s="35" customFormat="1" ht="12.75">
      <c r="C115" s="404"/>
      <c r="D115" s="404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</row>
    <row r="116" spans="3:163" s="35" customFormat="1" ht="12.75">
      <c r="C116" s="404"/>
      <c r="D116" s="404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</row>
    <row r="117" spans="3:163" s="35" customFormat="1" ht="12.75">
      <c r="C117" s="404"/>
      <c r="D117" s="404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</row>
    <row r="118" spans="3:163" s="35" customFormat="1" ht="12.75">
      <c r="C118" s="404"/>
      <c r="D118" s="404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</row>
    <row r="119" spans="3:163" s="35" customFormat="1" ht="12.75">
      <c r="C119" s="404"/>
      <c r="D119" s="40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</row>
    <row r="120" spans="3:163" s="35" customFormat="1" ht="12.75">
      <c r="C120" s="404"/>
      <c r="D120" s="404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</row>
    <row r="121" spans="3:163" s="35" customFormat="1" ht="12.75">
      <c r="C121" s="404"/>
      <c r="D121" s="404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</row>
    <row r="122" spans="3:163" s="35" customFormat="1" ht="12.75">
      <c r="C122" s="404"/>
      <c r="D122" s="404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</row>
    <row r="123" spans="3:163" s="35" customFormat="1" ht="12.75">
      <c r="C123" s="404"/>
      <c r="D123" s="404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</row>
    <row r="124" spans="3:163" s="35" customFormat="1" ht="12.75">
      <c r="C124" s="404"/>
      <c r="D124" s="40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</row>
    <row r="125" spans="3:163" s="35" customFormat="1" ht="12.75">
      <c r="C125" s="404"/>
      <c r="D125" s="404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</row>
    <row r="126" spans="3:163" s="35" customFormat="1" ht="12.75">
      <c r="C126" s="404"/>
      <c r="D126" s="404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</row>
    <row r="127" spans="3:163" s="35" customFormat="1" ht="12.75">
      <c r="C127" s="404"/>
      <c r="D127" s="40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</row>
    <row r="128" spans="3:163" s="35" customFormat="1" ht="12.75">
      <c r="C128" s="404"/>
      <c r="D128" s="404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</row>
    <row r="129" spans="3:163" s="35" customFormat="1" ht="12.75">
      <c r="C129" s="404"/>
      <c r="D129" s="404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</row>
    <row r="130" spans="3:163" s="35" customFormat="1" ht="12.75">
      <c r="C130" s="404"/>
      <c r="D130" s="404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</row>
    <row r="131" spans="3:163" s="35" customFormat="1" ht="12.75">
      <c r="C131" s="404"/>
      <c r="D131" s="404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</row>
    <row r="132" spans="3:163" s="35" customFormat="1" ht="12.75">
      <c r="C132" s="404"/>
      <c r="D132" s="404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</row>
    <row r="133" spans="3:163" s="35" customFormat="1" ht="12.75">
      <c r="C133" s="404"/>
      <c r="D133" s="404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</row>
    <row r="134" spans="3:163" s="35" customFormat="1" ht="12.75">
      <c r="C134" s="404"/>
      <c r="D134" s="40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</row>
    <row r="135" spans="3:163" s="35" customFormat="1" ht="12.75">
      <c r="C135" s="404"/>
      <c r="D135" s="404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</row>
    <row r="136" spans="3:163" s="35" customFormat="1" ht="12.75">
      <c r="C136" s="404"/>
      <c r="D136" s="404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</row>
    <row r="137" spans="3:163" s="35" customFormat="1" ht="12.75">
      <c r="C137" s="404"/>
      <c r="D137" s="404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</row>
    <row r="138" spans="3:163" s="35" customFormat="1" ht="12.75">
      <c r="C138" s="404"/>
      <c r="D138" s="404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</row>
    <row r="139" spans="3:163" s="35" customFormat="1" ht="12.75">
      <c r="C139" s="404"/>
      <c r="D139" s="404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</row>
    <row r="140" spans="3:163" s="35" customFormat="1" ht="12.75">
      <c r="C140" s="404"/>
      <c r="D140" s="404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</row>
    <row r="141" spans="3:163" s="35" customFormat="1" ht="12.75">
      <c r="C141" s="404"/>
      <c r="D141" s="40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</row>
    <row r="142" spans="3:163" s="35" customFormat="1" ht="12.75">
      <c r="C142" s="404"/>
      <c r="D142" s="404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</row>
    <row r="143" spans="3:163" s="35" customFormat="1" ht="12.75">
      <c r="C143" s="404"/>
      <c r="D143" s="40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</row>
    <row r="144" spans="3:163" s="35" customFormat="1" ht="12.75">
      <c r="C144" s="404"/>
      <c r="D144" s="40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</row>
    <row r="145" spans="3:4" ht="12.75">
      <c r="C145" s="405"/>
      <c r="D145" s="405"/>
    </row>
    <row r="146" spans="3:4" ht="12.75">
      <c r="C146" s="405"/>
      <c r="D146" s="405"/>
    </row>
    <row r="147" spans="3:4" ht="12.75">
      <c r="C147" s="405"/>
      <c r="D147" s="405"/>
    </row>
    <row r="148" spans="3:4" ht="12.75">
      <c r="C148" s="405"/>
      <c r="D148" s="405"/>
    </row>
    <row r="149" spans="3:4" ht="12.75">
      <c r="C149" s="405"/>
      <c r="D149" s="405"/>
    </row>
    <row r="150" spans="3:4" ht="12.75">
      <c r="C150" s="405"/>
      <c r="D150" s="405"/>
    </row>
    <row r="151" spans="3:4" ht="12.75">
      <c r="C151" s="405"/>
      <c r="D151" s="405"/>
    </row>
    <row r="152" spans="3:4" ht="12.75">
      <c r="C152" s="405"/>
      <c r="D152" s="405"/>
    </row>
    <row r="153" spans="3:4" ht="12.75">
      <c r="C153" s="405"/>
      <c r="D153" s="405"/>
    </row>
    <row r="154" spans="3:4" ht="12.75">
      <c r="C154" s="405"/>
      <c r="D154" s="405"/>
    </row>
    <row r="155" spans="3:4" ht="12.75">
      <c r="C155" s="405"/>
      <c r="D155" s="405"/>
    </row>
    <row r="156" spans="3:4" ht="12.75">
      <c r="C156" s="405"/>
      <c r="D156" s="405"/>
    </row>
    <row r="157" spans="3:4" ht="12.75">
      <c r="C157" s="405"/>
      <c r="D157" s="405"/>
    </row>
    <row r="158" spans="3:4" ht="12.75">
      <c r="C158" s="405"/>
      <c r="D158" s="405"/>
    </row>
    <row r="159" spans="3:4" ht="12.75">
      <c r="C159" s="405"/>
      <c r="D159" s="405"/>
    </row>
    <row r="160" spans="3:4" ht="12.75">
      <c r="C160" s="405"/>
      <c r="D160" s="405"/>
    </row>
    <row r="161" spans="3:4" ht="12.75">
      <c r="C161" s="405"/>
      <c r="D161" s="405"/>
    </row>
    <row r="162" spans="3:4" ht="12.75">
      <c r="C162" s="405"/>
      <c r="D162" s="405"/>
    </row>
    <row r="163" spans="3:4" ht="12.75">
      <c r="C163" s="405"/>
      <c r="D163" s="405"/>
    </row>
    <row r="164" spans="3:4" ht="12.75">
      <c r="C164" s="405"/>
      <c r="D164" s="405"/>
    </row>
    <row r="165" spans="3:4" ht="12.75">
      <c r="C165" s="405"/>
      <c r="D165" s="405"/>
    </row>
    <row r="166" spans="3:4" ht="12.75">
      <c r="C166" s="405"/>
      <c r="D166" s="405"/>
    </row>
    <row r="167" spans="3:4" ht="12.75">
      <c r="C167" s="405"/>
      <c r="D167" s="405"/>
    </row>
    <row r="168" spans="3:4" ht="12.75">
      <c r="C168" s="405"/>
      <c r="D168" s="405"/>
    </row>
    <row r="169" spans="3:4" ht="12.75">
      <c r="C169" s="405"/>
      <c r="D169" s="405"/>
    </row>
    <row r="170" spans="3:4" ht="12.75">
      <c r="C170" s="405"/>
      <c r="D170" s="405"/>
    </row>
    <row r="171" spans="3:4" ht="12.75">
      <c r="C171" s="405"/>
      <c r="D171" s="405"/>
    </row>
    <row r="172" spans="3:4" ht="12.75">
      <c r="C172" s="405"/>
      <c r="D172" s="405"/>
    </row>
    <row r="173" spans="3:4" ht="12.75">
      <c r="C173" s="405"/>
      <c r="D173" s="405"/>
    </row>
    <row r="174" spans="3:4" ht="12.75">
      <c r="C174" s="405"/>
      <c r="D174" s="405"/>
    </row>
    <row r="175" spans="3:4" ht="12.75">
      <c r="C175" s="405"/>
      <c r="D175" s="405"/>
    </row>
    <row r="176" spans="3:4" ht="12.75">
      <c r="C176" s="405"/>
      <c r="D176" s="405"/>
    </row>
    <row r="177" spans="3:4" ht="12.75">
      <c r="C177" s="405"/>
      <c r="D177" s="405"/>
    </row>
    <row r="178" spans="3:4" ht="12.75">
      <c r="C178" s="405"/>
      <c r="D178" s="405"/>
    </row>
    <row r="179" spans="3:4" ht="12.75">
      <c r="C179" s="405"/>
      <c r="D179" s="405"/>
    </row>
    <row r="180" spans="3:4" ht="12.75">
      <c r="C180" s="405"/>
      <c r="D180" s="405"/>
    </row>
    <row r="181" spans="3:4" ht="12.75">
      <c r="C181" s="405"/>
      <c r="D181" s="405"/>
    </row>
    <row r="182" spans="3:4" ht="12.75">
      <c r="C182" s="405"/>
      <c r="D182" s="405"/>
    </row>
    <row r="183" spans="3:4" ht="12.75">
      <c r="C183" s="405"/>
      <c r="D183" s="405"/>
    </row>
    <row r="184" spans="3:4" ht="12.75">
      <c r="C184" s="405"/>
      <c r="D184" s="405"/>
    </row>
    <row r="185" spans="3:4" ht="12.75">
      <c r="C185" s="405"/>
      <c r="D185" s="405"/>
    </row>
    <row r="186" spans="3:4" ht="12.75">
      <c r="C186" s="405"/>
      <c r="D186" s="405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7" sqref="A7"/>
    </sheetView>
  </sheetViews>
  <sheetFormatPr defaultColWidth="9.140625" defaultRowHeight="12.75"/>
  <cols>
    <col min="1" max="1" width="50.00390625" style="35" customWidth="1"/>
    <col min="2" max="2" width="12.28125" style="35" customWidth="1"/>
    <col min="3" max="3" width="12.7109375" style="35" customWidth="1"/>
    <col min="4" max="4" width="12.57421875" style="35" customWidth="1"/>
    <col min="5" max="16384" width="9.140625" style="35" customWidth="1"/>
  </cols>
  <sheetData>
    <row r="1" spans="1:4" s="204" customFormat="1" ht="15.75">
      <c r="A1" s="202" t="s">
        <v>125</v>
      </c>
      <c r="B1" s="202"/>
      <c r="C1" s="202"/>
      <c r="D1" s="203"/>
    </row>
    <row r="2" spans="1:4" ht="12.75">
      <c r="A2" s="205"/>
      <c r="B2" s="205"/>
      <c r="C2" s="205"/>
      <c r="D2" s="206"/>
    </row>
    <row r="3" ht="12.75">
      <c r="D3" s="109" t="s">
        <v>1437</v>
      </c>
    </row>
    <row r="4" spans="1:4" s="209" customFormat="1" ht="57" customHeight="1">
      <c r="A4" s="207" t="s">
        <v>1852</v>
      </c>
      <c r="B4" s="208" t="s">
        <v>126</v>
      </c>
      <c r="C4" s="208" t="s">
        <v>127</v>
      </c>
      <c r="D4" s="208" t="s">
        <v>128</v>
      </c>
    </row>
    <row r="5" spans="1:4" ht="15.75" customHeight="1">
      <c r="A5" s="210" t="s">
        <v>129</v>
      </c>
      <c r="B5" s="211">
        <f>SUM(B6+B17)</f>
        <v>180762200</v>
      </c>
      <c r="C5" s="211">
        <f>SUM(C6+C17)</f>
        <v>173386785</v>
      </c>
      <c r="D5" s="211">
        <f>SUM(D6+D17)</f>
        <v>141047623</v>
      </c>
    </row>
    <row r="6" spans="1:4" ht="15.75" customHeight="1">
      <c r="A6" s="212" t="s">
        <v>130</v>
      </c>
      <c r="B6" s="213">
        <f>SUM(B7+B12+B15)</f>
        <v>171665200</v>
      </c>
      <c r="C6" s="213">
        <f>SUM(C7+C12+C15)</f>
        <v>173386785</v>
      </c>
      <c r="D6" s="213">
        <f>SUM(D7+D12+D15)</f>
        <v>141047623</v>
      </c>
    </row>
    <row r="7" spans="1:4" ht="15.75" customHeight="1">
      <c r="A7" s="214" t="s">
        <v>131</v>
      </c>
      <c r="B7" s="213">
        <f>SUM(B8:B11)</f>
        <v>121130866</v>
      </c>
      <c r="C7" s="213">
        <f>SUM(C8:C11)</f>
        <v>115260605</v>
      </c>
      <c r="D7" s="213">
        <f>SUM(D8:D11)</f>
        <v>55554637</v>
      </c>
    </row>
    <row r="8" spans="1:4" ht="15.75" customHeight="1">
      <c r="A8" s="214" t="s">
        <v>132</v>
      </c>
      <c r="B8" s="215">
        <v>121130866</v>
      </c>
      <c r="C8" s="215">
        <v>115260605</v>
      </c>
      <c r="D8" s="215">
        <v>55554637</v>
      </c>
    </row>
    <row r="9" spans="1:4" ht="15.75" customHeight="1">
      <c r="A9" s="214" t="s">
        <v>133</v>
      </c>
      <c r="B9" s="215">
        <v>0</v>
      </c>
      <c r="C9" s="215">
        <v>0</v>
      </c>
      <c r="D9" s="215">
        <v>0</v>
      </c>
    </row>
    <row r="10" spans="1:4" ht="15.75" customHeight="1">
      <c r="A10" s="214" t="s">
        <v>134</v>
      </c>
      <c r="B10" s="215">
        <v>0</v>
      </c>
      <c r="C10" s="215">
        <v>0</v>
      </c>
      <c r="D10" s="215">
        <v>0</v>
      </c>
    </row>
    <row r="11" spans="1:4" ht="15.75" customHeight="1">
      <c r="A11" s="214" t="s">
        <v>135</v>
      </c>
      <c r="B11" s="215">
        <v>0</v>
      </c>
      <c r="C11" s="215">
        <v>0</v>
      </c>
      <c r="D11" s="215">
        <v>0</v>
      </c>
    </row>
    <row r="12" spans="1:4" ht="15.75" customHeight="1">
      <c r="A12" s="212" t="s">
        <v>136</v>
      </c>
      <c r="B12" s="213">
        <f>SUM(B13:B14)</f>
        <v>0</v>
      </c>
      <c r="C12" s="213">
        <f>SUM(C13:C14)</f>
        <v>33984012</v>
      </c>
      <c r="D12" s="213">
        <f>SUM(D13:D14)</f>
        <v>67351392</v>
      </c>
    </row>
    <row r="13" spans="1:4" ht="15.75" customHeight="1">
      <c r="A13" s="214" t="s">
        <v>137</v>
      </c>
      <c r="B13" s="215">
        <v>0</v>
      </c>
      <c r="C13" s="215">
        <v>0</v>
      </c>
      <c r="D13" s="215">
        <v>0</v>
      </c>
    </row>
    <row r="14" spans="1:4" ht="15.75" customHeight="1">
      <c r="A14" s="214" t="s">
        <v>138</v>
      </c>
      <c r="B14" s="215">
        <v>0</v>
      </c>
      <c r="C14" s="215">
        <v>33984012</v>
      </c>
      <c r="D14" s="215">
        <v>67351392</v>
      </c>
    </row>
    <row r="15" spans="1:4" ht="15.75" customHeight="1">
      <c r="A15" s="212" t="s">
        <v>139</v>
      </c>
      <c r="B15" s="213">
        <f>SUM(B16)</f>
        <v>50534334</v>
      </c>
      <c r="C15" s="213">
        <f>SUM(C16)</f>
        <v>24142168</v>
      </c>
      <c r="D15" s="213">
        <f>SUM(D16)</f>
        <v>18141594</v>
      </c>
    </row>
    <row r="16" spans="1:4" ht="15.75" customHeight="1">
      <c r="A16" s="214" t="s">
        <v>140</v>
      </c>
      <c r="B16" s="215">
        <v>50534334</v>
      </c>
      <c r="C16" s="215">
        <v>24142168</v>
      </c>
      <c r="D16" s="215">
        <v>18141594</v>
      </c>
    </row>
    <row r="17" spans="1:4" ht="15.75" customHeight="1">
      <c r="A17" s="212" t="s">
        <v>141</v>
      </c>
      <c r="B17" s="213">
        <f>SUM(B18)</f>
        <v>9097000</v>
      </c>
      <c r="C17" s="213">
        <f>SUM(C18)</f>
        <v>0</v>
      </c>
      <c r="D17" s="213">
        <f>SUM(D18)</f>
        <v>0</v>
      </c>
    </row>
    <row r="18" spans="1:4" ht="15.75" customHeight="1">
      <c r="A18" s="214" t="s">
        <v>142</v>
      </c>
      <c r="B18" s="213">
        <v>9097000</v>
      </c>
      <c r="C18" s="213">
        <v>0</v>
      </c>
      <c r="D18" s="213">
        <v>0</v>
      </c>
    </row>
    <row r="19" spans="1:4" ht="15.75" customHeight="1">
      <c r="A19" s="214" t="s">
        <v>143</v>
      </c>
      <c r="B19" s="213">
        <v>0</v>
      </c>
      <c r="C19" s="213">
        <v>0</v>
      </c>
      <c r="D19" s="213">
        <v>0</v>
      </c>
    </row>
    <row r="20" spans="1:4" ht="15.75" customHeight="1">
      <c r="A20" s="210" t="s">
        <v>144</v>
      </c>
      <c r="B20" s="211">
        <v>227360949</v>
      </c>
      <c r="C20" s="211">
        <v>218441487</v>
      </c>
      <c r="D20" s="211">
        <f>D22</f>
        <v>231559671</v>
      </c>
    </row>
    <row r="21" spans="1:4" ht="15.75" customHeight="1">
      <c r="A21" s="212" t="s">
        <v>145</v>
      </c>
      <c r="B21" s="213">
        <v>0</v>
      </c>
      <c r="C21" s="213">
        <v>0</v>
      </c>
      <c r="D21" s="213">
        <v>0</v>
      </c>
    </row>
    <row r="22" spans="1:4" ht="15.75" customHeight="1">
      <c r="A22" s="214" t="s">
        <v>146</v>
      </c>
      <c r="B22" s="213">
        <v>227360949</v>
      </c>
      <c r="C22" s="213">
        <v>218441487</v>
      </c>
      <c r="D22" s="213">
        <f>D24</f>
        <v>231559671</v>
      </c>
    </row>
    <row r="23" spans="1:4" ht="15.75" customHeight="1">
      <c r="A23" s="214" t="s">
        <v>147</v>
      </c>
      <c r="B23" s="213">
        <v>0</v>
      </c>
      <c r="C23" s="213">
        <v>0</v>
      </c>
      <c r="D23" s="213">
        <v>0</v>
      </c>
    </row>
    <row r="24" spans="1:4" ht="15.75" customHeight="1">
      <c r="A24" s="214" t="s">
        <v>148</v>
      </c>
      <c r="B24" s="213">
        <v>227360949</v>
      </c>
      <c r="C24" s="213">
        <v>218441487</v>
      </c>
      <c r="D24" s="213">
        <v>231559671</v>
      </c>
    </row>
    <row r="25" spans="1:4" ht="15">
      <c r="A25" s="216" t="s">
        <v>149</v>
      </c>
      <c r="B25" s="217">
        <f>SUM(B20+B5)</f>
        <v>408123149</v>
      </c>
      <c r="C25" s="217">
        <f>SUM(C20+C5)</f>
        <v>391828272</v>
      </c>
      <c r="D25" s="217">
        <f>SUM(D20+D5)</f>
        <v>372607294</v>
      </c>
    </row>
    <row r="26" spans="1:4" ht="12.75">
      <c r="A26" s="218"/>
      <c r="B26" s="84"/>
      <c r="C26" s="84"/>
      <c r="D26" s="84"/>
    </row>
    <row r="29" spans="1:3" ht="12.75">
      <c r="A29" s="35" t="s">
        <v>40</v>
      </c>
      <c r="C29" s="219" t="s">
        <v>150</v>
      </c>
    </row>
    <row r="30" spans="1:4" ht="12.75">
      <c r="A30" s="84"/>
      <c r="B30" s="84"/>
      <c r="C30" s="84"/>
      <c r="D30" s="219"/>
    </row>
    <row r="31" spans="1:4" ht="12.75">
      <c r="A31" s="84"/>
      <c r="B31" s="219"/>
      <c r="C31" s="84"/>
      <c r="D31" s="219"/>
    </row>
    <row r="32" ht="12.75">
      <c r="D32" s="219"/>
    </row>
    <row r="33" ht="12.75">
      <c r="D33" s="219"/>
    </row>
    <row r="34" spans="1:3" ht="12.75">
      <c r="A34" s="35" t="s">
        <v>42</v>
      </c>
      <c r="C34" s="109" t="s">
        <v>151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4"/>
  <sheetViews>
    <sheetView workbookViewId="0" topLeftCell="A162">
      <selection activeCell="B174" sqref="B174"/>
    </sheetView>
  </sheetViews>
  <sheetFormatPr defaultColWidth="9.140625" defaultRowHeight="12.75"/>
  <cols>
    <col min="1" max="1" width="7.00390625" style="87" customWidth="1"/>
    <col min="2" max="2" width="33.28125" style="82" customWidth="1"/>
    <col min="3" max="3" width="34.140625" style="97" bestFit="1" customWidth="1"/>
    <col min="4" max="4" width="12.421875" style="88" customWidth="1"/>
    <col min="5" max="16384" width="9.140625" style="82" customWidth="1"/>
  </cols>
  <sheetData>
    <row r="1" spans="1:5" ht="15.75">
      <c r="A1" s="665" t="s">
        <v>1116</v>
      </c>
      <c r="B1" s="665"/>
      <c r="C1" s="665"/>
      <c r="D1" s="666"/>
      <c r="E1" s="102"/>
    </row>
    <row r="2" spans="1:5" ht="15.75">
      <c r="A2" s="665" t="s">
        <v>1117</v>
      </c>
      <c r="B2" s="665"/>
      <c r="C2" s="665"/>
      <c r="D2" s="666"/>
      <c r="E2" s="102"/>
    </row>
    <row r="3" spans="1:4" ht="12.75">
      <c r="A3" s="37"/>
      <c r="B3" s="38"/>
      <c r="C3" s="95"/>
      <c r="D3" s="39" t="s">
        <v>1118</v>
      </c>
    </row>
    <row r="4" spans="1:4" ht="24.75" customHeight="1">
      <c r="A4" s="92" t="s">
        <v>1119</v>
      </c>
      <c r="B4" s="92" t="s">
        <v>1120</v>
      </c>
      <c r="C4" s="101" t="s">
        <v>1121</v>
      </c>
      <c r="D4" s="93" t="s">
        <v>1122</v>
      </c>
    </row>
    <row r="5" spans="1:4" ht="18" customHeight="1">
      <c r="A5" s="89" t="s">
        <v>1491</v>
      </c>
      <c r="B5" s="83" t="s">
        <v>1123</v>
      </c>
      <c r="C5" s="94" t="s">
        <v>1124</v>
      </c>
      <c r="D5" s="40">
        <f>15305+1000</f>
        <v>16305</v>
      </c>
    </row>
    <row r="6" spans="1:4" ht="18" customHeight="1">
      <c r="A6" s="90" t="s">
        <v>1492</v>
      </c>
      <c r="B6" s="84" t="s">
        <v>1125</v>
      </c>
      <c r="C6" s="95" t="s">
        <v>1126</v>
      </c>
      <c r="D6" s="39">
        <v>18000</v>
      </c>
    </row>
    <row r="7" spans="1:4" ht="18" customHeight="1">
      <c r="A7" s="90" t="s">
        <v>1493</v>
      </c>
      <c r="B7" s="84" t="s">
        <v>1127</v>
      </c>
      <c r="C7" s="95" t="s">
        <v>1128</v>
      </c>
      <c r="D7" s="39">
        <v>3000</v>
      </c>
    </row>
    <row r="8" spans="1:4" ht="18" customHeight="1">
      <c r="A8" s="90" t="s">
        <v>1494</v>
      </c>
      <c r="B8" s="84" t="s">
        <v>1129</v>
      </c>
      <c r="C8" s="95" t="s">
        <v>1130</v>
      </c>
      <c r="D8" s="39">
        <f>5500+13000</f>
        <v>18500</v>
      </c>
    </row>
    <row r="9" spans="1:4" ht="18" customHeight="1">
      <c r="A9" s="90" t="s">
        <v>1495</v>
      </c>
      <c r="B9" s="85" t="s">
        <v>1131</v>
      </c>
      <c r="C9" s="95" t="s">
        <v>1132</v>
      </c>
      <c r="D9" s="39">
        <v>2000000</v>
      </c>
    </row>
    <row r="10" spans="1:4" ht="18" customHeight="1">
      <c r="A10" s="90" t="s">
        <v>1496</v>
      </c>
      <c r="B10" s="84" t="s">
        <v>1133</v>
      </c>
      <c r="C10" s="95" t="s">
        <v>1134</v>
      </c>
      <c r="D10" s="39">
        <v>7000</v>
      </c>
    </row>
    <row r="11" spans="1:4" ht="18" customHeight="1">
      <c r="A11" s="90" t="s">
        <v>1497</v>
      </c>
      <c r="B11" s="39" t="s">
        <v>1135</v>
      </c>
      <c r="C11" s="95" t="s">
        <v>1136</v>
      </c>
      <c r="D11" s="39">
        <f>99820+20000</f>
        <v>119820</v>
      </c>
    </row>
    <row r="12" spans="1:4" ht="18" customHeight="1">
      <c r="A12" s="90" t="s">
        <v>1498</v>
      </c>
      <c r="B12" s="84" t="s">
        <v>1137</v>
      </c>
      <c r="C12" s="95" t="s">
        <v>1138</v>
      </c>
      <c r="D12" s="39">
        <f>550000+100000</f>
        <v>650000</v>
      </c>
    </row>
    <row r="13" spans="1:4" ht="18" customHeight="1">
      <c r="A13" s="90" t="s">
        <v>1499</v>
      </c>
      <c r="B13" s="84" t="s">
        <v>1139</v>
      </c>
      <c r="C13" s="95" t="s">
        <v>1140</v>
      </c>
      <c r="D13" s="39">
        <f>150050+4150</f>
        <v>154200</v>
      </c>
    </row>
    <row r="14" spans="1:4" ht="18" customHeight="1">
      <c r="A14" s="90" t="s">
        <v>1500</v>
      </c>
      <c r="B14" s="84" t="s">
        <v>1141</v>
      </c>
      <c r="C14" s="95" t="s">
        <v>1142</v>
      </c>
      <c r="D14" s="39">
        <v>2500</v>
      </c>
    </row>
    <row r="15" spans="1:4" ht="18" customHeight="1">
      <c r="A15" s="90" t="s">
        <v>1501</v>
      </c>
      <c r="B15" s="84" t="s">
        <v>1143</v>
      </c>
      <c r="C15" s="95" t="s">
        <v>1144</v>
      </c>
      <c r="D15" s="39">
        <f>35000+105000+23000</f>
        <v>163000</v>
      </c>
    </row>
    <row r="16" spans="1:4" ht="18" customHeight="1">
      <c r="A16" s="90" t="s">
        <v>1502</v>
      </c>
      <c r="B16" s="84" t="s">
        <v>1145</v>
      </c>
      <c r="C16" s="95" t="s">
        <v>1146</v>
      </c>
      <c r="D16" s="39">
        <v>20000</v>
      </c>
    </row>
    <row r="17" spans="1:4" ht="18" customHeight="1">
      <c r="A17" s="90" t="s">
        <v>1503</v>
      </c>
      <c r="B17" s="39" t="s">
        <v>1147</v>
      </c>
      <c r="C17" s="95" t="s">
        <v>1148</v>
      </c>
      <c r="D17" s="39">
        <f>54000+364000</f>
        <v>418000</v>
      </c>
    </row>
    <row r="18" spans="1:4" ht="18" customHeight="1">
      <c r="A18" s="90" t="s">
        <v>1504</v>
      </c>
      <c r="B18" s="84" t="s">
        <v>1149</v>
      </c>
      <c r="C18" s="95" t="s">
        <v>1150</v>
      </c>
      <c r="D18" s="39">
        <v>4000</v>
      </c>
    </row>
    <row r="19" spans="1:4" ht="18" customHeight="1">
      <c r="A19" s="90" t="s">
        <v>1505</v>
      </c>
      <c r="B19" s="84" t="s">
        <v>1151</v>
      </c>
      <c r="C19" s="95" t="s">
        <v>1152</v>
      </c>
      <c r="D19" s="42">
        <v>13200</v>
      </c>
    </row>
    <row r="20" spans="1:4" ht="18" customHeight="1">
      <c r="A20" s="90" t="s">
        <v>1506</v>
      </c>
      <c r="B20" s="84" t="s">
        <v>1153</v>
      </c>
      <c r="C20" s="95" t="s">
        <v>1152</v>
      </c>
      <c r="D20" s="39">
        <v>30000</v>
      </c>
    </row>
    <row r="21" spans="1:4" ht="18" customHeight="1">
      <c r="A21" s="90" t="s">
        <v>1507</v>
      </c>
      <c r="B21" s="84" t="s">
        <v>1154</v>
      </c>
      <c r="C21" s="95" t="s">
        <v>1155</v>
      </c>
      <c r="D21" s="39">
        <v>4370</v>
      </c>
    </row>
    <row r="22" spans="1:4" ht="18" customHeight="1">
      <c r="A22" s="90" t="s">
        <v>1508</v>
      </c>
      <c r="B22" s="84" t="s">
        <v>1156</v>
      </c>
      <c r="C22" s="95" t="s">
        <v>1155</v>
      </c>
      <c r="D22" s="39">
        <v>22000</v>
      </c>
    </row>
    <row r="23" spans="1:4" ht="18" customHeight="1">
      <c r="A23" s="90" t="s">
        <v>1509</v>
      </c>
      <c r="B23" s="84" t="s">
        <v>1157</v>
      </c>
      <c r="C23" s="95" t="s">
        <v>1158</v>
      </c>
      <c r="D23" s="39">
        <f>300000+470000</f>
        <v>770000</v>
      </c>
    </row>
    <row r="24" spans="1:4" ht="18" customHeight="1">
      <c r="A24" s="90" t="s">
        <v>1510</v>
      </c>
      <c r="B24" s="84" t="s">
        <v>1159</v>
      </c>
      <c r="C24" s="95" t="s">
        <v>1155</v>
      </c>
      <c r="D24" s="39">
        <v>52000</v>
      </c>
    </row>
    <row r="25" spans="1:4" ht="18" customHeight="1">
      <c r="A25" s="90" t="s">
        <v>1511</v>
      </c>
      <c r="B25" s="84" t="s">
        <v>1160</v>
      </c>
      <c r="C25" s="95" t="s">
        <v>1161</v>
      </c>
      <c r="D25" s="39">
        <v>26891</v>
      </c>
    </row>
    <row r="26" spans="1:4" ht="18" customHeight="1">
      <c r="A26" s="90" t="s">
        <v>1512</v>
      </c>
      <c r="B26" s="84" t="s">
        <v>1162</v>
      </c>
      <c r="C26" s="95" t="s">
        <v>1155</v>
      </c>
      <c r="D26" s="39">
        <v>4500</v>
      </c>
    </row>
    <row r="27" spans="1:4" ht="18" customHeight="1">
      <c r="A27" s="90" t="s">
        <v>1513</v>
      </c>
      <c r="B27" s="84" t="s">
        <v>1163</v>
      </c>
      <c r="C27" s="95" t="s">
        <v>1164</v>
      </c>
      <c r="D27" s="39">
        <f>1300000+150000</f>
        <v>1450000</v>
      </c>
    </row>
    <row r="28" spans="1:4" ht="18" customHeight="1">
      <c r="A28" s="90" t="s">
        <v>1514</v>
      </c>
      <c r="B28" s="84" t="s">
        <v>1165</v>
      </c>
      <c r="C28" s="95" t="s">
        <v>1166</v>
      </c>
      <c r="D28" s="39">
        <f>65000+250000</f>
        <v>315000</v>
      </c>
    </row>
    <row r="29" spans="1:4" ht="18" customHeight="1">
      <c r="A29" s="90" t="s">
        <v>1515</v>
      </c>
      <c r="B29" s="84" t="s">
        <v>1167</v>
      </c>
      <c r="C29" s="95" t="s">
        <v>1168</v>
      </c>
      <c r="D29" s="39">
        <v>9000</v>
      </c>
    </row>
    <row r="30" spans="1:4" ht="18" customHeight="1">
      <c r="A30" s="90" t="s">
        <v>1516</v>
      </c>
      <c r="B30" s="84" t="s">
        <v>1169</v>
      </c>
      <c r="C30" s="95" t="s">
        <v>1155</v>
      </c>
      <c r="D30" s="39">
        <v>10000</v>
      </c>
    </row>
    <row r="31" spans="1:4" ht="18" customHeight="1">
      <c r="A31" s="90" t="s">
        <v>1517</v>
      </c>
      <c r="B31" s="39" t="s">
        <v>1170</v>
      </c>
      <c r="C31" s="95" t="s">
        <v>1171</v>
      </c>
      <c r="D31" s="39">
        <f>228000+50000</f>
        <v>278000</v>
      </c>
    </row>
    <row r="32" spans="1:4" ht="18" customHeight="1">
      <c r="A32" s="90" t="s">
        <v>1518</v>
      </c>
      <c r="B32" s="84" t="s">
        <v>1172</v>
      </c>
      <c r="C32" s="95" t="s">
        <v>1173</v>
      </c>
      <c r="D32" s="39">
        <f>184196+130000</f>
        <v>314196</v>
      </c>
    </row>
    <row r="33" spans="1:4" ht="18" customHeight="1">
      <c r="A33" s="90" t="s">
        <v>1519</v>
      </c>
      <c r="B33" s="39" t="s">
        <v>1174</v>
      </c>
      <c r="C33" s="95" t="s">
        <v>1175</v>
      </c>
      <c r="D33" s="39">
        <f>114000+35750+30000</f>
        <v>179750</v>
      </c>
    </row>
    <row r="34" spans="1:4" ht="18" customHeight="1">
      <c r="A34" s="90" t="s">
        <v>1520</v>
      </c>
      <c r="B34" s="84" t="s">
        <v>1176</v>
      </c>
      <c r="C34" s="95" t="s">
        <v>1177</v>
      </c>
      <c r="D34" s="39">
        <v>12500</v>
      </c>
    </row>
    <row r="35" spans="1:4" ht="18" customHeight="1">
      <c r="A35" s="90" t="s">
        <v>1521</v>
      </c>
      <c r="B35" s="84" t="s">
        <v>1178</v>
      </c>
      <c r="C35" s="95" t="s">
        <v>1177</v>
      </c>
      <c r="D35" s="39">
        <v>50000</v>
      </c>
    </row>
    <row r="36" spans="1:4" ht="18" customHeight="1">
      <c r="A36" s="90" t="s">
        <v>1522</v>
      </c>
      <c r="B36" s="84" t="s">
        <v>1179</v>
      </c>
      <c r="C36" s="95" t="s">
        <v>1180</v>
      </c>
      <c r="D36" s="39">
        <v>2000</v>
      </c>
    </row>
    <row r="37" spans="1:4" ht="18" customHeight="1">
      <c r="A37" s="90" t="s">
        <v>1523</v>
      </c>
      <c r="B37" s="84" t="s">
        <v>1181</v>
      </c>
      <c r="C37" s="95" t="s">
        <v>1182</v>
      </c>
      <c r="D37" s="39">
        <f>14000+30000</f>
        <v>44000</v>
      </c>
    </row>
    <row r="38" spans="1:4" ht="18" customHeight="1">
      <c r="A38" s="90" t="s">
        <v>1524</v>
      </c>
      <c r="B38" s="84" t="s">
        <v>1183</v>
      </c>
      <c r="C38" s="95" t="s">
        <v>1184</v>
      </c>
      <c r="D38" s="39">
        <v>7990</v>
      </c>
    </row>
    <row r="39" spans="1:4" ht="18" customHeight="1">
      <c r="A39" s="90" t="s">
        <v>1525</v>
      </c>
      <c r="B39" s="84" t="s">
        <v>1185</v>
      </c>
      <c r="C39" s="95" t="s">
        <v>1186</v>
      </c>
      <c r="D39" s="39">
        <v>12000</v>
      </c>
    </row>
    <row r="40" spans="1:4" ht="18" customHeight="1">
      <c r="A40" s="90" t="s">
        <v>1526</v>
      </c>
      <c r="B40" s="84" t="s">
        <v>1187</v>
      </c>
      <c r="C40" s="95" t="s">
        <v>1188</v>
      </c>
      <c r="D40" s="39">
        <v>8634.8</v>
      </c>
    </row>
    <row r="41" spans="1:4" ht="18" customHeight="1">
      <c r="A41" s="90" t="s">
        <v>1527</v>
      </c>
      <c r="B41" s="84" t="s">
        <v>1189</v>
      </c>
      <c r="C41" s="95" t="s">
        <v>1190</v>
      </c>
      <c r="D41" s="43">
        <v>10000</v>
      </c>
    </row>
    <row r="42" spans="1:4" ht="18" customHeight="1">
      <c r="A42" s="90" t="s">
        <v>1528</v>
      </c>
      <c r="B42" s="84" t="s">
        <v>1191</v>
      </c>
      <c r="C42" s="95" t="s">
        <v>1192</v>
      </c>
      <c r="D42" s="39">
        <v>4500</v>
      </c>
    </row>
    <row r="43" spans="1:4" ht="18" customHeight="1">
      <c r="A43" s="90" t="s">
        <v>1529</v>
      </c>
      <c r="B43" s="39" t="s">
        <v>1193</v>
      </c>
      <c r="C43" s="95" t="s">
        <v>1194</v>
      </c>
      <c r="D43" s="39">
        <f>700000+300000+189000+700000</f>
        <v>1889000</v>
      </c>
    </row>
    <row r="44" spans="1:4" ht="18" customHeight="1">
      <c r="A44" s="90" t="s">
        <v>1530</v>
      </c>
      <c r="B44" s="84" t="s">
        <v>1195</v>
      </c>
      <c r="C44" s="95" t="s">
        <v>1192</v>
      </c>
      <c r="D44" s="39">
        <v>20000</v>
      </c>
    </row>
    <row r="45" spans="1:4" ht="18" customHeight="1">
      <c r="A45" s="90" t="s">
        <v>1531</v>
      </c>
      <c r="B45" s="84" t="s">
        <v>1196</v>
      </c>
      <c r="C45" s="95" t="s">
        <v>1192</v>
      </c>
      <c r="D45" s="39">
        <v>9000</v>
      </c>
    </row>
    <row r="46" spans="1:4" ht="18" customHeight="1">
      <c r="A46" s="90" t="s">
        <v>1532</v>
      </c>
      <c r="B46" s="84" t="s">
        <v>1197</v>
      </c>
      <c r="C46" s="95" t="s">
        <v>1188</v>
      </c>
      <c r="D46" s="42">
        <v>3692</v>
      </c>
    </row>
    <row r="47" spans="1:4" ht="18" customHeight="1">
      <c r="A47" s="90" t="s">
        <v>1533</v>
      </c>
      <c r="B47" s="84" t="s">
        <v>1198</v>
      </c>
      <c r="C47" s="95" t="s">
        <v>1190</v>
      </c>
      <c r="D47" s="39">
        <v>4000</v>
      </c>
    </row>
    <row r="48" spans="1:4" ht="18" customHeight="1">
      <c r="A48" s="90" t="s">
        <v>1534</v>
      </c>
      <c r="B48" s="39" t="s">
        <v>1199</v>
      </c>
      <c r="C48" s="95" t="s">
        <v>1192</v>
      </c>
      <c r="D48" s="39">
        <v>4500</v>
      </c>
    </row>
    <row r="49" spans="1:4" ht="18" customHeight="1">
      <c r="A49" s="90" t="s">
        <v>1535</v>
      </c>
      <c r="B49" s="39" t="s">
        <v>1200</v>
      </c>
      <c r="C49" s="95" t="s">
        <v>1201</v>
      </c>
      <c r="D49" s="39">
        <f>3000+4957+19950</f>
        <v>27907</v>
      </c>
    </row>
    <row r="50" spans="1:4" ht="18" customHeight="1">
      <c r="A50" s="90" t="s">
        <v>1536</v>
      </c>
      <c r="B50" s="84" t="s">
        <v>1202</v>
      </c>
      <c r="C50" s="95" t="s">
        <v>1203</v>
      </c>
      <c r="D50" s="39">
        <v>4000</v>
      </c>
    </row>
    <row r="51" spans="1:4" ht="18" customHeight="1">
      <c r="A51" s="90" t="s">
        <v>1537</v>
      </c>
      <c r="B51" s="39" t="s">
        <v>1204</v>
      </c>
      <c r="C51" s="95" t="s">
        <v>1205</v>
      </c>
      <c r="D51" s="39">
        <f>8500+10500</f>
        <v>19000</v>
      </c>
    </row>
    <row r="52" spans="1:4" ht="18" customHeight="1">
      <c r="A52" s="90" t="s">
        <v>1538</v>
      </c>
      <c r="B52" s="39" t="s">
        <v>1206</v>
      </c>
      <c r="C52" s="95" t="s">
        <v>1207</v>
      </c>
      <c r="D52" s="39">
        <v>7500</v>
      </c>
    </row>
    <row r="53" spans="1:4" ht="18" customHeight="1">
      <c r="A53" s="90" t="s">
        <v>1539</v>
      </c>
      <c r="B53" s="39" t="s">
        <v>1208</v>
      </c>
      <c r="C53" s="95" t="s">
        <v>1209</v>
      </c>
      <c r="D53" s="39">
        <f>100000+30000</f>
        <v>130000</v>
      </c>
    </row>
    <row r="54" spans="1:4" ht="18" customHeight="1">
      <c r="A54" s="90" t="s">
        <v>1540</v>
      </c>
      <c r="B54" s="84" t="s">
        <v>1210</v>
      </c>
      <c r="C54" s="95" t="s">
        <v>1211</v>
      </c>
      <c r="D54" s="39">
        <v>16000</v>
      </c>
    </row>
    <row r="55" spans="1:4" ht="18" customHeight="1">
      <c r="A55" s="90" t="s">
        <v>1541</v>
      </c>
      <c r="B55" s="39" t="s">
        <v>1212</v>
      </c>
      <c r="C55" s="95" t="s">
        <v>1213</v>
      </c>
      <c r="D55" s="39">
        <v>7200</v>
      </c>
    </row>
    <row r="56" spans="1:4" ht="18" customHeight="1">
      <c r="A56" s="90" t="s">
        <v>1542</v>
      </c>
      <c r="B56" s="39" t="s">
        <v>1214</v>
      </c>
      <c r="C56" s="95" t="s">
        <v>1213</v>
      </c>
      <c r="D56" s="39">
        <v>2000</v>
      </c>
    </row>
    <row r="57" spans="1:4" ht="18" customHeight="1">
      <c r="A57" s="90" t="s">
        <v>1543</v>
      </c>
      <c r="B57" s="39" t="s">
        <v>1215</v>
      </c>
      <c r="C57" s="95" t="s">
        <v>1216</v>
      </c>
      <c r="D57" s="39">
        <v>22550</v>
      </c>
    </row>
    <row r="58" spans="1:4" ht="18" customHeight="1">
      <c r="A58" s="90" t="s">
        <v>1544</v>
      </c>
      <c r="B58" s="39" t="s">
        <v>1217</v>
      </c>
      <c r="C58" s="95" t="s">
        <v>1218</v>
      </c>
      <c r="D58" s="39">
        <v>20460</v>
      </c>
    </row>
    <row r="59" spans="1:4" ht="18" customHeight="1">
      <c r="A59" s="90" t="s">
        <v>1545</v>
      </c>
      <c r="B59" s="84" t="s">
        <v>1219</v>
      </c>
      <c r="C59" s="95" t="s">
        <v>1218</v>
      </c>
      <c r="D59" s="39">
        <v>5300</v>
      </c>
    </row>
    <row r="60" spans="1:4" ht="18" customHeight="1">
      <c r="A60" s="90" t="s">
        <v>1546</v>
      </c>
      <c r="B60" s="39" t="s">
        <v>1220</v>
      </c>
      <c r="C60" s="95" t="s">
        <v>1218</v>
      </c>
      <c r="D60" s="39">
        <v>15800</v>
      </c>
    </row>
    <row r="61" spans="1:4" ht="18" customHeight="1">
      <c r="A61" s="90" t="s">
        <v>1547</v>
      </c>
      <c r="B61" s="39" t="s">
        <v>1221</v>
      </c>
      <c r="C61" s="95" t="s">
        <v>1218</v>
      </c>
      <c r="D61" s="39">
        <v>9800</v>
      </c>
    </row>
    <row r="62" spans="1:4" ht="18" customHeight="1">
      <c r="A62" s="90" t="s">
        <v>1548</v>
      </c>
      <c r="B62" s="39" t="s">
        <v>1222</v>
      </c>
      <c r="C62" s="95" t="s">
        <v>1223</v>
      </c>
      <c r="D62" s="39">
        <f>43000+150000</f>
        <v>193000</v>
      </c>
    </row>
    <row r="63" spans="1:4" ht="18" customHeight="1">
      <c r="A63" s="90" t="s">
        <v>1549</v>
      </c>
      <c r="B63" s="39" t="s">
        <v>1224</v>
      </c>
      <c r="C63" s="95" t="s">
        <v>1225</v>
      </c>
      <c r="D63" s="39">
        <v>5000</v>
      </c>
    </row>
    <row r="64" spans="1:4" ht="18" customHeight="1">
      <c r="A64" s="90" t="s">
        <v>1550</v>
      </c>
      <c r="B64" s="39" t="s">
        <v>1226</v>
      </c>
      <c r="C64" s="95" t="s">
        <v>1227</v>
      </c>
      <c r="D64" s="39">
        <v>33300</v>
      </c>
    </row>
    <row r="65" spans="1:4" ht="18" customHeight="1">
      <c r="A65" s="90" t="s">
        <v>1551</v>
      </c>
      <c r="B65" s="84" t="s">
        <v>1228</v>
      </c>
      <c r="C65" s="95" t="s">
        <v>1227</v>
      </c>
      <c r="D65" s="39">
        <v>8695</v>
      </c>
    </row>
    <row r="66" spans="1:4" ht="18" customHeight="1">
      <c r="A66" s="90" t="s">
        <v>1552</v>
      </c>
      <c r="B66" s="84" t="s">
        <v>1229</v>
      </c>
      <c r="C66" s="95" t="s">
        <v>1230</v>
      </c>
      <c r="D66" s="39">
        <f>70000+80000+80000</f>
        <v>230000</v>
      </c>
    </row>
    <row r="67" spans="1:4" ht="18" customHeight="1">
      <c r="A67" s="90" t="s">
        <v>1553</v>
      </c>
      <c r="B67" s="84" t="s">
        <v>1231</v>
      </c>
      <c r="C67" s="95" t="s">
        <v>1232</v>
      </c>
      <c r="D67" s="39">
        <v>87500</v>
      </c>
    </row>
    <row r="68" spans="1:4" ht="18" customHeight="1">
      <c r="A68" s="90" t="s">
        <v>1554</v>
      </c>
      <c r="B68" s="39" t="s">
        <v>1233</v>
      </c>
      <c r="C68" s="95" t="s">
        <v>1234</v>
      </c>
      <c r="D68" s="39">
        <f>11900+23380</f>
        <v>35280</v>
      </c>
    </row>
    <row r="69" spans="1:4" ht="18" customHeight="1">
      <c r="A69" s="90" t="s">
        <v>1555</v>
      </c>
      <c r="B69" s="84" t="s">
        <v>1235</v>
      </c>
      <c r="C69" s="95" t="s">
        <v>1236</v>
      </c>
      <c r="D69" s="39">
        <v>7000</v>
      </c>
    </row>
    <row r="70" spans="1:4" ht="18" customHeight="1">
      <c r="A70" s="90" t="s">
        <v>1556</v>
      </c>
      <c r="B70" s="84" t="s">
        <v>1237</v>
      </c>
      <c r="C70" s="95" t="s">
        <v>1238</v>
      </c>
      <c r="D70" s="43">
        <f>16660+42000</f>
        <v>58660</v>
      </c>
    </row>
    <row r="71" spans="1:4" ht="18" customHeight="1">
      <c r="A71" s="90" t="s">
        <v>1557</v>
      </c>
      <c r="B71" s="84" t="s">
        <v>1239</v>
      </c>
      <c r="C71" s="95" t="s">
        <v>1240</v>
      </c>
      <c r="D71" s="39">
        <v>8000</v>
      </c>
    </row>
    <row r="72" spans="1:4" ht="18" customHeight="1">
      <c r="A72" s="90" t="s">
        <v>1558</v>
      </c>
      <c r="B72" s="84" t="s">
        <v>1241</v>
      </c>
      <c r="C72" s="95" t="s">
        <v>1242</v>
      </c>
      <c r="D72" s="39">
        <v>15000</v>
      </c>
    </row>
    <row r="73" spans="1:4" ht="18" customHeight="1">
      <c r="A73" s="90" t="s">
        <v>1559</v>
      </c>
      <c r="B73" s="84" t="s">
        <v>1243</v>
      </c>
      <c r="C73" s="95" t="s">
        <v>1240</v>
      </c>
      <c r="D73" s="39">
        <v>16000</v>
      </c>
    </row>
    <row r="74" spans="1:4" ht="18" customHeight="1">
      <c r="A74" s="90" t="s">
        <v>1560</v>
      </c>
      <c r="B74" s="84" t="s">
        <v>1244</v>
      </c>
      <c r="C74" s="95" t="s">
        <v>1240</v>
      </c>
      <c r="D74" s="39">
        <v>3300</v>
      </c>
    </row>
    <row r="75" spans="1:4" ht="18" customHeight="1">
      <c r="A75" s="90" t="s">
        <v>1561</v>
      </c>
      <c r="B75" s="84" t="s">
        <v>1245</v>
      </c>
      <c r="C75" s="95" t="s">
        <v>1242</v>
      </c>
      <c r="D75" s="39">
        <v>60000</v>
      </c>
    </row>
    <row r="76" spans="1:4" ht="18" customHeight="1">
      <c r="A76" s="90" t="s">
        <v>1562</v>
      </c>
      <c r="B76" s="39" t="s">
        <v>1246</v>
      </c>
      <c r="C76" s="95" t="s">
        <v>1247</v>
      </c>
      <c r="D76" s="39">
        <v>13050</v>
      </c>
    </row>
    <row r="77" spans="1:4" ht="18" customHeight="1">
      <c r="A77" s="90" t="s">
        <v>1563</v>
      </c>
      <c r="B77" s="84" t="s">
        <v>1248</v>
      </c>
      <c r="C77" s="95" t="s">
        <v>1249</v>
      </c>
      <c r="D77" s="39">
        <v>25000</v>
      </c>
    </row>
    <row r="78" spans="1:4" ht="18" customHeight="1">
      <c r="A78" s="90" t="s">
        <v>1564</v>
      </c>
      <c r="B78" s="39" t="s">
        <v>1250</v>
      </c>
      <c r="C78" s="95" t="s">
        <v>1251</v>
      </c>
      <c r="D78" s="39">
        <v>6600</v>
      </c>
    </row>
    <row r="79" spans="1:4" ht="18" customHeight="1">
      <c r="A79" s="90" t="s">
        <v>1565</v>
      </c>
      <c r="B79" s="39" t="s">
        <v>1252</v>
      </c>
      <c r="C79" s="95" t="s">
        <v>1253</v>
      </c>
      <c r="D79" s="39">
        <v>9000</v>
      </c>
    </row>
    <row r="80" spans="1:4" ht="18" customHeight="1">
      <c r="A80" s="90" t="s">
        <v>1566</v>
      </c>
      <c r="B80" s="39" t="s">
        <v>1254</v>
      </c>
      <c r="C80" s="95" t="s">
        <v>1255</v>
      </c>
      <c r="D80" s="39">
        <v>9000</v>
      </c>
    </row>
    <row r="81" spans="1:4" ht="18" customHeight="1">
      <c r="A81" s="90" t="s">
        <v>1567</v>
      </c>
      <c r="B81" s="39" t="s">
        <v>1256</v>
      </c>
      <c r="C81" s="95" t="s">
        <v>1257</v>
      </c>
      <c r="D81" s="39">
        <v>24000</v>
      </c>
    </row>
    <row r="82" spans="1:4" ht="18" customHeight="1">
      <c r="A82" s="90" t="s">
        <v>1568</v>
      </c>
      <c r="B82" s="84" t="s">
        <v>1258</v>
      </c>
      <c r="C82" s="95" t="s">
        <v>1259</v>
      </c>
      <c r="D82" s="39">
        <v>6870</v>
      </c>
    </row>
    <row r="83" spans="1:4" ht="18" customHeight="1">
      <c r="A83" s="90" t="s">
        <v>1569</v>
      </c>
      <c r="B83" s="85" t="s">
        <v>1260</v>
      </c>
      <c r="C83" s="95" t="s">
        <v>1261</v>
      </c>
      <c r="D83" s="39">
        <v>10000</v>
      </c>
    </row>
    <row r="84" spans="1:4" ht="18" customHeight="1">
      <c r="A84" s="90" t="s">
        <v>1570</v>
      </c>
      <c r="B84" s="39" t="s">
        <v>1262</v>
      </c>
      <c r="C84" s="95" t="s">
        <v>1263</v>
      </c>
      <c r="D84" s="39">
        <v>80000</v>
      </c>
    </row>
    <row r="85" spans="1:4" ht="18" customHeight="1">
      <c r="A85" s="90" t="s">
        <v>1571</v>
      </c>
      <c r="B85" s="84" t="s">
        <v>1264</v>
      </c>
      <c r="C85" s="95" t="s">
        <v>1265</v>
      </c>
      <c r="D85" s="39">
        <v>14500</v>
      </c>
    </row>
    <row r="86" spans="1:4" ht="18" customHeight="1">
      <c r="A86" s="90" t="s">
        <v>1572</v>
      </c>
      <c r="B86" s="84" t="s">
        <v>1266</v>
      </c>
      <c r="C86" s="95" t="s">
        <v>1267</v>
      </c>
      <c r="D86" s="39">
        <v>20000</v>
      </c>
    </row>
    <row r="87" spans="1:4" ht="18" customHeight="1">
      <c r="A87" s="90" t="s">
        <v>1573</v>
      </c>
      <c r="B87" s="84" t="s">
        <v>1268</v>
      </c>
      <c r="C87" s="95" t="s">
        <v>1267</v>
      </c>
      <c r="D87" s="39">
        <v>8800</v>
      </c>
    </row>
    <row r="88" spans="1:4" ht="18" customHeight="1">
      <c r="A88" s="90" t="s">
        <v>1574</v>
      </c>
      <c r="B88" s="84" t="s">
        <v>1269</v>
      </c>
      <c r="C88" s="95" t="s">
        <v>1270</v>
      </c>
      <c r="D88" s="39">
        <v>5000</v>
      </c>
    </row>
    <row r="89" spans="1:4" ht="18" customHeight="1">
      <c r="A89" s="90" t="s">
        <v>1575</v>
      </c>
      <c r="B89" s="39" t="s">
        <v>1271</v>
      </c>
      <c r="C89" s="95" t="s">
        <v>1272</v>
      </c>
      <c r="D89" s="39">
        <f>128571+12490</f>
        <v>141061</v>
      </c>
    </row>
    <row r="90" spans="1:4" ht="18" customHeight="1">
      <c r="A90" s="90" t="s">
        <v>1576</v>
      </c>
      <c r="B90" s="39" t="s">
        <v>1273</v>
      </c>
      <c r="C90" s="95" t="s">
        <v>1274</v>
      </c>
      <c r="D90" s="39">
        <v>13000</v>
      </c>
    </row>
    <row r="91" spans="1:4" ht="18" customHeight="1">
      <c r="A91" s="90" t="s">
        <v>1577</v>
      </c>
      <c r="B91" s="84" t="s">
        <v>1275</v>
      </c>
      <c r="C91" s="95" t="s">
        <v>1276</v>
      </c>
      <c r="D91" s="39">
        <v>14800</v>
      </c>
    </row>
    <row r="92" spans="1:4" ht="18" customHeight="1">
      <c r="A92" s="90" t="s">
        <v>1578</v>
      </c>
      <c r="B92" s="84" t="s">
        <v>1277</v>
      </c>
      <c r="C92" s="95" t="s">
        <v>1278</v>
      </c>
      <c r="D92" s="39">
        <v>3750</v>
      </c>
    </row>
    <row r="93" spans="1:4" ht="18" customHeight="1">
      <c r="A93" s="90" t="s">
        <v>1579</v>
      </c>
      <c r="B93" s="84" t="s">
        <v>1279</v>
      </c>
      <c r="C93" s="95" t="s">
        <v>1276</v>
      </c>
      <c r="D93" s="39">
        <v>10000</v>
      </c>
    </row>
    <row r="94" spans="1:4" ht="18" customHeight="1">
      <c r="A94" s="90" t="s">
        <v>1580</v>
      </c>
      <c r="B94" s="84" t="s">
        <v>1280</v>
      </c>
      <c r="C94" s="95" t="s">
        <v>1276</v>
      </c>
      <c r="D94" s="39">
        <v>25000</v>
      </c>
    </row>
    <row r="95" spans="1:4" ht="18" customHeight="1">
      <c r="A95" s="90" t="s">
        <v>1581</v>
      </c>
      <c r="B95" s="84" t="s">
        <v>1281</v>
      </c>
      <c r="C95" s="95" t="s">
        <v>1282</v>
      </c>
      <c r="D95" s="39">
        <f>36564+90000</f>
        <v>126564</v>
      </c>
    </row>
    <row r="96" spans="1:4" ht="18" customHeight="1">
      <c r="A96" s="90" t="s">
        <v>1582</v>
      </c>
      <c r="B96" s="39" t="s">
        <v>1283</v>
      </c>
      <c r="C96" s="95" t="s">
        <v>1284</v>
      </c>
      <c r="D96" s="39">
        <v>16000</v>
      </c>
    </row>
    <row r="97" spans="1:4" ht="18" customHeight="1">
      <c r="A97" s="90" t="s">
        <v>1583</v>
      </c>
      <c r="B97" s="84" t="s">
        <v>1285</v>
      </c>
      <c r="C97" s="95" t="s">
        <v>1286</v>
      </c>
      <c r="D97" s="39">
        <v>100000</v>
      </c>
    </row>
    <row r="98" spans="1:4" ht="18" customHeight="1">
      <c r="A98" s="90" t="s">
        <v>1584</v>
      </c>
      <c r="B98" s="84" t="s">
        <v>1287</v>
      </c>
      <c r="C98" s="95" t="s">
        <v>1288</v>
      </c>
      <c r="D98" s="39">
        <v>12000</v>
      </c>
    </row>
    <row r="99" spans="1:4" ht="18" customHeight="1">
      <c r="A99" s="90" t="s">
        <v>1585</v>
      </c>
      <c r="B99" s="84" t="s">
        <v>1289</v>
      </c>
      <c r="C99" s="95" t="s">
        <v>1290</v>
      </c>
      <c r="D99" s="39">
        <v>16000</v>
      </c>
    </row>
    <row r="100" spans="1:4" ht="18" customHeight="1">
      <c r="A100" s="90" t="s">
        <v>1586</v>
      </c>
      <c r="B100" s="84" t="s">
        <v>1291</v>
      </c>
      <c r="C100" s="95" t="s">
        <v>1292</v>
      </c>
      <c r="D100" s="39">
        <v>100000</v>
      </c>
    </row>
    <row r="101" spans="1:4" ht="18" customHeight="1">
      <c r="A101" s="90" t="s">
        <v>1587</v>
      </c>
      <c r="B101" s="84" t="s">
        <v>1293</v>
      </c>
      <c r="C101" s="95" t="s">
        <v>1294</v>
      </c>
      <c r="D101" s="39">
        <v>9000</v>
      </c>
    </row>
    <row r="102" spans="1:4" ht="18" customHeight="1">
      <c r="A102" s="90" t="s">
        <v>1588</v>
      </c>
      <c r="B102" s="84" t="s">
        <v>1295</v>
      </c>
      <c r="C102" s="95" t="s">
        <v>1296</v>
      </c>
      <c r="D102" s="39">
        <v>42672</v>
      </c>
    </row>
    <row r="103" spans="1:4" ht="18" customHeight="1">
      <c r="A103" s="90" t="s">
        <v>1589</v>
      </c>
      <c r="B103" s="84" t="s">
        <v>1297</v>
      </c>
      <c r="C103" s="95" t="s">
        <v>1296</v>
      </c>
      <c r="D103" s="39">
        <v>152000</v>
      </c>
    </row>
    <row r="104" spans="1:4" ht="18" customHeight="1">
      <c r="A104" s="90" t="s">
        <v>1590</v>
      </c>
      <c r="B104" s="84" t="s">
        <v>1298</v>
      </c>
      <c r="C104" s="95" t="s">
        <v>1294</v>
      </c>
      <c r="D104" s="39">
        <v>35000</v>
      </c>
    </row>
    <row r="105" spans="1:4" ht="18" customHeight="1">
      <c r="A105" s="90" t="s">
        <v>1591</v>
      </c>
      <c r="B105" s="84" t="s">
        <v>1299</v>
      </c>
      <c r="C105" s="95" t="s">
        <v>1296</v>
      </c>
      <c r="D105" s="39">
        <v>12750</v>
      </c>
    </row>
    <row r="106" spans="1:4" ht="18" customHeight="1">
      <c r="A106" s="90" t="s">
        <v>1592</v>
      </c>
      <c r="B106" s="84" t="s">
        <v>1300</v>
      </c>
      <c r="C106" s="95" t="s">
        <v>1301</v>
      </c>
      <c r="D106" s="39">
        <f>8500+48000</f>
        <v>56500</v>
      </c>
    </row>
    <row r="107" spans="1:4" ht="18" customHeight="1">
      <c r="A107" s="90" t="s">
        <v>1593</v>
      </c>
      <c r="B107" s="84" t="s">
        <v>1302</v>
      </c>
      <c r="C107" s="95" t="s">
        <v>1303</v>
      </c>
      <c r="D107" s="39">
        <f>2000+40000+40000</f>
        <v>82000</v>
      </c>
    </row>
    <row r="108" spans="1:4" ht="18" customHeight="1">
      <c r="A108" s="90" t="s">
        <v>1594</v>
      </c>
      <c r="B108" s="85" t="s">
        <v>1304</v>
      </c>
      <c r="C108" s="95" t="s">
        <v>1305</v>
      </c>
      <c r="D108" s="39">
        <v>200000</v>
      </c>
    </row>
    <row r="109" spans="1:4" ht="18" customHeight="1">
      <c r="A109" s="90" t="s">
        <v>1595</v>
      </c>
      <c r="B109" s="39" t="s">
        <v>1306</v>
      </c>
      <c r="C109" s="95" t="s">
        <v>1305</v>
      </c>
      <c r="D109" s="39">
        <v>23400</v>
      </c>
    </row>
    <row r="110" spans="1:4" ht="18" customHeight="1">
      <c r="A110" s="90" t="s">
        <v>1596</v>
      </c>
      <c r="B110" s="84" t="s">
        <v>1307</v>
      </c>
      <c r="C110" s="95" t="s">
        <v>1308</v>
      </c>
      <c r="D110" s="39">
        <v>15140</v>
      </c>
    </row>
    <row r="111" spans="1:4" ht="18" customHeight="1">
      <c r="A111" s="90" t="s">
        <v>1597</v>
      </c>
      <c r="B111" s="86" t="s">
        <v>1309</v>
      </c>
      <c r="C111" s="95" t="s">
        <v>1308</v>
      </c>
      <c r="D111" s="39">
        <v>16070</v>
      </c>
    </row>
    <row r="112" spans="1:4" ht="18" customHeight="1">
      <c r="A112" s="90" t="s">
        <v>1598</v>
      </c>
      <c r="B112" s="84" t="s">
        <v>1310</v>
      </c>
      <c r="C112" s="95" t="s">
        <v>1311</v>
      </c>
      <c r="D112" s="39">
        <f>16070+7670</f>
        <v>23740</v>
      </c>
    </row>
    <row r="113" spans="1:4" ht="18" customHeight="1">
      <c r="A113" s="90" t="s">
        <v>1599</v>
      </c>
      <c r="B113" s="39" t="s">
        <v>1153</v>
      </c>
      <c r="C113" s="95" t="s">
        <v>1312</v>
      </c>
      <c r="D113" s="39">
        <v>100000</v>
      </c>
    </row>
    <row r="114" spans="1:4" ht="18" customHeight="1">
      <c r="A114" s="90" t="s">
        <v>1600</v>
      </c>
      <c r="B114" s="39" t="s">
        <v>1313</v>
      </c>
      <c r="C114" s="95" t="s">
        <v>1314</v>
      </c>
      <c r="D114" s="39">
        <v>184000</v>
      </c>
    </row>
    <row r="115" spans="1:4" ht="18" customHeight="1">
      <c r="A115" s="90" t="s">
        <v>1601</v>
      </c>
      <c r="B115" s="84" t="s">
        <v>1315</v>
      </c>
      <c r="C115" s="95" t="s">
        <v>1316</v>
      </c>
      <c r="D115" s="39">
        <v>90000</v>
      </c>
    </row>
    <row r="116" spans="1:4" ht="18" customHeight="1">
      <c r="A116" s="90" t="s">
        <v>1602</v>
      </c>
      <c r="B116" s="84" t="s">
        <v>1317</v>
      </c>
      <c r="C116" s="95" t="s">
        <v>1318</v>
      </c>
      <c r="D116" s="39">
        <v>8000</v>
      </c>
    </row>
    <row r="117" spans="1:4" ht="18" customHeight="1">
      <c r="A117" s="90" t="s">
        <v>1603</v>
      </c>
      <c r="B117" s="84" t="s">
        <v>1319</v>
      </c>
      <c r="C117" s="95" t="s">
        <v>1320</v>
      </c>
      <c r="D117" s="39">
        <v>9016</v>
      </c>
    </row>
    <row r="118" spans="1:4" ht="18" customHeight="1">
      <c r="A118" s="90" t="s">
        <v>1604</v>
      </c>
      <c r="B118" s="84" t="s">
        <v>1321</v>
      </c>
      <c r="C118" s="95" t="s">
        <v>1322</v>
      </c>
      <c r="D118" s="39">
        <v>10000</v>
      </c>
    </row>
    <row r="119" spans="1:4" ht="18" customHeight="1">
      <c r="A119" s="90" t="s">
        <v>1605</v>
      </c>
      <c r="B119" s="84" t="s">
        <v>1323</v>
      </c>
      <c r="C119" s="95" t="s">
        <v>1324</v>
      </c>
      <c r="D119" s="39">
        <v>20000</v>
      </c>
    </row>
    <row r="120" spans="1:4" ht="18" customHeight="1">
      <c r="A120" s="90" t="s">
        <v>1606</v>
      </c>
      <c r="B120" s="84" t="s">
        <v>1325</v>
      </c>
      <c r="C120" s="95" t="s">
        <v>1326</v>
      </c>
      <c r="D120" s="39">
        <v>15000</v>
      </c>
    </row>
    <row r="121" spans="1:4" ht="18" customHeight="1">
      <c r="A121" s="90" t="s">
        <v>1607</v>
      </c>
      <c r="B121" s="84" t="s">
        <v>1327</v>
      </c>
      <c r="C121" s="95" t="s">
        <v>1328</v>
      </c>
      <c r="D121" s="39">
        <v>30000</v>
      </c>
    </row>
    <row r="122" spans="1:4" ht="18" customHeight="1">
      <c r="A122" s="90" t="s">
        <v>1608</v>
      </c>
      <c r="B122" s="84" t="s">
        <v>1329</v>
      </c>
      <c r="C122" s="95" t="s">
        <v>1330</v>
      </c>
      <c r="D122" s="39">
        <v>31000</v>
      </c>
    </row>
    <row r="123" spans="1:4" ht="18" customHeight="1">
      <c r="A123" s="90" t="s">
        <v>1609</v>
      </c>
      <c r="B123" s="84" t="s">
        <v>1331</v>
      </c>
      <c r="C123" s="95" t="s">
        <v>1332</v>
      </c>
      <c r="D123" s="39">
        <v>11228</v>
      </c>
    </row>
    <row r="124" spans="1:4" ht="18" customHeight="1">
      <c r="A124" s="90" t="s">
        <v>1610</v>
      </c>
      <c r="B124" s="84" t="s">
        <v>1333</v>
      </c>
      <c r="C124" s="95" t="s">
        <v>1332</v>
      </c>
      <c r="D124" s="39">
        <v>26250</v>
      </c>
    </row>
    <row r="125" spans="1:4" ht="18" customHeight="1">
      <c r="A125" s="90" t="s">
        <v>1611</v>
      </c>
      <c r="B125" s="84" t="s">
        <v>1334</v>
      </c>
      <c r="C125" s="95" t="s">
        <v>1335</v>
      </c>
      <c r="D125" s="39">
        <v>4900</v>
      </c>
    </row>
    <row r="126" spans="1:4" ht="18" customHeight="1">
      <c r="A126" s="90" t="s">
        <v>1612</v>
      </c>
      <c r="B126" s="39" t="s">
        <v>1336</v>
      </c>
      <c r="C126" s="95" t="s">
        <v>1337</v>
      </c>
      <c r="D126" s="39">
        <v>14868</v>
      </c>
    </row>
    <row r="127" spans="1:4" ht="18" customHeight="1">
      <c r="A127" s="90" t="s">
        <v>1613</v>
      </c>
      <c r="B127" s="84" t="s">
        <v>1338</v>
      </c>
      <c r="C127" s="95" t="s">
        <v>1339</v>
      </c>
      <c r="D127" s="39">
        <f>15576+15000</f>
        <v>30576</v>
      </c>
    </row>
    <row r="128" spans="1:4" ht="18" customHeight="1">
      <c r="A128" s="90" t="s">
        <v>1614</v>
      </c>
      <c r="B128" s="84" t="s">
        <v>1340</v>
      </c>
      <c r="C128" s="95" t="s">
        <v>1341</v>
      </c>
      <c r="D128" s="39">
        <v>25000</v>
      </c>
    </row>
    <row r="129" spans="1:4" ht="18" customHeight="1">
      <c r="A129" s="90" t="s">
        <v>1615</v>
      </c>
      <c r="B129" s="39" t="s">
        <v>1342</v>
      </c>
      <c r="C129" s="95" t="s">
        <v>1343</v>
      </c>
      <c r="D129" s="39">
        <v>50000</v>
      </c>
    </row>
    <row r="130" spans="1:4" ht="18" customHeight="1">
      <c r="A130" s="90" t="s">
        <v>1616</v>
      </c>
      <c r="B130" s="84" t="s">
        <v>1344</v>
      </c>
      <c r="C130" s="95" t="s">
        <v>1345</v>
      </c>
      <c r="D130" s="39">
        <v>28000</v>
      </c>
    </row>
    <row r="131" spans="1:4" ht="18" customHeight="1">
      <c r="A131" s="90" t="s">
        <v>1617</v>
      </c>
      <c r="B131" s="84" t="s">
        <v>1346</v>
      </c>
      <c r="C131" s="95" t="s">
        <v>1345</v>
      </c>
      <c r="D131" s="39">
        <v>25000</v>
      </c>
    </row>
    <row r="132" spans="1:4" ht="18" customHeight="1">
      <c r="A132" s="90" t="s">
        <v>1618</v>
      </c>
      <c r="B132" s="84" t="s">
        <v>1347</v>
      </c>
      <c r="C132" s="95" t="s">
        <v>1345</v>
      </c>
      <c r="D132" s="39">
        <v>30000</v>
      </c>
    </row>
    <row r="133" spans="1:4" ht="18" customHeight="1">
      <c r="A133" s="90" t="s">
        <v>1619</v>
      </c>
      <c r="B133" s="84" t="s">
        <v>1348</v>
      </c>
      <c r="C133" s="95" t="s">
        <v>1349</v>
      </c>
      <c r="D133" s="39">
        <v>64280</v>
      </c>
    </row>
    <row r="134" spans="1:4" ht="18" customHeight="1">
      <c r="A134" s="90" t="s">
        <v>1620</v>
      </c>
      <c r="B134" s="84" t="s">
        <v>1350</v>
      </c>
      <c r="C134" s="95" t="s">
        <v>1351</v>
      </c>
      <c r="D134" s="39">
        <v>9400</v>
      </c>
    </row>
    <row r="135" spans="1:4" ht="18" customHeight="1">
      <c r="A135" s="90" t="s">
        <v>1621</v>
      </c>
      <c r="B135" s="39" t="s">
        <v>1352</v>
      </c>
      <c r="C135" s="95" t="s">
        <v>1353</v>
      </c>
      <c r="D135" s="39">
        <v>41000</v>
      </c>
    </row>
    <row r="136" spans="1:4" ht="18" customHeight="1">
      <c r="A136" s="90" t="s">
        <v>1622</v>
      </c>
      <c r="B136" s="84" t="s">
        <v>1354</v>
      </c>
      <c r="C136" s="95" t="s">
        <v>1355</v>
      </c>
      <c r="D136" s="39">
        <v>84500</v>
      </c>
    </row>
    <row r="137" spans="1:4" ht="18" customHeight="1">
      <c r="A137" s="90" t="s">
        <v>1623</v>
      </c>
      <c r="B137" s="84" t="s">
        <v>1356</v>
      </c>
      <c r="C137" s="95" t="s">
        <v>1357</v>
      </c>
      <c r="D137" s="39">
        <v>21000</v>
      </c>
    </row>
    <row r="138" spans="1:4" ht="18" customHeight="1">
      <c r="A138" s="90" t="s">
        <v>1624</v>
      </c>
      <c r="B138" s="84" t="s">
        <v>1358</v>
      </c>
      <c r="C138" s="95" t="s">
        <v>1359</v>
      </c>
      <c r="D138" s="39">
        <v>962000</v>
      </c>
    </row>
    <row r="139" spans="1:4" ht="18" customHeight="1">
      <c r="A139" s="90" t="s">
        <v>1625</v>
      </c>
      <c r="B139" s="84" t="s">
        <v>1360</v>
      </c>
      <c r="C139" s="95" t="s">
        <v>1361</v>
      </c>
      <c r="D139" s="39">
        <v>24647.44</v>
      </c>
    </row>
    <row r="140" spans="1:4" ht="18" customHeight="1">
      <c r="A140" s="90" t="s">
        <v>1626</v>
      </c>
      <c r="B140" s="84" t="s">
        <v>1362</v>
      </c>
      <c r="C140" s="95" t="s">
        <v>1363</v>
      </c>
      <c r="D140" s="39">
        <v>35650</v>
      </c>
    </row>
    <row r="141" spans="1:4" ht="18" customHeight="1">
      <c r="A141" s="90" t="s">
        <v>1627</v>
      </c>
      <c r="B141" s="39" t="s">
        <v>1364</v>
      </c>
      <c r="C141" s="95" t="s">
        <v>1365</v>
      </c>
      <c r="D141" s="39">
        <f>125000+50000+100000+50000</f>
        <v>325000</v>
      </c>
    </row>
    <row r="142" spans="1:4" ht="18" customHeight="1">
      <c r="A142" s="90" t="s">
        <v>1628</v>
      </c>
      <c r="B142" s="84" t="s">
        <v>1366</v>
      </c>
      <c r="C142" s="95" t="s">
        <v>1367</v>
      </c>
      <c r="D142" s="39">
        <v>77035</v>
      </c>
    </row>
    <row r="143" spans="1:4" ht="18" customHeight="1">
      <c r="A143" s="90" t="s">
        <v>1629</v>
      </c>
      <c r="B143" s="39" t="s">
        <v>1368</v>
      </c>
      <c r="C143" s="95" t="s">
        <v>1369</v>
      </c>
      <c r="D143" s="39">
        <v>26033</v>
      </c>
    </row>
    <row r="144" spans="1:4" ht="18" customHeight="1">
      <c r="A144" s="90" t="s">
        <v>1630</v>
      </c>
      <c r="B144" s="84" t="s">
        <v>1370</v>
      </c>
      <c r="C144" s="95" t="s">
        <v>1371</v>
      </c>
      <c r="D144" s="39">
        <v>19000</v>
      </c>
    </row>
    <row r="145" spans="1:4" ht="18" customHeight="1">
      <c r="A145" s="90" t="s">
        <v>1631</v>
      </c>
      <c r="B145" s="84" t="s">
        <v>1372</v>
      </c>
      <c r="C145" s="95" t="s">
        <v>1373</v>
      </c>
      <c r="D145" s="39">
        <v>90000</v>
      </c>
    </row>
    <row r="146" spans="1:4" ht="18" customHeight="1">
      <c r="A146" s="90" t="s">
        <v>1632</v>
      </c>
      <c r="B146" s="84" t="s">
        <v>1374</v>
      </c>
      <c r="C146" s="95" t="s">
        <v>1373</v>
      </c>
      <c r="D146" s="39">
        <v>250000</v>
      </c>
    </row>
    <row r="147" spans="1:4" ht="18" customHeight="1">
      <c r="A147" s="90" t="s">
        <v>1633</v>
      </c>
      <c r="B147" s="84" t="s">
        <v>1375</v>
      </c>
      <c r="C147" s="95" t="s">
        <v>1373</v>
      </c>
      <c r="D147" s="39">
        <v>72000</v>
      </c>
    </row>
    <row r="148" spans="1:4" ht="18" customHeight="1">
      <c r="A148" s="90" t="s">
        <v>1634</v>
      </c>
      <c r="B148" s="84" t="s">
        <v>1376</v>
      </c>
      <c r="C148" s="95" t="s">
        <v>1377</v>
      </c>
      <c r="D148" s="39">
        <v>170000</v>
      </c>
    </row>
    <row r="149" spans="1:4" ht="18" customHeight="1">
      <c r="A149" s="90" t="s">
        <v>1635</v>
      </c>
      <c r="B149" s="84" t="s">
        <v>1378</v>
      </c>
      <c r="C149" s="95" t="s">
        <v>1377</v>
      </c>
      <c r="D149" s="39">
        <v>60000</v>
      </c>
    </row>
    <row r="150" spans="1:4" ht="18" customHeight="1">
      <c r="A150" s="90" t="s">
        <v>1636</v>
      </c>
      <c r="B150" s="84" t="s">
        <v>1379</v>
      </c>
      <c r="C150" s="95" t="s">
        <v>1380</v>
      </c>
      <c r="D150" s="39">
        <v>131300</v>
      </c>
    </row>
    <row r="151" spans="1:4" ht="18" customHeight="1">
      <c r="A151" s="90" t="s">
        <v>1637</v>
      </c>
      <c r="B151" s="39" t="s">
        <v>1381</v>
      </c>
      <c r="C151" s="95" t="s">
        <v>1382</v>
      </c>
      <c r="D151" s="39">
        <f>20000+10000</f>
        <v>30000</v>
      </c>
    </row>
    <row r="152" spans="1:4" ht="18" customHeight="1">
      <c r="A152" s="90" t="s">
        <v>1638</v>
      </c>
      <c r="B152" s="84" t="s">
        <v>1383</v>
      </c>
      <c r="C152" s="95" t="s">
        <v>1401</v>
      </c>
      <c r="D152" s="39">
        <v>60000</v>
      </c>
    </row>
    <row r="153" spans="1:4" ht="18" customHeight="1">
      <c r="A153" s="90" t="s">
        <v>1639</v>
      </c>
      <c r="B153" s="84" t="s">
        <v>1402</v>
      </c>
      <c r="C153" s="95" t="s">
        <v>1403</v>
      </c>
      <c r="D153" s="39">
        <f>112390+35020</f>
        <v>147410</v>
      </c>
    </row>
    <row r="154" spans="1:4" ht="18" customHeight="1">
      <c r="A154" s="90" t="s">
        <v>1640</v>
      </c>
      <c r="B154" s="84" t="s">
        <v>1404</v>
      </c>
      <c r="C154" s="95" t="s">
        <v>1405</v>
      </c>
      <c r="D154" s="39">
        <v>30000</v>
      </c>
    </row>
    <row r="155" spans="1:4" ht="18" customHeight="1">
      <c r="A155" s="90" t="s">
        <v>1641</v>
      </c>
      <c r="B155" s="84" t="s">
        <v>1406</v>
      </c>
      <c r="C155" s="95" t="s">
        <v>1407</v>
      </c>
      <c r="D155" s="39">
        <v>64750</v>
      </c>
    </row>
    <row r="156" spans="1:4" ht="18" customHeight="1">
      <c r="A156" s="90" t="s">
        <v>1642</v>
      </c>
      <c r="B156" s="84" t="s">
        <v>1408</v>
      </c>
      <c r="C156" s="95" t="s">
        <v>1409</v>
      </c>
      <c r="D156" s="39">
        <v>50000</v>
      </c>
    </row>
    <row r="157" spans="1:4" ht="18" customHeight="1">
      <c r="A157" s="90" t="s">
        <v>1643</v>
      </c>
      <c r="B157" s="84" t="s">
        <v>1410</v>
      </c>
      <c r="C157" s="95" t="s">
        <v>1411</v>
      </c>
      <c r="D157" s="39">
        <v>252000</v>
      </c>
    </row>
    <row r="158" spans="1:4" ht="18" customHeight="1">
      <c r="A158" s="90" t="s">
        <v>1644</v>
      </c>
      <c r="B158" s="39" t="s">
        <v>1412</v>
      </c>
      <c r="C158" s="95" t="s">
        <v>1413</v>
      </c>
      <c r="D158" s="39">
        <v>30000</v>
      </c>
    </row>
    <row r="159" spans="1:4" ht="18" customHeight="1">
      <c r="A159" s="90" t="s">
        <v>1645</v>
      </c>
      <c r="B159" s="39" t="s">
        <v>1414</v>
      </c>
      <c r="C159" s="95" t="s">
        <v>1415</v>
      </c>
      <c r="D159" s="39">
        <v>26020</v>
      </c>
    </row>
    <row r="160" spans="1:4" ht="18" customHeight="1">
      <c r="A160" s="90" t="s">
        <v>1646</v>
      </c>
      <c r="B160" s="84" t="s">
        <v>1416</v>
      </c>
      <c r="C160" s="95" t="s">
        <v>1417</v>
      </c>
      <c r="D160" s="39">
        <v>162001</v>
      </c>
    </row>
    <row r="161" spans="1:4" ht="18" customHeight="1">
      <c r="A161" s="90" t="s">
        <v>1647</v>
      </c>
      <c r="B161" s="84" t="s">
        <v>1418</v>
      </c>
      <c r="C161" s="95" t="s">
        <v>1419</v>
      </c>
      <c r="D161" s="39">
        <f>68250+20100</f>
        <v>88350</v>
      </c>
    </row>
    <row r="162" spans="1:4" ht="18" customHeight="1">
      <c r="A162" s="90" t="s">
        <v>1648</v>
      </c>
      <c r="B162" s="84" t="s">
        <v>1420</v>
      </c>
      <c r="C162" s="95" t="s">
        <v>1421</v>
      </c>
      <c r="D162" s="39">
        <v>20000</v>
      </c>
    </row>
    <row r="163" spans="1:4" ht="18" customHeight="1">
      <c r="A163" s="90" t="s">
        <v>1649</v>
      </c>
      <c r="B163" s="39" t="s">
        <v>1422</v>
      </c>
      <c r="C163" s="95" t="s">
        <v>1421</v>
      </c>
      <c r="D163" s="39">
        <v>13000</v>
      </c>
    </row>
    <row r="164" spans="1:4" ht="18" customHeight="1">
      <c r="A164" s="90" t="s">
        <v>1650</v>
      </c>
      <c r="B164" s="39" t="s">
        <v>1423</v>
      </c>
      <c r="C164" s="95" t="s">
        <v>1421</v>
      </c>
      <c r="D164" s="39">
        <v>72000</v>
      </c>
    </row>
    <row r="165" spans="1:4" ht="18" customHeight="1">
      <c r="A165" s="90" t="s">
        <v>1651</v>
      </c>
      <c r="B165" s="39" t="s">
        <v>1424</v>
      </c>
      <c r="C165" s="95" t="s">
        <v>1425</v>
      </c>
      <c r="D165" s="39">
        <v>30957</v>
      </c>
    </row>
    <row r="166" spans="1:4" ht="18" customHeight="1">
      <c r="A166" s="90" t="s">
        <v>1652</v>
      </c>
      <c r="B166" s="84" t="s">
        <v>1426</v>
      </c>
      <c r="C166" s="95" t="s">
        <v>1425</v>
      </c>
      <c r="D166" s="39">
        <v>445000</v>
      </c>
    </row>
    <row r="167" spans="1:4" ht="18" customHeight="1">
      <c r="A167" s="90" t="s">
        <v>1653</v>
      </c>
      <c r="B167" s="39" t="s">
        <v>1427</v>
      </c>
      <c r="C167" s="95" t="s">
        <v>1425</v>
      </c>
      <c r="D167" s="39">
        <v>36000</v>
      </c>
    </row>
    <row r="168" spans="1:4" ht="18" customHeight="1">
      <c r="A168" s="90" t="s">
        <v>1654</v>
      </c>
      <c r="B168" s="39" t="s">
        <v>1428</v>
      </c>
      <c r="C168" s="95" t="s">
        <v>1425</v>
      </c>
      <c r="D168" s="39">
        <v>56000</v>
      </c>
    </row>
    <row r="169" spans="1:4" ht="18" customHeight="1">
      <c r="A169" s="90" t="s">
        <v>1655</v>
      </c>
      <c r="B169" s="84" t="s">
        <v>1429</v>
      </c>
      <c r="C169" s="95" t="s">
        <v>1425</v>
      </c>
      <c r="D169" s="39">
        <v>30000</v>
      </c>
    </row>
    <row r="170" spans="1:4" ht="18" customHeight="1">
      <c r="A170" s="90" t="s">
        <v>1656</v>
      </c>
      <c r="B170" s="84" t="s">
        <v>1430</v>
      </c>
      <c r="C170" s="95" t="s">
        <v>1425</v>
      </c>
      <c r="D170" s="39">
        <v>38000</v>
      </c>
    </row>
    <row r="171" spans="1:4" ht="18" customHeight="1">
      <c r="A171" s="90"/>
      <c r="B171" s="50" t="s">
        <v>1431</v>
      </c>
      <c r="C171" s="95"/>
      <c r="D171" s="44">
        <f>SUM(D5:D170)</f>
        <v>16568739.24</v>
      </c>
    </row>
    <row r="172" spans="1:4" ht="28.5" customHeight="1">
      <c r="A172" s="90" t="s">
        <v>1657</v>
      </c>
      <c r="B172" s="85" t="s">
        <v>1432</v>
      </c>
      <c r="C172" s="95" t="s">
        <v>1433</v>
      </c>
      <c r="D172" s="39">
        <v>700000</v>
      </c>
    </row>
    <row r="173" spans="1:4" ht="28.5" customHeight="1">
      <c r="A173" s="90" t="s">
        <v>1844</v>
      </c>
      <c r="B173" s="85" t="s">
        <v>1082</v>
      </c>
      <c r="C173" s="95" t="s">
        <v>1845</v>
      </c>
      <c r="D173" s="39">
        <v>1351211</v>
      </c>
    </row>
    <row r="174" spans="1:4" s="143" customFormat="1" ht="28.5" customHeight="1">
      <c r="A174" s="141"/>
      <c r="B174" s="140" t="s">
        <v>1846</v>
      </c>
      <c r="C174" s="142"/>
      <c r="D174" s="44">
        <f>D172+D173</f>
        <v>2051211</v>
      </c>
    </row>
    <row r="175" spans="1:4" ht="18" customHeight="1">
      <c r="A175" s="90"/>
      <c r="B175" s="91" t="s">
        <v>1434</v>
      </c>
      <c r="C175" s="96"/>
      <c r="D175" s="44">
        <f>D171+D174</f>
        <v>18619950.240000002</v>
      </c>
    </row>
    <row r="176" ht="18" customHeight="1">
      <c r="A176" s="90"/>
    </row>
    <row r="177" ht="18" customHeight="1">
      <c r="A177" s="90"/>
    </row>
    <row r="178" ht="18" customHeight="1">
      <c r="A178" s="90"/>
    </row>
    <row r="179" ht="18" customHeight="1">
      <c r="A179" s="90"/>
    </row>
    <row r="180" ht="18" customHeight="1">
      <c r="A180" s="90"/>
    </row>
    <row r="181" ht="18" customHeight="1">
      <c r="A181" s="90"/>
    </row>
    <row r="182" spans="1:4" ht="12.75">
      <c r="A182" s="90"/>
      <c r="B182" s="45"/>
      <c r="C182" s="98"/>
      <c r="D182" s="46"/>
    </row>
    <row r="183" spans="1:4" ht="36.75" customHeight="1">
      <c r="A183" s="90"/>
      <c r="B183" s="84" t="s">
        <v>1848</v>
      </c>
      <c r="C183" s="95"/>
      <c r="D183" s="39"/>
    </row>
    <row r="184" spans="1:4" ht="12.75">
      <c r="A184" s="90"/>
      <c r="B184" s="45"/>
      <c r="C184" s="98"/>
      <c r="D184" s="46"/>
    </row>
    <row r="185" spans="1:4" ht="48" customHeight="1">
      <c r="A185" s="90"/>
      <c r="B185" s="84" t="s">
        <v>1847</v>
      </c>
      <c r="C185" s="95"/>
      <c r="D185" s="39"/>
    </row>
    <row r="186" spans="1:4" ht="12.75">
      <c r="A186" s="90"/>
      <c r="B186" s="47"/>
      <c r="C186" s="99"/>
      <c r="D186" s="48"/>
    </row>
    <row r="187" spans="1:4" ht="12.75">
      <c r="A187" s="90"/>
      <c r="B187" s="47"/>
      <c r="C187" s="99"/>
      <c r="D187" s="48"/>
    </row>
    <row r="188" spans="1:4" ht="12.75">
      <c r="A188" s="90"/>
      <c r="B188" s="47"/>
      <c r="C188" s="99"/>
      <c r="D188" s="48"/>
    </row>
    <row r="189" spans="1:4" ht="12.75">
      <c r="A189" s="90"/>
      <c r="B189" s="47"/>
      <c r="C189" s="99"/>
      <c r="D189" s="48"/>
    </row>
    <row r="190" spans="1:4" ht="12.75">
      <c r="A190" s="90"/>
      <c r="B190" s="47"/>
      <c r="C190" s="99"/>
      <c r="D190" s="48"/>
    </row>
    <row r="191" spans="1:4" ht="12.75">
      <c r="A191" s="90"/>
      <c r="B191" s="47"/>
      <c r="C191" s="99"/>
      <c r="D191" s="48"/>
    </row>
    <row r="192" spans="1:4" ht="12.75">
      <c r="A192" s="90"/>
      <c r="B192" s="47"/>
      <c r="C192" s="99"/>
      <c r="D192" s="48"/>
    </row>
    <row r="193" spans="1:4" ht="12.75">
      <c r="A193" s="90"/>
      <c r="B193" s="47"/>
      <c r="C193" s="99"/>
      <c r="D193" s="48"/>
    </row>
    <row r="194" spans="1:4" ht="12.75">
      <c r="A194" s="90"/>
      <c r="B194" s="47"/>
      <c r="C194" s="99"/>
      <c r="D194" s="48"/>
    </row>
    <row r="195" spans="1:4" ht="12.75">
      <c r="A195" s="90"/>
      <c r="B195" s="47"/>
      <c r="C195" s="99"/>
      <c r="D195" s="48"/>
    </row>
    <row r="196" spans="1:4" ht="12.75">
      <c r="A196" s="90"/>
      <c r="B196" s="47"/>
      <c r="C196" s="99"/>
      <c r="D196" s="48"/>
    </row>
    <row r="197" spans="1:4" ht="12.75">
      <c r="A197" s="90"/>
      <c r="B197" s="47"/>
      <c r="C197" s="99"/>
      <c r="D197" s="48"/>
    </row>
    <row r="198" spans="1:4" ht="12.75">
      <c r="A198" s="90"/>
      <c r="B198" s="47"/>
      <c r="C198" s="99"/>
      <c r="D198" s="48"/>
    </row>
    <row r="199" spans="1:4" ht="12.75">
      <c r="A199" s="90"/>
      <c r="B199" s="47"/>
      <c r="C199" s="99"/>
      <c r="D199" s="48"/>
    </row>
    <row r="200" spans="1:4" ht="12.75">
      <c r="A200" s="90"/>
      <c r="B200" s="47"/>
      <c r="C200" s="99"/>
      <c r="D200" s="48"/>
    </row>
    <row r="201" spans="1:4" ht="12.75">
      <c r="A201" s="90"/>
      <c r="B201" s="47"/>
      <c r="C201" s="99"/>
      <c r="D201" s="48"/>
    </row>
    <row r="202" spans="1:4" ht="12.75">
      <c r="A202" s="90"/>
      <c r="B202" s="47"/>
      <c r="C202" s="99"/>
      <c r="D202" s="48"/>
    </row>
    <row r="203" spans="1:4" ht="12.75">
      <c r="A203" s="90"/>
      <c r="B203" s="47"/>
      <c r="C203" s="99"/>
      <c r="D203" s="48"/>
    </row>
    <row r="204" spans="1:4" ht="12.75">
      <c r="A204" s="90"/>
      <c r="B204" s="47"/>
      <c r="C204" s="99"/>
      <c r="D204" s="48"/>
    </row>
    <row r="205" spans="1:4" ht="12.75">
      <c r="A205" s="90"/>
      <c r="B205" s="47"/>
      <c r="C205" s="99"/>
      <c r="D205" s="48"/>
    </row>
    <row r="206" spans="1:4" ht="12.75">
      <c r="A206" s="90"/>
      <c r="B206" s="47"/>
      <c r="C206" s="99"/>
      <c r="D206" s="48"/>
    </row>
    <row r="207" spans="1:4" ht="12.75">
      <c r="A207" s="90"/>
      <c r="B207" s="47"/>
      <c r="C207" s="99"/>
      <c r="D207" s="48"/>
    </row>
    <row r="208" spans="1:4" ht="12.75">
      <c r="A208" s="90"/>
      <c r="B208" s="47"/>
      <c r="C208" s="99"/>
      <c r="D208" s="48"/>
    </row>
    <row r="209" spans="1:4" ht="12.75">
      <c r="A209" s="90"/>
      <c r="B209" s="47"/>
      <c r="C209" s="99"/>
      <c r="D209" s="48"/>
    </row>
    <row r="210" spans="1:4" ht="12.75">
      <c r="A210" s="90"/>
      <c r="B210" s="47"/>
      <c r="C210" s="99"/>
      <c r="D210" s="48"/>
    </row>
    <row r="211" spans="1:4" ht="12.75">
      <c r="A211" s="90"/>
      <c r="B211" s="47"/>
      <c r="C211" s="99"/>
      <c r="D211" s="48"/>
    </row>
    <row r="212" spans="1:4" ht="12.75">
      <c r="A212" s="90"/>
      <c r="B212" s="47"/>
      <c r="C212" s="99"/>
      <c r="D212" s="48"/>
    </row>
    <row r="213" spans="1:4" ht="12.75">
      <c r="A213" s="90"/>
      <c r="B213" s="47"/>
      <c r="C213" s="99"/>
      <c r="D213" s="48"/>
    </row>
    <row r="214" spans="1:4" ht="12.75">
      <c r="A214" s="90"/>
      <c r="B214" s="47"/>
      <c r="C214" s="99"/>
      <c r="D214" s="48"/>
    </row>
    <row r="215" spans="1:4" ht="12.75">
      <c r="A215" s="90"/>
      <c r="B215" s="47"/>
      <c r="C215" s="99"/>
      <c r="D215" s="48"/>
    </row>
    <row r="216" spans="1:4" ht="12.75">
      <c r="A216" s="90"/>
      <c r="B216" s="47"/>
      <c r="C216" s="99"/>
      <c r="D216" s="48"/>
    </row>
    <row r="217" spans="1:4" ht="12.75">
      <c r="A217" s="90"/>
      <c r="B217" s="47"/>
      <c r="C217" s="99"/>
      <c r="D217" s="48"/>
    </row>
    <row r="218" spans="1:4" ht="12.75">
      <c r="A218" s="90"/>
      <c r="B218" s="47"/>
      <c r="C218" s="99"/>
      <c r="D218" s="48"/>
    </row>
    <row r="219" spans="1:4" ht="12.75">
      <c r="A219" s="90"/>
      <c r="B219" s="47"/>
      <c r="C219" s="99"/>
      <c r="D219" s="48"/>
    </row>
    <row r="220" spans="1:4" ht="12.75">
      <c r="A220" s="90"/>
      <c r="B220" s="47"/>
      <c r="C220" s="99"/>
      <c r="D220" s="48"/>
    </row>
    <row r="221" spans="1:4" ht="12.75">
      <c r="A221" s="90"/>
      <c r="B221" s="47"/>
      <c r="C221" s="99"/>
      <c r="D221" s="48"/>
    </row>
    <row r="222" spans="1:4" ht="12.75">
      <c r="A222" s="90"/>
      <c r="B222" s="47"/>
      <c r="C222" s="99"/>
      <c r="D222" s="48"/>
    </row>
    <row r="223" spans="1:4" ht="12.75">
      <c r="A223" s="90"/>
      <c r="B223" s="47"/>
      <c r="C223" s="99"/>
      <c r="D223" s="48"/>
    </row>
    <row r="224" spans="1:4" ht="12.75">
      <c r="A224" s="90"/>
      <c r="B224" s="47"/>
      <c r="C224" s="99"/>
      <c r="D224" s="48"/>
    </row>
    <row r="225" spans="1:4" ht="12.75">
      <c r="A225" s="90"/>
      <c r="B225" s="47"/>
      <c r="C225" s="99"/>
      <c r="D225" s="48"/>
    </row>
    <row r="226" spans="1:4" ht="12.75">
      <c r="A226" s="90"/>
      <c r="B226" s="47"/>
      <c r="C226" s="99"/>
      <c r="D226" s="48"/>
    </row>
    <row r="227" spans="1:4" ht="12.75">
      <c r="A227" s="90"/>
      <c r="B227" s="47"/>
      <c r="C227" s="99"/>
      <c r="D227" s="48"/>
    </row>
    <row r="228" spans="1:4" ht="12.75">
      <c r="A228" s="90"/>
      <c r="B228" s="47"/>
      <c r="C228" s="99"/>
      <c r="D228" s="48"/>
    </row>
    <row r="229" spans="1:4" ht="12.75">
      <c r="A229" s="90"/>
      <c r="B229" s="47"/>
      <c r="C229" s="99"/>
      <c r="D229" s="48"/>
    </row>
    <row r="230" spans="1:4" ht="12.75">
      <c r="A230" s="90"/>
      <c r="B230" s="47"/>
      <c r="C230" s="99"/>
      <c r="D230" s="48"/>
    </row>
    <row r="231" spans="1:4" ht="12.75">
      <c r="A231" s="90"/>
      <c r="B231" s="47"/>
      <c r="C231" s="99"/>
      <c r="D231" s="48"/>
    </row>
    <row r="232" spans="1:4" ht="12.75">
      <c r="A232" s="90"/>
      <c r="B232" s="47"/>
      <c r="C232" s="99"/>
      <c r="D232" s="48"/>
    </row>
    <row r="233" spans="1:4" ht="12.75">
      <c r="A233" s="90"/>
      <c r="B233" s="47"/>
      <c r="C233" s="99"/>
      <c r="D233" s="48"/>
    </row>
    <row r="234" spans="1:4" ht="12.75">
      <c r="A234" s="90"/>
      <c r="B234" s="47"/>
      <c r="C234" s="99"/>
      <c r="D234" s="48"/>
    </row>
    <row r="235" spans="1:4" ht="12.75">
      <c r="A235" s="90"/>
      <c r="B235" s="47"/>
      <c r="C235" s="99"/>
      <c r="D235" s="48"/>
    </row>
    <row r="236" spans="1:4" ht="12.75">
      <c r="A236" s="90"/>
      <c r="B236" s="47"/>
      <c r="C236" s="99"/>
      <c r="D236" s="48"/>
    </row>
    <row r="237" spans="1:4" ht="12.75">
      <c r="A237" s="90"/>
      <c r="B237" s="20"/>
      <c r="C237" s="100"/>
      <c r="D237" s="49"/>
    </row>
    <row r="238" spans="1:4" ht="12.75">
      <c r="A238" s="90"/>
      <c r="B238" s="20"/>
      <c r="C238" s="100"/>
      <c r="D238" s="49"/>
    </row>
    <row r="239" spans="1:4" ht="12.75">
      <c r="A239" s="90"/>
      <c r="B239" s="20"/>
      <c r="C239" s="100"/>
      <c r="D239" s="49"/>
    </row>
    <row r="240" spans="1:4" ht="12.75">
      <c r="A240" s="90"/>
      <c r="B240" s="20"/>
      <c r="C240" s="100"/>
      <c r="D240" s="49"/>
    </row>
    <row r="241" spans="1:4" ht="12.75">
      <c r="A241" s="90"/>
      <c r="B241" s="20"/>
      <c r="C241" s="100"/>
      <c r="D241" s="49"/>
    </row>
    <row r="242" spans="1:4" ht="12.75">
      <c r="A242" s="90"/>
      <c r="B242" s="20"/>
      <c r="C242" s="100"/>
      <c r="D242" s="49"/>
    </row>
    <row r="243" spans="1:4" ht="12.75">
      <c r="A243" s="90"/>
      <c r="B243" s="20"/>
      <c r="C243" s="100"/>
      <c r="D243" s="49"/>
    </row>
    <row r="244" spans="1:4" ht="12.75">
      <c r="A244" s="90"/>
      <c r="B244" s="20"/>
      <c r="C244" s="100"/>
      <c r="D244" s="49"/>
    </row>
    <row r="245" spans="1:4" ht="12.75">
      <c r="A245" s="90"/>
      <c r="B245" s="20"/>
      <c r="C245" s="100"/>
      <c r="D245" s="49"/>
    </row>
    <row r="246" spans="1:4" ht="12.75">
      <c r="A246" s="90"/>
      <c r="B246" s="20"/>
      <c r="C246" s="100"/>
      <c r="D246" s="49"/>
    </row>
    <row r="247" spans="1:4" ht="12.75">
      <c r="A247" s="90"/>
      <c r="B247" s="20"/>
      <c r="C247" s="100"/>
      <c r="D247" s="49"/>
    </row>
    <row r="248" spans="1:4" ht="12.75">
      <c r="A248" s="90"/>
      <c r="B248" s="20"/>
      <c r="C248" s="100"/>
      <c r="D248" s="49"/>
    </row>
    <row r="249" spans="1:4" ht="12.75">
      <c r="A249" s="90"/>
      <c r="B249" s="20"/>
      <c r="C249" s="100"/>
      <c r="D249" s="49"/>
    </row>
    <row r="250" spans="1:4" ht="12.75">
      <c r="A250" s="90"/>
      <c r="B250" s="20"/>
      <c r="C250" s="100"/>
      <c r="D250" s="49"/>
    </row>
    <row r="251" spans="1:4" ht="12.75">
      <c r="A251" s="90"/>
      <c r="B251" s="20"/>
      <c r="C251" s="100"/>
      <c r="D251" s="49"/>
    </row>
    <row r="252" spans="1:4" ht="12.75">
      <c r="A252" s="90"/>
      <c r="B252" s="20"/>
      <c r="C252" s="100"/>
      <c r="D252" s="49"/>
    </row>
    <row r="253" spans="1:4" ht="12.75">
      <c r="A253" s="90"/>
      <c r="B253" s="20"/>
      <c r="C253" s="100"/>
      <c r="D253" s="49"/>
    </row>
    <row r="254" spans="1:4" ht="12.75">
      <c r="A254" s="90"/>
      <c r="B254" s="20"/>
      <c r="C254" s="100"/>
      <c r="D254" s="49"/>
    </row>
    <row r="255" spans="1:4" ht="12.75">
      <c r="A255" s="90"/>
      <c r="B255" s="20"/>
      <c r="C255" s="100"/>
      <c r="D255" s="49"/>
    </row>
    <row r="256" spans="1:4" ht="12.75">
      <c r="A256" s="90"/>
      <c r="B256" s="20"/>
      <c r="C256" s="100"/>
      <c r="D256" s="49"/>
    </row>
    <row r="257" ht="12.75">
      <c r="A257" s="90"/>
    </row>
    <row r="258" ht="12.75">
      <c r="A258" s="90"/>
    </row>
    <row r="259" ht="12.75">
      <c r="A259" s="90"/>
    </row>
    <row r="260" ht="12.75">
      <c r="A260" s="90"/>
    </row>
    <row r="261" ht="12.75">
      <c r="A261" s="90"/>
    </row>
    <row r="262" ht="12.75">
      <c r="A262" s="90"/>
    </row>
    <row r="263" ht="12.75">
      <c r="A263" s="90"/>
    </row>
    <row r="264" ht="12.75">
      <c r="A264" s="90"/>
    </row>
    <row r="265" ht="12.75">
      <c r="A265" s="90"/>
    </row>
    <row r="266" ht="12.75">
      <c r="A266" s="90"/>
    </row>
    <row r="267" ht="12.75">
      <c r="A267" s="90"/>
    </row>
    <row r="268" ht="12.75">
      <c r="A268" s="90"/>
    </row>
    <row r="269" ht="12.75">
      <c r="A269" s="90"/>
    </row>
    <row r="270" ht="12.75">
      <c r="A270" s="90"/>
    </row>
    <row r="271" ht="12.75">
      <c r="A271" s="90"/>
    </row>
    <row r="272" ht="12.75">
      <c r="A272" s="90"/>
    </row>
    <row r="273" ht="12.75">
      <c r="A273" s="90"/>
    </row>
    <row r="274" ht="12.75">
      <c r="A274" s="90"/>
    </row>
    <row r="275" ht="12.75">
      <c r="A275" s="90"/>
    </row>
    <row r="276" ht="12.75">
      <c r="A276" s="90"/>
    </row>
    <row r="277" ht="12.75">
      <c r="A277" s="90"/>
    </row>
    <row r="278" ht="12.75">
      <c r="A278" s="90"/>
    </row>
    <row r="279" ht="12.75">
      <c r="A279" s="90"/>
    </row>
    <row r="280" ht="12.75">
      <c r="A280" s="90"/>
    </row>
    <row r="281" ht="12.75">
      <c r="A281" s="90"/>
    </row>
    <row r="282" ht="12.75">
      <c r="A282" s="90"/>
    </row>
    <row r="283" ht="12.75">
      <c r="A283" s="90"/>
    </row>
    <row r="284" ht="12.75">
      <c r="A284" s="90"/>
    </row>
    <row r="285" ht="12.75">
      <c r="A285" s="90"/>
    </row>
    <row r="286" ht="12.75">
      <c r="A286" s="90"/>
    </row>
    <row r="287" ht="12.75">
      <c r="A287" s="90"/>
    </row>
    <row r="288" ht="12.75">
      <c r="A288" s="90"/>
    </row>
    <row r="289" ht="12.75">
      <c r="A289" s="90"/>
    </row>
    <row r="290" ht="12.75">
      <c r="A290" s="90"/>
    </row>
    <row r="291" ht="12.75">
      <c r="A291" s="90"/>
    </row>
    <row r="292" ht="12.75">
      <c r="A292" s="90"/>
    </row>
    <row r="293" ht="12.75">
      <c r="A293" s="90"/>
    </row>
    <row r="294" ht="12.75">
      <c r="A294" s="90"/>
    </row>
    <row r="295" ht="12.75">
      <c r="A295" s="90"/>
    </row>
    <row r="296" ht="12.75">
      <c r="A296" s="90"/>
    </row>
    <row r="297" ht="12.75">
      <c r="A297" s="90"/>
    </row>
    <row r="298" ht="12.75">
      <c r="A298" s="90"/>
    </row>
    <row r="299" ht="12.75">
      <c r="A299" s="90"/>
    </row>
    <row r="300" ht="12.75">
      <c r="A300" s="90"/>
    </row>
    <row r="301" ht="12.75">
      <c r="A301" s="90"/>
    </row>
    <row r="302" ht="12.75">
      <c r="A302" s="90"/>
    </row>
    <row r="303" ht="12.75">
      <c r="A303" s="90"/>
    </row>
    <row r="304" ht="12.75">
      <c r="A304" s="90"/>
    </row>
    <row r="305" ht="12.75">
      <c r="A305" s="90"/>
    </row>
    <row r="306" ht="12.75">
      <c r="A306" s="90"/>
    </row>
    <row r="307" ht="12.75">
      <c r="A307" s="90"/>
    </row>
    <row r="308" ht="12.75">
      <c r="A308" s="90"/>
    </row>
    <row r="309" ht="12.75">
      <c r="A309" s="90"/>
    </row>
    <row r="310" ht="12.75">
      <c r="A310" s="90"/>
    </row>
    <row r="311" ht="12.75">
      <c r="A311" s="90"/>
    </row>
    <row r="312" ht="12.75">
      <c r="A312" s="90"/>
    </row>
    <row r="313" ht="12.75">
      <c r="A313" s="90"/>
    </row>
    <row r="314" ht="12.75">
      <c r="A314" s="90"/>
    </row>
    <row r="315" ht="12.75">
      <c r="A315" s="90"/>
    </row>
    <row r="316" ht="12.75">
      <c r="A316" s="90"/>
    </row>
    <row r="317" ht="12.75">
      <c r="A317" s="90"/>
    </row>
    <row r="318" ht="12.75">
      <c r="A318" s="90"/>
    </row>
    <row r="319" ht="12.75">
      <c r="A319" s="90"/>
    </row>
    <row r="320" ht="12.75">
      <c r="A320" s="90"/>
    </row>
    <row r="321" ht="12.75">
      <c r="A321" s="90"/>
    </row>
    <row r="322" ht="12.75">
      <c r="A322" s="90"/>
    </row>
    <row r="323" ht="12.75">
      <c r="A323" s="90"/>
    </row>
    <row r="324" ht="12.75">
      <c r="A324" s="90"/>
    </row>
    <row r="325" ht="12.75">
      <c r="A325" s="90"/>
    </row>
    <row r="326" ht="12.75">
      <c r="A326" s="90"/>
    </row>
    <row r="327" ht="12.75">
      <c r="A327" s="90"/>
    </row>
    <row r="328" ht="12.75">
      <c r="A328" s="90"/>
    </row>
    <row r="329" ht="12.75">
      <c r="A329" s="90"/>
    </row>
    <row r="330" ht="12.75">
      <c r="A330" s="90"/>
    </row>
    <row r="331" ht="12.75">
      <c r="A331" s="90"/>
    </row>
    <row r="332" ht="12.75">
      <c r="A332" s="90"/>
    </row>
    <row r="333" ht="12.75">
      <c r="A333" s="90"/>
    </row>
    <row r="334" ht="12.75">
      <c r="A334" s="90"/>
    </row>
    <row r="335" ht="12.75">
      <c r="A335" s="90"/>
    </row>
    <row r="336" ht="12.75">
      <c r="A336" s="90"/>
    </row>
    <row r="337" ht="12.75">
      <c r="A337" s="90"/>
    </row>
    <row r="338" ht="12.75">
      <c r="A338" s="90"/>
    </row>
    <row r="339" ht="12.75">
      <c r="A339" s="90"/>
    </row>
    <row r="340" ht="12.75">
      <c r="A340" s="90"/>
    </row>
    <row r="341" ht="12.75">
      <c r="A341" s="90"/>
    </row>
    <row r="342" ht="12.75">
      <c r="A342" s="90"/>
    </row>
    <row r="343" ht="12.75">
      <c r="A343" s="90"/>
    </row>
    <row r="344" ht="12.75">
      <c r="A344" s="90"/>
    </row>
    <row r="345" ht="12.75">
      <c r="A345" s="90"/>
    </row>
    <row r="346" ht="12.75">
      <c r="A346" s="90"/>
    </row>
    <row r="347" ht="12.75">
      <c r="A347" s="90"/>
    </row>
    <row r="348" ht="12.75">
      <c r="A348" s="90"/>
    </row>
    <row r="349" ht="12.75">
      <c r="A349" s="90"/>
    </row>
    <row r="350" ht="12.75">
      <c r="A350" s="90"/>
    </row>
    <row r="351" ht="12.75">
      <c r="A351" s="90"/>
    </row>
    <row r="352" ht="12.75">
      <c r="A352" s="90"/>
    </row>
    <row r="353" ht="12.75">
      <c r="A353" s="90"/>
    </row>
    <row r="354" ht="12.75">
      <c r="A354" s="90"/>
    </row>
    <row r="355" ht="12.75">
      <c r="A355" s="90"/>
    </row>
    <row r="356" ht="12.75">
      <c r="A356" s="90"/>
    </row>
    <row r="357" ht="12.75">
      <c r="A357" s="90"/>
    </row>
    <row r="358" ht="12.75">
      <c r="A358" s="90"/>
    </row>
    <row r="359" ht="12.75">
      <c r="A359" s="90"/>
    </row>
    <row r="360" ht="12.75">
      <c r="A360" s="90"/>
    </row>
    <row r="361" ht="12.75">
      <c r="A361" s="90"/>
    </row>
    <row r="362" ht="12.75">
      <c r="A362" s="90"/>
    </row>
    <row r="363" ht="12.75">
      <c r="A363" s="90"/>
    </row>
    <row r="364" ht="12.75">
      <c r="A364" s="90"/>
    </row>
    <row r="365" ht="12.75">
      <c r="A365" s="90"/>
    </row>
    <row r="366" ht="12.75">
      <c r="A366" s="90"/>
    </row>
    <row r="367" ht="12.75">
      <c r="A367" s="90"/>
    </row>
    <row r="368" ht="12.75">
      <c r="A368" s="90"/>
    </row>
    <row r="369" ht="12.75">
      <c r="A369" s="90"/>
    </row>
    <row r="370" ht="12.75">
      <c r="A370" s="90"/>
    </row>
    <row r="371" ht="12.75">
      <c r="A371" s="90"/>
    </row>
    <row r="372" ht="12.75">
      <c r="A372" s="90"/>
    </row>
    <row r="373" ht="12.75">
      <c r="A373" s="90"/>
    </row>
    <row r="374" ht="12.75">
      <c r="A374" s="90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B26">
      <selection activeCell="I26" sqref="I26"/>
    </sheetView>
  </sheetViews>
  <sheetFormatPr defaultColWidth="9.140625" defaultRowHeight="12.75"/>
  <cols>
    <col min="1" max="1" width="33.57421875" style="204" customWidth="1"/>
    <col min="2" max="2" width="11.7109375" style="204" customWidth="1"/>
    <col min="3" max="3" width="11.140625" style="204" customWidth="1"/>
    <col min="4" max="4" width="11.57421875" style="204" customWidth="1"/>
    <col min="5" max="5" width="11.8515625" style="204" customWidth="1"/>
    <col min="6" max="6" width="11.140625" style="204" customWidth="1"/>
    <col min="7" max="7" width="10.140625" style="204" customWidth="1"/>
    <col min="8" max="8" width="10.28125" style="204" customWidth="1"/>
    <col min="9" max="9" width="9.7109375" style="204" customWidth="1"/>
    <col min="10" max="10" width="10.140625" style="204" customWidth="1"/>
    <col min="11" max="11" width="11.140625" style="204" customWidth="1"/>
    <col min="12" max="16384" width="9.140625" style="204" customWidth="1"/>
  </cols>
  <sheetData>
    <row r="1" spans="1:11" s="221" customFormat="1" ht="18">
      <c r="A1" s="220" t="s">
        <v>152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2:10" s="35" customFormat="1" ht="12.75">
      <c r="B2" s="164"/>
      <c r="C2" s="164"/>
      <c r="J2" s="206"/>
    </row>
    <row r="3" spans="1:11" s="199" customFormat="1" ht="12">
      <c r="A3" s="222"/>
      <c r="B3" s="223" t="s">
        <v>153</v>
      </c>
      <c r="C3" s="224"/>
      <c r="D3" s="225" t="s">
        <v>154</v>
      </c>
      <c r="E3" s="226"/>
      <c r="F3" s="227" t="s">
        <v>154</v>
      </c>
      <c r="G3" s="228" t="s">
        <v>155</v>
      </c>
      <c r="H3" s="229"/>
      <c r="I3" s="229"/>
      <c r="J3" s="230"/>
      <c r="K3" s="231" t="s">
        <v>153</v>
      </c>
    </row>
    <row r="4" spans="1:11" s="199" customFormat="1" ht="12">
      <c r="A4" s="232" t="s">
        <v>156</v>
      </c>
      <c r="B4" s="233" t="s">
        <v>157</v>
      </c>
      <c r="C4" s="234"/>
      <c r="D4" s="233" t="s">
        <v>158</v>
      </c>
      <c r="E4" s="234"/>
      <c r="F4" s="235" t="s">
        <v>159</v>
      </c>
      <c r="G4" s="231" t="s">
        <v>153</v>
      </c>
      <c r="H4" s="231" t="s">
        <v>153</v>
      </c>
      <c r="I4" s="231" t="s">
        <v>160</v>
      </c>
      <c r="J4" s="231" t="s">
        <v>153</v>
      </c>
      <c r="K4" s="232" t="s">
        <v>161</v>
      </c>
    </row>
    <row r="5" spans="1:11" s="199" customFormat="1" ht="12.75">
      <c r="A5" s="232" t="s">
        <v>162</v>
      </c>
      <c r="B5" s="236"/>
      <c r="C5" s="237"/>
      <c r="D5" s="238" t="s">
        <v>1458</v>
      </c>
      <c r="E5" s="234"/>
      <c r="F5" s="235" t="s">
        <v>1446</v>
      </c>
      <c r="G5" s="232" t="s">
        <v>163</v>
      </c>
      <c r="H5" s="232" t="s">
        <v>164</v>
      </c>
      <c r="I5" s="232" t="s">
        <v>165</v>
      </c>
      <c r="J5" s="232" t="s">
        <v>166</v>
      </c>
      <c r="K5" s="232" t="s">
        <v>167</v>
      </c>
    </row>
    <row r="6" spans="1:11" s="199" customFormat="1" ht="12.75">
      <c r="A6" s="239"/>
      <c r="B6" s="232" t="s">
        <v>168</v>
      </c>
      <c r="C6" s="240"/>
      <c r="D6" s="232" t="s">
        <v>168</v>
      </c>
      <c r="E6" s="241" t="s">
        <v>169</v>
      </c>
      <c r="F6" s="235" t="s">
        <v>170</v>
      </c>
      <c r="G6" s="232" t="s">
        <v>171</v>
      </c>
      <c r="H6" s="232" t="s">
        <v>171</v>
      </c>
      <c r="I6" s="232" t="s">
        <v>172</v>
      </c>
      <c r="J6" s="232" t="s">
        <v>1452</v>
      </c>
      <c r="K6" s="232" t="s">
        <v>173</v>
      </c>
    </row>
    <row r="7" spans="1:11" s="199" customFormat="1" ht="12">
      <c r="A7" s="239"/>
      <c r="B7" s="242" t="s">
        <v>174</v>
      </c>
      <c r="C7" s="242" t="s">
        <v>175</v>
      </c>
      <c r="D7" s="242" t="s">
        <v>174</v>
      </c>
      <c r="E7" s="242" t="s">
        <v>175</v>
      </c>
      <c r="F7" s="243" t="s">
        <v>175</v>
      </c>
      <c r="G7" s="232" t="s">
        <v>175</v>
      </c>
      <c r="H7" s="232" t="s">
        <v>175</v>
      </c>
      <c r="I7" s="232" t="s">
        <v>175</v>
      </c>
      <c r="J7" s="232" t="s">
        <v>175</v>
      </c>
      <c r="K7" s="242" t="s">
        <v>175</v>
      </c>
    </row>
    <row r="8" spans="1:11" s="35" customFormat="1" ht="12.75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228">
        <v>6</v>
      </c>
      <c r="G8" s="116">
        <v>7</v>
      </c>
      <c r="H8" s="116">
        <v>8</v>
      </c>
      <c r="I8" s="116">
        <v>9</v>
      </c>
      <c r="J8" s="116">
        <v>10</v>
      </c>
      <c r="K8" s="116">
        <v>11</v>
      </c>
    </row>
    <row r="9" spans="1:11" s="107" customFormat="1" ht="11.25">
      <c r="A9" s="244" t="s">
        <v>176</v>
      </c>
      <c r="B9" s="245"/>
      <c r="C9" s="245"/>
      <c r="D9" s="245"/>
      <c r="E9" s="245"/>
      <c r="F9" s="245"/>
      <c r="G9" s="245"/>
      <c r="H9" s="245"/>
      <c r="I9" s="245"/>
      <c r="J9" s="245"/>
      <c r="K9" s="246"/>
    </row>
    <row r="10" spans="1:11" s="107" customFormat="1" ht="11.25">
      <c r="A10" s="247" t="s">
        <v>177</v>
      </c>
      <c r="B10" s="248">
        <f>2254621+1676693+2028553</f>
        <v>5959867</v>
      </c>
      <c r="C10" s="248">
        <v>2485265</v>
      </c>
      <c r="D10" s="248">
        <f>749171+1173685+1726836</f>
        <v>3649692</v>
      </c>
      <c r="E10" s="248">
        <f>F10+G10-H10+I10</f>
        <v>1521922</v>
      </c>
      <c r="F10" s="249">
        <v>1161100</v>
      </c>
      <c r="G10" s="248">
        <v>768246</v>
      </c>
      <c r="H10" s="248">
        <v>438201</v>
      </c>
      <c r="I10" s="248">
        <v>30777</v>
      </c>
      <c r="J10" s="248">
        <v>67896</v>
      </c>
      <c r="K10" s="250">
        <v>0</v>
      </c>
    </row>
    <row r="11" spans="1:11" s="107" customFormat="1" ht="11.25">
      <c r="A11" s="251" t="s">
        <v>178</v>
      </c>
      <c r="B11" s="252">
        <f aca="true" t="shared" si="0" ref="B11:K11">SUM(B10)</f>
        <v>5959867</v>
      </c>
      <c r="C11" s="252">
        <f t="shared" si="0"/>
        <v>2485265</v>
      </c>
      <c r="D11" s="252">
        <f t="shared" si="0"/>
        <v>3649692</v>
      </c>
      <c r="E11" s="252">
        <f t="shared" si="0"/>
        <v>1521922</v>
      </c>
      <c r="F11" s="253">
        <f t="shared" si="0"/>
        <v>1161100</v>
      </c>
      <c r="G11" s="252">
        <f t="shared" si="0"/>
        <v>768246</v>
      </c>
      <c r="H11" s="252">
        <f t="shared" si="0"/>
        <v>438201</v>
      </c>
      <c r="I11" s="252">
        <f t="shared" si="0"/>
        <v>30777</v>
      </c>
      <c r="J11" s="252">
        <f t="shared" si="0"/>
        <v>67896</v>
      </c>
      <c r="K11" s="252">
        <f t="shared" si="0"/>
        <v>0</v>
      </c>
    </row>
    <row r="12" spans="1:11" s="107" customFormat="1" ht="11.25">
      <c r="A12" s="244" t="s">
        <v>179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6"/>
    </row>
    <row r="13" spans="1:11" s="107" customFormat="1" ht="11.25">
      <c r="A13" s="254" t="s">
        <v>180</v>
      </c>
      <c r="B13" s="248">
        <v>7320658</v>
      </c>
      <c r="C13" s="248">
        <v>2489024</v>
      </c>
      <c r="D13" s="248">
        <v>5115876</v>
      </c>
      <c r="E13" s="248">
        <f aca="true" t="shared" si="1" ref="E13:E20">F13+G13-H13+I13</f>
        <v>1739398</v>
      </c>
      <c r="F13" s="249">
        <v>2031124</v>
      </c>
      <c r="G13" s="248">
        <v>0</v>
      </c>
      <c r="H13" s="248">
        <v>333439</v>
      </c>
      <c r="I13" s="248">
        <v>41713</v>
      </c>
      <c r="J13" s="248">
        <v>86153</v>
      </c>
      <c r="K13" s="250">
        <v>0</v>
      </c>
    </row>
    <row r="14" spans="1:11" s="107" customFormat="1" ht="11.25">
      <c r="A14" s="254" t="s">
        <v>181</v>
      </c>
      <c r="B14" s="248">
        <v>8500000</v>
      </c>
      <c r="C14" s="248">
        <v>2890000</v>
      </c>
      <c r="D14" s="248">
        <v>8500000</v>
      </c>
      <c r="E14" s="248">
        <f t="shared" si="1"/>
        <v>2890000</v>
      </c>
      <c r="F14" s="249">
        <v>2323772</v>
      </c>
      <c r="G14" s="248">
        <v>517579</v>
      </c>
      <c r="H14" s="248">
        <v>0</v>
      </c>
      <c r="I14" s="248">
        <v>48649</v>
      </c>
      <c r="J14" s="248">
        <v>72945</v>
      </c>
      <c r="K14" s="250">
        <v>0</v>
      </c>
    </row>
    <row r="15" spans="1:11" s="107" customFormat="1" ht="11.25">
      <c r="A15" s="255" t="s">
        <v>182</v>
      </c>
      <c r="B15" s="248">
        <v>18600000</v>
      </c>
      <c r="C15" s="248">
        <v>6324000</v>
      </c>
      <c r="D15" s="248">
        <v>0</v>
      </c>
      <c r="E15" s="248">
        <f t="shared" si="1"/>
        <v>0</v>
      </c>
      <c r="F15" s="249">
        <v>0</v>
      </c>
      <c r="G15" s="248">
        <v>0</v>
      </c>
      <c r="H15" s="248">
        <v>0</v>
      </c>
      <c r="I15" s="248">
        <v>0</v>
      </c>
      <c r="J15" s="248">
        <v>0</v>
      </c>
      <c r="K15" s="250">
        <v>6324000</v>
      </c>
    </row>
    <row r="16" spans="1:11" s="107" customFormat="1" ht="11.25">
      <c r="A16" s="254" t="s">
        <v>183</v>
      </c>
      <c r="B16" s="248">
        <v>1443453</v>
      </c>
      <c r="C16" s="248">
        <v>490774</v>
      </c>
      <c r="D16" s="248">
        <v>721727</v>
      </c>
      <c r="E16" s="248">
        <f>F16+G16-H16+I16</f>
        <v>245387</v>
      </c>
      <c r="F16" s="249">
        <v>336469</v>
      </c>
      <c r="G16" s="248">
        <v>0</v>
      </c>
      <c r="H16" s="248">
        <v>97433</v>
      </c>
      <c r="I16" s="248">
        <v>6351</v>
      </c>
      <c r="J16" s="248">
        <v>16145</v>
      </c>
      <c r="K16" s="250">
        <v>0</v>
      </c>
    </row>
    <row r="17" spans="1:11" s="107" customFormat="1" ht="11.25">
      <c r="A17" s="254" t="s">
        <v>184</v>
      </c>
      <c r="B17" s="248">
        <v>15638875</v>
      </c>
      <c r="C17" s="248">
        <v>5317218</v>
      </c>
      <c r="D17" s="248">
        <v>2815228</v>
      </c>
      <c r="E17" s="248">
        <f t="shared" si="1"/>
        <v>957178</v>
      </c>
      <c r="F17" s="249">
        <v>1522297</v>
      </c>
      <c r="G17" s="248">
        <v>0</v>
      </c>
      <c r="H17" s="248">
        <v>589915</v>
      </c>
      <c r="I17" s="248">
        <v>24796</v>
      </c>
      <c r="J17" s="248">
        <v>38780</v>
      </c>
      <c r="K17" s="250">
        <v>0</v>
      </c>
    </row>
    <row r="18" spans="1:11" s="107" customFormat="1" ht="11.25">
      <c r="A18" s="255" t="s">
        <v>185</v>
      </c>
      <c r="B18" s="248">
        <v>90600000</v>
      </c>
      <c r="C18" s="248">
        <v>30804000</v>
      </c>
      <c r="D18" s="248">
        <v>90600000</v>
      </c>
      <c r="E18" s="248">
        <f t="shared" si="1"/>
        <v>30804000</v>
      </c>
      <c r="F18" s="249">
        <v>10056600</v>
      </c>
      <c r="G18" s="248">
        <v>19871600</v>
      </c>
      <c r="H18" s="248">
        <v>0</v>
      </c>
      <c r="I18" s="248">
        <v>875800</v>
      </c>
      <c r="J18" s="248">
        <v>1018171</v>
      </c>
      <c r="K18" s="250">
        <v>0</v>
      </c>
    </row>
    <row r="19" spans="1:11" s="107" customFormat="1" ht="11.25">
      <c r="A19" s="254" t="s">
        <v>186</v>
      </c>
      <c r="B19" s="248">
        <f>435000+29965000</f>
        <v>30400000</v>
      </c>
      <c r="C19" s="248">
        <v>10336000</v>
      </c>
      <c r="D19" s="248">
        <f>435000+3877089</f>
        <v>4312089</v>
      </c>
      <c r="E19" s="248">
        <f>F19+G19-H19+I19</f>
        <v>1466110</v>
      </c>
      <c r="F19" s="249">
        <v>0</v>
      </c>
      <c r="G19" s="248">
        <v>1470329</v>
      </c>
      <c r="H19" s="248">
        <v>0</v>
      </c>
      <c r="I19" s="248">
        <v>-4219</v>
      </c>
      <c r="J19" s="248">
        <v>37006</v>
      </c>
      <c r="K19" s="250">
        <v>8869890</v>
      </c>
    </row>
    <row r="20" spans="1:11" s="107" customFormat="1" ht="11.25">
      <c r="A20" s="254" t="s">
        <v>187</v>
      </c>
      <c r="B20" s="248">
        <v>21715000</v>
      </c>
      <c r="C20" s="248">
        <v>7383100</v>
      </c>
      <c r="D20" s="248">
        <v>0</v>
      </c>
      <c r="E20" s="248">
        <f t="shared" si="1"/>
        <v>0</v>
      </c>
      <c r="F20" s="249">
        <v>0</v>
      </c>
      <c r="G20" s="248">
        <v>0</v>
      </c>
      <c r="H20" s="248">
        <v>0</v>
      </c>
      <c r="I20" s="248">
        <v>0</v>
      </c>
      <c r="J20" s="248">
        <v>0</v>
      </c>
      <c r="K20" s="250">
        <v>7383100</v>
      </c>
    </row>
    <row r="21" spans="1:11" s="107" customFormat="1" ht="11.25">
      <c r="A21" s="251" t="s">
        <v>188</v>
      </c>
      <c r="B21" s="252">
        <f>SUM(B13:B20)</f>
        <v>194217986</v>
      </c>
      <c r="C21" s="252">
        <f aca="true" t="shared" si="2" ref="C21:K21">SUM(C13:C20)</f>
        <v>66034116</v>
      </c>
      <c r="D21" s="252">
        <f t="shared" si="2"/>
        <v>112064920</v>
      </c>
      <c r="E21" s="252">
        <f t="shared" si="2"/>
        <v>38102073</v>
      </c>
      <c r="F21" s="252">
        <f t="shared" si="2"/>
        <v>16270262</v>
      </c>
      <c r="G21" s="252">
        <f t="shared" si="2"/>
        <v>21859508</v>
      </c>
      <c r="H21" s="252">
        <f t="shared" si="2"/>
        <v>1020787</v>
      </c>
      <c r="I21" s="252">
        <f t="shared" si="2"/>
        <v>993090</v>
      </c>
      <c r="J21" s="252">
        <f t="shared" si="2"/>
        <v>1269200</v>
      </c>
      <c r="K21" s="252">
        <f t="shared" si="2"/>
        <v>22576990</v>
      </c>
    </row>
    <row r="22" spans="1:11" s="107" customFormat="1" ht="11.25">
      <c r="A22" s="244" t="s">
        <v>189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6"/>
    </row>
    <row r="23" spans="1:11" s="107" customFormat="1" ht="11.25">
      <c r="A23" s="254" t="s">
        <v>190</v>
      </c>
      <c r="B23" s="248">
        <v>17354867</v>
      </c>
      <c r="C23" s="248">
        <v>1551525</v>
      </c>
      <c r="D23" s="248">
        <v>15313118</v>
      </c>
      <c r="E23" s="248">
        <f>F23+G23-H23+I23</f>
        <v>1368993</v>
      </c>
      <c r="F23" s="249">
        <v>1516815</v>
      </c>
      <c r="G23" s="248">
        <v>0</v>
      </c>
      <c r="H23" s="248">
        <v>180389</v>
      </c>
      <c r="I23" s="248">
        <v>32567</v>
      </c>
      <c r="J23" s="248">
        <v>0</v>
      </c>
      <c r="K23" s="250">
        <v>0</v>
      </c>
    </row>
    <row r="24" spans="1:11" s="107" customFormat="1" ht="11.25">
      <c r="A24" s="254" t="s">
        <v>191</v>
      </c>
      <c r="B24" s="248">
        <v>370211</v>
      </c>
      <c r="C24" s="248">
        <v>33097</v>
      </c>
      <c r="D24" s="248">
        <v>304880</v>
      </c>
      <c r="E24" s="248">
        <f>F24+G24-H24+I24</f>
        <v>27256</v>
      </c>
      <c r="F24" s="249">
        <v>30453</v>
      </c>
      <c r="G24" s="248">
        <v>0</v>
      </c>
      <c r="H24" s="248">
        <v>3863</v>
      </c>
      <c r="I24" s="248">
        <v>666</v>
      </c>
      <c r="J24" s="248">
        <v>0</v>
      </c>
      <c r="K24" s="250">
        <v>0</v>
      </c>
    </row>
    <row r="25" spans="1:11" s="107" customFormat="1" ht="11.25">
      <c r="A25" s="251" t="s">
        <v>192</v>
      </c>
      <c r="B25" s="252">
        <f aca="true" t="shared" si="3" ref="B25:K25">SUM(B23:B24)</f>
        <v>17725078</v>
      </c>
      <c r="C25" s="252">
        <f t="shared" si="3"/>
        <v>1584622</v>
      </c>
      <c r="D25" s="252">
        <f t="shared" si="3"/>
        <v>15617998</v>
      </c>
      <c r="E25" s="252">
        <f t="shared" si="3"/>
        <v>1396249</v>
      </c>
      <c r="F25" s="252">
        <f t="shared" si="3"/>
        <v>1547268</v>
      </c>
      <c r="G25" s="252">
        <f t="shared" si="3"/>
        <v>0</v>
      </c>
      <c r="H25" s="252">
        <f t="shared" si="3"/>
        <v>184252</v>
      </c>
      <c r="I25" s="252">
        <f t="shared" si="3"/>
        <v>33233</v>
      </c>
      <c r="J25" s="252">
        <f t="shared" si="3"/>
        <v>0</v>
      </c>
      <c r="K25" s="252">
        <f t="shared" si="3"/>
        <v>0</v>
      </c>
    </row>
    <row r="26" spans="1:11" s="107" customFormat="1" ht="11.25">
      <c r="A26" s="244" t="s">
        <v>204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6"/>
    </row>
    <row r="27" spans="1:11" s="107" customFormat="1" ht="11.25">
      <c r="A27" s="254" t="s">
        <v>205</v>
      </c>
      <c r="B27" s="248">
        <v>2624056721</v>
      </c>
      <c r="C27" s="248">
        <v>12962840</v>
      </c>
      <c r="D27" s="248">
        <v>2405366721</v>
      </c>
      <c r="E27" s="248">
        <f>F27+G27-H27+I27</f>
        <v>11882512</v>
      </c>
      <c r="F27" s="249">
        <v>11886977</v>
      </c>
      <c r="G27" s="248">
        <v>0</v>
      </c>
      <c r="H27" s="248">
        <v>995040</v>
      </c>
      <c r="I27" s="248">
        <v>990575</v>
      </c>
      <c r="J27" s="248">
        <v>477602</v>
      </c>
      <c r="K27" s="250">
        <v>0</v>
      </c>
    </row>
    <row r="28" spans="1:11" s="107" customFormat="1" ht="11.25">
      <c r="A28" s="254" t="s">
        <v>206</v>
      </c>
      <c r="B28" s="248">
        <v>3183750000</v>
      </c>
      <c r="C28" s="248">
        <v>15727725</v>
      </c>
      <c r="D28" s="248">
        <v>2807928001</v>
      </c>
      <c r="E28" s="248">
        <f>F28+G28-H28+I28</f>
        <v>13871164</v>
      </c>
      <c r="F28" s="249">
        <v>11302351</v>
      </c>
      <c r="G28" s="248">
        <v>1836944</v>
      </c>
      <c r="H28" s="248">
        <v>405373</v>
      </c>
      <c r="I28" s="248">
        <v>1137242</v>
      </c>
      <c r="J28" s="248">
        <v>416032</v>
      </c>
      <c r="K28" s="250">
        <v>1404353</v>
      </c>
    </row>
    <row r="29" spans="1:11" s="107" customFormat="1" ht="11.25">
      <c r="A29" s="251" t="s">
        <v>207</v>
      </c>
      <c r="B29" s="253">
        <f aca="true" t="shared" si="4" ref="B29:K29">SUM(B27:B28)</f>
        <v>5807806721</v>
      </c>
      <c r="C29" s="253">
        <f t="shared" si="4"/>
        <v>28690565</v>
      </c>
      <c r="D29" s="253">
        <f t="shared" si="4"/>
        <v>5213294722</v>
      </c>
      <c r="E29" s="253">
        <f t="shared" si="4"/>
        <v>25753676</v>
      </c>
      <c r="F29" s="253">
        <f t="shared" si="4"/>
        <v>23189328</v>
      </c>
      <c r="G29" s="253">
        <f t="shared" si="4"/>
        <v>1836944</v>
      </c>
      <c r="H29" s="253">
        <f t="shared" si="4"/>
        <v>1400413</v>
      </c>
      <c r="I29" s="253">
        <f t="shared" si="4"/>
        <v>2127817</v>
      </c>
      <c r="J29" s="253">
        <f t="shared" si="4"/>
        <v>893634</v>
      </c>
      <c r="K29" s="252">
        <f t="shared" si="4"/>
        <v>1404353</v>
      </c>
    </row>
    <row r="30" spans="1:11" s="107" customFormat="1" ht="11.25">
      <c r="A30" s="244" t="s">
        <v>208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6"/>
    </row>
    <row r="31" spans="1:11" s="107" customFormat="1" ht="11.25">
      <c r="A31" s="254" t="s">
        <v>209</v>
      </c>
      <c r="B31" s="248">
        <v>3000000</v>
      </c>
      <c r="C31" s="248">
        <v>210900</v>
      </c>
      <c r="D31" s="248">
        <v>1819218</v>
      </c>
      <c r="E31" s="248">
        <f>F31+G31-H31+I31</f>
        <v>127891</v>
      </c>
      <c r="F31" s="249">
        <v>59921</v>
      </c>
      <c r="G31" s="248">
        <v>77030</v>
      </c>
      <c r="H31" s="248">
        <v>0</v>
      </c>
      <c r="I31" s="248">
        <v>-9060</v>
      </c>
      <c r="J31" s="248">
        <v>0</v>
      </c>
      <c r="K31" s="250">
        <v>83009</v>
      </c>
    </row>
    <row r="32" spans="1:11" s="107" customFormat="1" ht="11.25">
      <c r="A32" s="254" t="s">
        <v>210</v>
      </c>
      <c r="B32" s="248">
        <v>2500000</v>
      </c>
      <c r="C32" s="248">
        <v>175750</v>
      </c>
      <c r="D32" s="248">
        <v>2367873</v>
      </c>
      <c r="E32" s="248">
        <f>F32+G32-H32+I32</f>
        <v>166461</v>
      </c>
      <c r="F32" s="249">
        <v>0</v>
      </c>
      <c r="G32" s="248">
        <v>175693</v>
      </c>
      <c r="H32" s="248">
        <v>0</v>
      </c>
      <c r="I32" s="248">
        <v>-9232</v>
      </c>
      <c r="J32" s="248">
        <v>0</v>
      </c>
      <c r="K32" s="250">
        <v>9289</v>
      </c>
    </row>
    <row r="33" spans="1:11" s="107" customFormat="1" ht="11.25">
      <c r="A33" s="251" t="s">
        <v>329</v>
      </c>
      <c r="B33" s="253">
        <f>SUM(B31+B32)</f>
        <v>5500000</v>
      </c>
      <c r="C33" s="253">
        <f aca="true" t="shared" si="5" ref="C33:K33">SUM(C31+C32)</f>
        <v>386650</v>
      </c>
      <c r="D33" s="253">
        <f t="shared" si="5"/>
        <v>4187091</v>
      </c>
      <c r="E33" s="253">
        <f t="shared" si="5"/>
        <v>294352</v>
      </c>
      <c r="F33" s="253">
        <f t="shared" si="5"/>
        <v>59921</v>
      </c>
      <c r="G33" s="253">
        <f t="shared" si="5"/>
        <v>252723</v>
      </c>
      <c r="H33" s="253">
        <f t="shared" si="5"/>
        <v>0</v>
      </c>
      <c r="I33" s="253">
        <f t="shared" si="5"/>
        <v>-18292</v>
      </c>
      <c r="J33" s="253">
        <f t="shared" si="5"/>
        <v>0</v>
      </c>
      <c r="K33" s="252">
        <f t="shared" si="5"/>
        <v>92298</v>
      </c>
    </row>
    <row r="34" spans="1:11" s="107" customFormat="1" ht="11.25">
      <c r="A34" s="244" t="s">
        <v>330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6"/>
    </row>
    <row r="35" spans="1:11" s="107" customFormat="1" ht="11.25">
      <c r="A35" s="254" t="s">
        <v>331</v>
      </c>
      <c r="B35" s="248">
        <v>41863500</v>
      </c>
      <c r="C35" s="248">
        <v>23820331</v>
      </c>
      <c r="D35" s="248">
        <v>38764182</v>
      </c>
      <c r="E35" s="248">
        <f aca="true" t="shared" si="6" ref="E35:E65">F35+G35-H35+I35</f>
        <v>22056820</v>
      </c>
      <c r="F35" s="249">
        <v>24699465</v>
      </c>
      <c r="G35" s="248">
        <v>0</v>
      </c>
      <c r="H35" s="248">
        <v>1822976</v>
      </c>
      <c r="I35" s="248">
        <v>-819669</v>
      </c>
      <c r="J35" s="248">
        <v>1343035</v>
      </c>
      <c r="K35" s="250">
        <v>0</v>
      </c>
    </row>
    <row r="36" spans="1:11" s="107" customFormat="1" ht="11.25">
      <c r="A36" s="255" t="s">
        <v>332</v>
      </c>
      <c r="B36" s="248">
        <v>25000000</v>
      </c>
      <c r="C36" s="248">
        <v>14225000</v>
      </c>
      <c r="D36" s="248">
        <v>24488192</v>
      </c>
      <c r="E36" s="248">
        <f t="shared" si="6"/>
        <v>13933781</v>
      </c>
      <c r="F36" s="249">
        <v>14750000</v>
      </c>
      <c r="G36" s="248">
        <v>0</v>
      </c>
      <c r="H36" s="248">
        <v>305037</v>
      </c>
      <c r="I36" s="248">
        <v>-511182</v>
      </c>
      <c r="J36" s="248">
        <v>796670</v>
      </c>
      <c r="K36" s="250">
        <v>0</v>
      </c>
    </row>
    <row r="37" spans="1:11" s="260" customFormat="1" ht="11.25">
      <c r="A37" s="256" t="s">
        <v>180</v>
      </c>
      <c r="B37" s="257">
        <v>4713405</v>
      </c>
      <c r="C37" s="248">
        <v>2681927</v>
      </c>
      <c r="D37" s="248">
        <v>3278797</v>
      </c>
      <c r="E37" s="257">
        <f t="shared" si="6"/>
        <v>1865636</v>
      </c>
      <c r="F37" s="258">
        <v>2309755</v>
      </c>
      <c r="G37" s="257">
        <v>0</v>
      </c>
      <c r="H37" s="257">
        <v>372084</v>
      </c>
      <c r="I37" s="257">
        <v>-72035</v>
      </c>
      <c r="J37" s="257">
        <v>141911</v>
      </c>
      <c r="K37" s="259">
        <v>0</v>
      </c>
    </row>
    <row r="38" spans="1:11" s="107" customFormat="1" ht="11.25">
      <c r="A38" s="254" t="s">
        <v>333</v>
      </c>
      <c r="B38" s="248">
        <v>21000000</v>
      </c>
      <c r="C38" s="248">
        <v>11949000</v>
      </c>
      <c r="D38" s="248">
        <v>13363000</v>
      </c>
      <c r="E38" s="248">
        <f t="shared" si="6"/>
        <v>7603547</v>
      </c>
      <c r="F38" s="249">
        <v>12390000</v>
      </c>
      <c r="G38" s="248">
        <v>0</v>
      </c>
      <c r="H38" s="248">
        <v>4544015</v>
      </c>
      <c r="I38" s="248">
        <v>-242438</v>
      </c>
      <c r="J38" s="248">
        <v>729285</v>
      </c>
      <c r="K38" s="250">
        <v>0</v>
      </c>
    </row>
    <row r="39" spans="1:11" s="107" customFormat="1" ht="11.25">
      <c r="A39" s="256" t="s">
        <v>334</v>
      </c>
      <c r="B39" s="248">
        <v>9318877</v>
      </c>
      <c r="C39" s="248">
        <v>5302441</v>
      </c>
      <c r="D39" s="248">
        <v>9318877</v>
      </c>
      <c r="E39" s="248">
        <f t="shared" si="6"/>
        <v>5302441</v>
      </c>
      <c r="F39" s="249">
        <v>5498137</v>
      </c>
      <c r="G39" s="248">
        <v>0</v>
      </c>
      <c r="H39" s="248">
        <v>0</v>
      </c>
      <c r="I39" s="248">
        <v>-195696</v>
      </c>
      <c r="J39" s="248">
        <v>106981</v>
      </c>
      <c r="K39" s="250">
        <v>0</v>
      </c>
    </row>
    <row r="40" spans="1:11" s="107" customFormat="1" ht="11.25">
      <c r="A40" s="256" t="s">
        <v>335</v>
      </c>
      <c r="B40" s="248">
        <v>4000000</v>
      </c>
      <c r="C40" s="248">
        <v>2276000</v>
      </c>
      <c r="D40" s="248">
        <v>3758633</v>
      </c>
      <c r="E40" s="248">
        <f t="shared" si="6"/>
        <v>2138662</v>
      </c>
      <c r="F40" s="249">
        <v>2037018</v>
      </c>
      <c r="G40" s="248">
        <v>183362</v>
      </c>
      <c r="H40" s="248">
        <v>0</v>
      </c>
      <c r="I40" s="248">
        <v>-81718</v>
      </c>
      <c r="J40" s="248">
        <v>115206</v>
      </c>
      <c r="K40" s="250">
        <v>137338</v>
      </c>
    </row>
    <row r="41" spans="1:11" s="107" customFormat="1" ht="11.25">
      <c r="A41" s="256" t="s">
        <v>181</v>
      </c>
      <c r="B41" s="248">
        <v>20000000</v>
      </c>
      <c r="C41" s="248">
        <v>11380000</v>
      </c>
      <c r="D41" s="248">
        <v>15778941</v>
      </c>
      <c r="E41" s="248">
        <f t="shared" si="6"/>
        <v>8978218</v>
      </c>
      <c r="F41" s="249">
        <v>8089289</v>
      </c>
      <c r="G41" s="248">
        <v>1183921</v>
      </c>
      <c r="H41" s="248">
        <v>0</v>
      </c>
      <c r="I41" s="248">
        <v>-294992</v>
      </c>
      <c r="J41" s="248">
        <v>460455</v>
      </c>
      <c r="K41" s="250">
        <v>2401782</v>
      </c>
    </row>
    <row r="42" spans="1:11" s="107" customFormat="1" ht="11.25">
      <c r="A42" s="256" t="s">
        <v>181</v>
      </c>
      <c r="B42" s="248">
        <v>10000000</v>
      </c>
      <c r="C42" s="248">
        <v>5690000</v>
      </c>
      <c r="D42" s="248">
        <v>6107267</v>
      </c>
      <c r="E42" s="248">
        <f t="shared" si="6"/>
        <v>3475035</v>
      </c>
      <c r="F42" s="249">
        <v>2418872</v>
      </c>
      <c r="G42" s="249">
        <v>1171454</v>
      </c>
      <c r="H42" s="249">
        <v>0</v>
      </c>
      <c r="I42" s="249">
        <v>-115291</v>
      </c>
      <c r="J42" s="249">
        <v>149598</v>
      </c>
      <c r="K42" s="250">
        <v>2214965</v>
      </c>
    </row>
    <row r="43" spans="1:11" s="107" customFormat="1" ht="11.25">
      <c r="A43" s="256" t="s">
        <v>336</v>
      </c>
      <c r="B43" s="248">
        <v>9964952</v>
      </c>
      <c r="C43" s="248">
        <v>5670057</v>
      </c>
      <c r="D43" s="248">
        <v>9117519</v>
      </c>
      <c r="E43" s="248">
        <f t="shared" si="6"/>
        <v>5187868</v>
      </c>
      <c r="F43" s="249">
        <v>5750330</v>
      </c>
      <c r="G43" s="248">
        <v>129889</v>
      </c>
      <c r="H43" s="248">
        <v>507915</v>
      </c>
      <c r="I43" s="248">
        <v>-184436</v>
      </c>
      <c r="J43" s="248">
        <v>382877</v>
      </c>
      <c r="K43" s="250">
        <v>0</v>
      </c>
    </row>
    <row r="44" spans="1:11" s="107" customFormat="1" ht="11.25">
      <c r="A44" s="256" t="s">
        <v>337</v>
      </c>
      <c r="B44" s="248">
        <v>14000000</v>
      </c>
      <c r="C44" s="248">
        <v>7966000</v>
      </c>
      <c r="D44" s="248">
        <v>12031144</v>
      </c>
      <c r="E44" s="248">
        <f t="shared" si="6"/>
        <v>6845721</v>
      </c>
      <c r="F44" s="249">
        <v>4612084</v>
      </c>
      <c r="G44" s="249">
        <v>2480849</v>
      </c>
      <c r="H44" s="249">
        <v>0</v>
      </c>
      <c r="I44" s="249">
        <v>-247212</v>
      </c>
      <c r="J44" s="249">
        <v>0</v>
      </c>
      <c r="K44" s="250">
        <v>1120279</v>
      </c>
    </row>
    <row r="45" spans="1:11" s="107" customFormat="1" ht="11.25">
      <c r="A45" s="256" t="s">
        <v>338</v>
      </c>
      <c r="B45" s="248">
        <v>2431832</v>
      </c>
      <c r="C45" s="248">
        <v>1383713</v>
      </c>
      <c r="D45" s="248">
        <v>2288783</v>
      </c>
      <c r="E45" s="248">
        <f t="shared" si="6"/>
        <v>1302318</v>
      </c>
      <c r="F45" s="249">
        <v>1434781</v>
      </c>
      <c r="G45" s="249">
        <v>0</v>
      </c>
      <c r="H45" s="249">
        <v>83398</v>
      </c>
      <c r="I45" s="249">
        <v>-49065</v>
      </c>
      <c r="J45" s="249">
        <v>0</v>
      </c>
      <c r="K45" s="250">
        <v>0</v>
      </c>
    </row>
    <row r="46" spans="1:11" s="107" customFormat="1" ht="11.25">
      <c r="A46" s="261" t="s">
        <v>339</v>
      </c>
      <c r="B46" s="262">
        <v>508417</v>
      </c>
      <c r="C46" s="262">
        <v>289290</v>
      </c>
      <c r="D46" s="262">
        <v>508417</v>
      </c>
      <c r="E46" s="262">
        <f t="shared" si="6"/>
        <v>289290</v>
      </c>
      <c r="F46" s="263">
        <v>244397</v>
      </c>
      <c r="G46" s="263">
        <v>54896</v>
      </c>
      <c r="H46" s="263">
        <v>0</v>
      </c>
      <c r="I46" s="263">
        <v>-10003</v>
      </c>
      <c r="J46" s="263">
        <v>0</v>
      </c>
      <c r="K46" s="264">
        <v>0</v>
      </c>
    </row>
    <row r="47" spans="1:11" s="107" customFormat="1" ht="11.25">
      <c r="A47" s="265" t="s">
        <v>340</v>
      </c>
      <c r="B47" s="266">
        <v>429809</v>
      </c>
      <c r="C47" s="266">
        <v>244562</v>
      </c>
      <c r="D47" s="266">
        <v>429810</v>
      </c>
      <c r="E47" s="267">
        <f>F47+G47-H47+I47</f>
        <v>244562</v>
      </c>
      <c r="F47" s="268">
        <v>253588</v>
      </c>
      <c r="G47" s="266">
        <v>0</v>
      </c>
      <c r="H47" s="266">
        <v>0</v>
      </c>
      <c r="I47" s="266">
        <v>-9026</v>
      </c>
      <c r="J47" s="266">
        <v>0</v>
      </c>
      <c r="K47" s="269">
        <v>0</v>
      </c>
    </row>
    <row r="48" spans="1:11" s="107" customFormat="1" ht="11.25">
      <c r="A48" s="254" t="s">
        <v>341</v>
      </c>
      <c r="B48" s="248">
        <v>2439258</v>
      </c>
      <c r="C48" s="248">
        <v>1387938</v>
      </c>
      <c r="D48" s="248">
        <v>2439258</v>
      </c>
      <c r="E48" s="257">
        <f>F48+G48-H48+I48</f>
        <v>1387938</v>
      </c>
      <c r="F48" s="249">
        <v>1439162</v>
      </c>
      <c r="G48" s="248">
        <v>0</v>
      </c>
      <c r="H48" s="248">
        <v>0</v>
      </c>
      <c r="I48" s="248">
        <v>-51224</v>
      </c>
      <c r="J48" s="248">
        <v>0</v>
      </c>
      <c r="K48" s="250">
        <v>0</v>
      </c>
    </row>
    <row r="49" spans="1:11" s="107" customFormat="1" ht="11.25">
      <c r="A49" s="255" t="s">
        <v>342</v>
      </c>
      <c r="B49" s="248">
        <v>68662</v>
      </c>
      <c r="C49" s="248">
        <v>39069</v>
      </c>
      <c r="D49" s="248">
        <v>68662</v>
      </c>
      <c r="E49" s="257">
        <f>F49+G49-H49+I49</f>
        <v>39069</v>
      </c>
      <c r="F49" s="249">
        <v>40511</v>
      </c>
      <c r="G49" s="248">
        <v>0</v>
      </c>
      <c r="H49" s="248">
        <v>0</v>
      </c>
      <c r="I49" s="248">
        <v>-1442</v>
      </c>
      <c r="J49" s="248">
        <v>0</v>
      </c>
      <c r="K49" s="250">
        <v>0</v>
      </c>
    </row>
    <row r="50" spans="1:11" s="107" customFormat="1" ht="10.5" customHeight="1">
      <c r="A50" s="256" t="s">
        <v>343</v>
      </c>
      <c r="B50" s="248">
        <v>27300000</v>
      </c>
      <c r="C50" s="248">
        <v>15533700</v>
      </c>
      <c r="D50" s="248">
        <v>15180630</v>
      </c>
      <c r="E50" s="248">
        <f t="shared" si="6"/>
        <v>8637778</v>
      </c>
      <c r="F50" s="249">
        <v>5524441</v>
      </c>
      <c r="G50" s="248">
        <v>3468727</v>
      </c>
      <c r="H50" s="248">
        <v>0</v>
      </c>
      <c r="I50" s="248">
        <v>-355390</v>
      </c>
      <c r="J50" s="248">
        <v>437754</v>
      </c>
      <c r="K50" s="250">
        <v>6895922</v>
      </c>
    </row>
    <row r="51" spans="1:11" s="260" customFormat="1" ht="11.25">
      <c r="A51" s="254" t="s">
        <v>344</v>
      </c>
      <c r="B51" s="257">
        <v>3480477</v>
      </c>
      <c r="C51" s="257">
        <v>1980391</v>
      </c>
      <c r="D51" s="257">
        <v>2123397</v>
      </c>
      <c r="E51" s="257">
        <f t="shared" si="6"/>
        <v>1208156</v>
      </c>
      <c r="F51" s="258">
        <v>1670327</v>
      </c>
      <c r="G51" s="257">
        <v>0</v>
      </c>
      <c r="H51" s="257">
        <v>415812</v>
      </c>
      <c r="I51" s="257">
        <v>-46359</v>
      </c>
      <c r="J51" s="257">
        <v>117721</v>
      </c>
      <c r="K51" s="259">
        <v>0</v>
      </c>
    </row>
    <row r="52" spans="1:11" s="107" customFormat="1" ht="11.25">
      <c r="A52" s="255" t="s">
        <v>345</v>
      </c>
      <c r="B52" s="248">
        <v>216947</v>
      </c>
      <c r="C52" s="248">
        <v>123443</v>
      </c>
      <c r="D52" s="248">
        <v>204185</v>
      </c>
      <c r="E52" s="257">
        <f t="shared" si="6"/>
        <v>116181</v>
      </c>
      <c r="F52" s="249">
        <v>127998</v>
      </c>
      <c r="G52" s="248">
        <v>0</v>
      </c>
      <c r="H52" s="248">
        <v>7440</v>
      </c>
      <c r="I52" s="248">
        <v>-4377</v>
      </c>
      <c r="J52" s="248">
        <v>0</v>
      </c>
      <c r="K52" s="250">
        <v>0</v>
      </c>
    </row>
    <row r="53" spans="1:11" s="107" customFormat="1" ht="11.25">
      <c r="A53" s="256" t="s">
        <v>346</v>
      </c>
      <c r="B53" s="248">
        <v>865940</v>
      </c>
      <c r="C53" s="248">
        <v>492720</v>
      </c>
      <c r="D53" s="248">
        <v>865940</v>
      </c>
      <c r="E53" s="257">
        <f t="shared" si="6"/>
        <v>492720</v>
      </c>
      <c r="F53" s="249">
        <v>510905</v>
      </c>
      <c r="G53" s="248">
        <v>0</v>
      </c>
      <c r="H53" s="248">
        <v>0</v>
      </c>
      <c r="I53" s="248">
        <v>-18185</v>
      </c>
      <c r="J53" s="248">
        <v>0</v>
      </c>
      <c r="K53" s="250">
        <v>0</v>
      </c>
    </row>
    <row r="54" spans="1:11" s="107" customFormat="1" ht="11.25">
      <c r="A54" s="256" t="s">
        <v>347</v>
      </c>
      <c r="B54" s="248">
        <v>516772</v>
      </c>
      <c r="C54" s="248">
        <v>294043</v>
      </c>
      <c r="D54" s="248">
        <v>486374</v>
      </c>
      <c r="E54" s="257">
        <f t="shared" si="6"/>
        <v>276747</v>
      </c>
      <c r="F54" s="249">
        <v>304896</v>
      </c>
      <c r="G54" s="248">
        <v>0</v>
      </c>
      <c r="H54" s="248">
        <v>17722</v>
      </c>
      <c r="I54" s="248">
        <v>-10427</v>
      </c>
      <c r="J54" s="248">
        <v>0</v>
      </c>
      <c r="K54" s="250">
        <v>0</v>
      </c>
    </row>
    <row r="55" spans="1:11" s="107" customFormat="1" ht="11.25">
      <c r="A55" s="256" t="s">
        <v>348</v>
      </c>
      <c r="B55" s="248">
        <v>639740</v>
      </c>
      <c r="C55" s="248">
        <v>364012</v>
      </c>
      <c r="D55" s="248">
        <v>602108</v>
      </c>
      <c r="E55" s="257">
        <f t="shared" si="6"/>
        <v>342600</v>
      </c>
      <c r="F55" s="249">
        <v>377447</v>
      </c>
      <c r="G55" s="248">
        <v>0</v>
      </c>
      <c r="H55" s="248">
        <v>21939</v>
      </c>
      <c r="I55" s="248">
        <v>-12908</v>
      </c>
      <c r="J55" s="248">
        <v>0</v>
      </c>
      <c r="K55" s="250">
        <v>0</v>
      </c>
    </row>
    <row r="56" spans="1:11" s="107" customFormat="1" ht="11.25">
      <c r="A56" s="256" t="s">
        <v>349</v>
      </c>
      <c r="B56" s="248">
        <v>323510</v>
      </c>
      <c r="C56" s="248">
        <v>184077</v>
      </c>
      <c r="D56" s="248">
        <v>304480</v>
      </c>
      <c r="E56" s="257">
        <f t="shared" si="6"/>
        <v>173249</v>
      </c>
      <c r="F56" s="249">
        <v>190871</v>
      </c>
      <c r="G56" s="249">
        <v>0</v>
      </c>
      <c r="H56" s="249">
        <v>11095</v>
      </c>
      <c r="I56" s="249">
        <v>-6527</v>
      </c>
      <c r="J56" s="249">
        <v>0</v>
      </c>
      <c r="K56" s="250">
        <v>0</v>
      </c>
    </row>
    <row r="57" spans="1:11" s="107" customFormat="1" ht="11.25">
      <c r="A57" s="256" t="s">
        <v>350</v>
      </c>
      <c r="B57" s="248">
        <v>264786</v>
      </c>
      <c r="C57" s="248">
        <v>150663</v>
      </c>
      <c r="D57" s="248">
        <v>249210</v>
      </c>
      <c r="E57" s="257">
        <f t="shared" si="6"/>
        <v>141801</v>
      </c>
      <c r="F57" s="249">
        <v>156224</v>
      </c>
      <c r="G57" s="248">
        <v>0</v>
      </c>
      <c r="H57" s="248">
        <v>9081</v>
      </c>
      <c r="I57" s="248">
        <v>-5342</v>
      </c>
      <c r="J57" s="248">
        <v>0</v>
      </c>
      <c r="K57" s="250">
        <v>0</v>
      </c>
    </row>
    <row r="58" spans="1:11" s="107" customFormat="1" ht="11.25">
      <c r="A58" s="256" t="s">
        <v>351</v>
      </c>
      <c r="B58" s="248">
        <v>481315</v>
      </c>
      <c r="C58" s="248">
        <v>273868</v>
      </c>
      <c r="D58" s="248">
        <v>453002</v>
      </c>
      <c r="E58" s="257">
        <f t="shared" si="6"/>
        <v>257758</v>
      </c>
      <c r="F58" s="249">
        <v>283976</v>
      </c>
      <c r="G58" s="249">
        <v>0</v>
      </c>
      <c r="H58" s="249">
        <v>16506</v>
      </c>
      <c r="I58" s="249">
        <v>-9712</v>
      </c>
      <c r="J58" s="249">
        <v>0</v>
      </c>
      <c r="K58" s="250">
        <v>0</v>
      </c>
    </row>
    <row r="59" spans="1:11" s="107" customFormat="1" ht="10.5" customHeight="1">
      <c r="A59" s="256" t="s">
        <v>352</v>
      </c>
      <c r="B59" s="248">
        <v>618768</v>
      </c>
      <c r="C59" s="248">
        <v>352079</v>
      </c>
      <c r="D59" s="248">
        <v>582370</v>
      </c>
      <c r="E59" s="257">
        <f t="shared" si="6"/>
        <v>331368</v>
      </c>
      <c r="F59" s="249">
        <v>365073</v>
      </c>
      <c r="G59" s="248">
        <v>0</v>
      </c>
      <c r="H59" s="248">
        <v>21220</v>
      </c>
      <c r="I59" s="248">
        <v>-12485</v>
      </c>
      <c r="J59" s="248">
        <v>0</v>
      </c>
      <c r="K59" s="250">
        <v>0</v>
      </c>
    </row>
    <row r="60" spans="1:11" s="107" customFormat="1" ht="11.25">
      <c r="A60" s="256" t="s">
        <v>353</v>
      </c>
      <c r="B60" s="248">
        <v>1238383</v>
      </c>
      <c r="C60" s="248">
        <v>704640</v>
      </c>
      <c r="D60" s="248">
        <v>1165537</v>
      </c>
      <c r="E60" s="257">
        <f t="shared" si="6"/>
        <v>663190</v>
      </c>
      <c r="F60" s="249">
        <v>730646</v>
      </c>
      <c r="G60" s="248">
        <v>0</v>
      </c>
      <c r="H60" s="248">
        <v>42469</v>
      </c>
      <c r="I60" s="248">
        <v>-24987</v>
      </c>
      <c r="J60" s="248">
        <v>0</v>
      </c>
      <c r="K60" s="250">
        <v>0</v>
      </c>
    </row>
    <row r="61" spans="1:11" s="107" customFormat="1" ht="11.25">
      <c r="A61" s="256" t="s">
        <v>354</v>
      </c>
      <c r="B61" s="248">
        <v>2506342</v>
      </c>
      <c r="C61" s="248">
        <v>1426109</v>
      </c>
      <c r="D61" s="248">
        <v>2506342</v>
      </c>
      <c r="E61" s="257">
        <f t="shared" si="6"/>
        <v>1426109</v>
      </c>
      <c r="F61" s="249">
        <v>1067138</v>
      </c>
      <c r="G61" s="248">
        <v>416134</v>
      </c>
      <c r="H61" s="248">
        <v>0</v>
      </c>
      <c r="I61" s="248">
        <v>-57163</v>
      </c>
      <c r="J61" s="248">
        <v>0</v>
      </c>
      <c r="K61" s="250">
        <v>0</v>
      </c>
    </row>
    <row r="62" spans="1:11" s="107" customFormat="1" ht="11.25">
      <c r="A62" s="256" t="s">
        <v>355</v>
      </c>
      <c r="B62" s="248">
        <v>1164550</v>
      </c>
      <c r="C62" s="248">
        <v>662629</v>
      </c>
      <c r="D62" s="248">
        <v>970177</v>
      </c>
      <c r="E62" s="257">
        <f t="shared" si="6"/>
        <v>552031</v>
      </c>
      <c r="F62" s="249">
        <v>686885</v>
      </c>
      <c r="G62" s="248">
        <v>0</v>
      </c>
      <c r="H62" s="248">
        <v>113414</v>
      </c>
      <c r="I62" s="248">
        <v>-21440</v>
      </c>
      <c r="J62" s="248">
        <v>45081</v>
      </c>
      <c r="K62" s="250">
        <v>0</v>
      </c>
    </row>
    <row r="63" spans="1:11" s="107" customFormat="1" ht="11.25">
      <c r="A63" s="254" t="s">
        <v>356</v>
      </c>
      <c r="B63" s="248">
        <v>20000000</v>
      </c>
      <c r="C63" s="248">
        <v>11380000</v>
      </c>
      <c r="D63" s="248">
        <v>10854251</v>
      </c>
      <c r="E63" s="257">
        <f>F63+G63-H63+I63</f>
        <v>6176069</v>
      </c>
      <c r="F63" s="249">
        <v>1243237</v>
      </c>
      <c r="G63" s="248">
        <v>5124697</v>
      </c>
      <c r="H63" s="248">
        <v>0</v>
      </c>
      <c r="I63" s="248">
        <v>-191865</v>
      </c>
      <c r="J63" s="248">
        <v>110436</v>
      </c>
      <c r="K63" s="250">
        <v>5203931</v>
      </c>
    </row>
    <row r="64" spans="1:11" s="107" customFormat="1" ht="11.25">
      <c r="A64" s="256" t="s">
        <v>357</v>
      </c>
      <c r="B64" s="248">
        <v>1990000</v>
      </c>
      <c r="C64" s="248">
        <v>1132310</v>
      </c>
      <c r="D64" s="248">
        <v>0</v>
      </c>
      <c r="E64" s="248">
        <f t="shared" si="6"/>
        <v>0</v>
      </c>
      <c r="F64" s="249">
        <v>49212</v>
      </c>
      <c r="G64" s="248">
        <v>-51972</v>
      </c>
      <c r="H64" s="248">
        <v>0</v>
      </c>
      <c r="I64" s="248">
        <v>2760</v>
      </c>
      <c r="J64" s="248">
        <v>0</v>
      </c>
      <c r="K64" s="250">
        <v>0</v>
      </c>
    </row>
    <row r="65" spans="1:11" s="107" customFormat="1" ht="11.25">
      <c r="A65" s="255" t="s">
        <v>358</v>
      </c>
      <c r="B65" s="248">
        <v>7950000</v>
      </c>
      <c r="C65" s="248">
        <v>4523550</v>
      </c>
      <c r="D65" s="248">
        <v>5881</v>
      </c>
      <c r="E65" s="248">
        <f t="shared" si="6"/>
        <v>3346</v>
      </c>
      <c r="F65" s="249">
        <v>0</v>
      </c>
      <c r="G65" s="248">
        <v>3334</v>
      </c>
      <c r="H65" s="248">
        <v>0</v>
      </c>
      <c r="I65" s="248">
        <v>12</v>
      </c>
      <c r="J65" s="248">
        <v>0</v>
      </c>
      <c r="K65" s="250">
        <v>4520204</v>
      </c>
    </row>
    <row r="66" spans="1:11" s="107" customFormat="1" ht="11.25" customHeight="1">
      <c r="A66" s="251" t="s">
        <v>359</v>
      </c>
      <c r="B66" s="252">
        <f>SUM(B35:B65)</f>
        <v>235296242</v>
      </c>
      <c r="C66" s="252">
        <f aca="true" t="shared" si="7" ref="C66:K66">SUM(C35:C65)</f>
        <v>133883562</v>
      </c>
      <c r="D66" s="252">
        <f t="shared" si="7"/>
        <v>178295366</v>
      </c>
      <c r="E66" s="252">
        <f t="shared" si="7"/>
        <v>101450009</v>
      </c>
      <c r="F66" s="252">
        <f t="shared" si="7"/>
        <v>99256665</v>
      </c>
      <c r="G66" s="252">
        <f t="shared" si="7"/>
        <v>14165291</v>
      </c>
      <c r="H66" s="252">
        <f t="shared" si="7"/>
        <v>8312123</v>
      </c>
      <c r="I66" s="252">
        <f t="shared" si="7"/>
        <v>-3659824</v>
      </c>
      <c r="J66" s="252">
        <f t="shared" si="7"/>
        <v>4937010</v>
      </c>
      <c r="K66" s="252">
        <f t="shared" si="7"/>
        <v>22494421</v>
      </c>
    </row>
    <row r="67" spans="1:11" s="107" customFormat="1" ht="11.25">
      <c r="A67" s="244" t="s">
        <v>360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6"/>
    </row>
    <row r="68" spans="1:11" s="107" customFormat="1" ht="11.25">
      <c r="A68" s="247" t="s">
        <v>361</v>
      </c>
      <c r="B68" s="248">
        <v>54900000</v>
      </c>
      <c r="C68" s="248">
        <v>43903530</v>
      </c>
      <c r="D68" s="248">
        <v>0</v>
      </c>
      <c r="E68" s="248">
        <f>F68+G68-H68+I68</f>
        <v>0</v>
      </c>
      <c r="F68" s="249">
        <v>7927020</v>
      </c>
      <c r="G68" s="248">
        <v>0</v>
      </c>
      <c r="H68" s="248">
        <v>7927020</v>
      </c>
      <c r="I68" s="248">
        <v>0</v>
      </c>
      <c r="J68" s="248">
        <v>161061</v>
      </c>
      <c r="K68" s="250">
        <v>0</v>
      </c>
    </row>
    <row r="69" spans="1:11" s="107" customFormat="1" ht="11.25">
      <c r="A69" s="254" t="s">
        <v>362</v>
      </c>
      <c r="B69" s="248">
        <v>9150000</v>
      </c>
      <c r="C69" s="248">
        <v>7317255</v>
      </c>
      <c r="D69" s="248">
        <v>3431250</v>
      </c>
      <c r="E69" s="248">
        <f>F69+G69-H69+I69</f>
        <v>2743971</v>
      </c>
      <c r="F69" s="249">
        <v>6402598</v>
      </c>
      <c r="G69" s="248">
        <v>0</v>
      </c>
      <c r="H69" s="248">
        <v>3658627</v>
      </c>
      <c r="I69" s="248">
        <v>0</v>
      </c>
      <c r="J69" s="248">
        <v>259832</v>
      </c>
      <c r="K69" s="250">
        <v>0</v>
      </c>
    </row>
    <row r="70" spans="1:11" s="107" customFormat="1" ht="11.25">
      <c r="A70" s="256" t="s">
        <v>363</v>
      </c>
      <c r="B70" s="248">
        <v>22875000</v>
      </c>
      <c r="C70" s="248">
        <v>18293138</v>
      </c>
      <c r="D70" s="248">
        <v>19062500</v>
      </c>
      <c r="E70" s="248">
        <f>F70+G70-H70+I70</f>
        <v>15244281</v>
      </c>
      <c r="F70" s="249">
        <v>18293138</v>
      </c>
      <c r="G70" s="248">
        <v>0</v>
      </c>
      <c r="H70" s="248">
        <v>3048857</v>
      </c>
      <c r="I70" s="248">
        <v>0</v>
      </c>
      <c r="J70" s="248">
        <v>826933</v>
      </c>
      <c r="K70" s="250">
        <v>0</v>
      </c>
    </row>
    <row r="71" spans="1:11" s="107" customFormat="1" ht="11.25">
      <c r="A71" s="255" t="s">
        <v>364</v>
      </c>
      <c r="B71" s="248">
        <v>22875000</v>
      </c>
      <c r="C71" s="248">
        <v>18293138</v>
      </c>
      <c r="D71" s="248">
        <v>22875000</v>
      </c>
      <c r="E71" s="248">
        <f>F71+G71-H71+I71</f>
        <v>18293138</v>
      </c>
      <c r="F71" s="249">
        <v>18293138</v>
      </c>
      <c r="G71" s="248">
        <v>0</v>
      </c>
      <c r="H71" s="248">
        <v>0</v>
      </c>
      <c r="I71" s="248">
        <v>0</v>
      </c>
      <c r="J71" s="248">
        <v>859562</v>
      </c>
      <c r="K71" s="250">
        <v>0</v>
      </c>
    </row>
    <row r="72" spans="1:11" s="107" customFormat="1" ht="11.25">
      <c r="A72" s="251" t="s">
        <v>365</v>
      </c>
      <c r="B72" s="252">
        <f aca="true" t="shared" si="8" ref="B72:K72">SUM(B68:B71)</f>
        <v>109800000</v>
      </c>
      <c r="C72" s="252">
        <f t="shared" si="8"/>
        <v>87807061</v>
      </c>
      <c r="D72" s="252">
        <f t="shared" si="8"/>
        <v>45368750</v>
      </c>
      <c r="E72" s="252">
        <f t="shared" si="8"/>
        <v>36281390</v>
      </c>
      <c r="F72" s="253">
        <f t="shared" si="8"/>
        <v>50915894</v>
      </c>
      <c r="G72" s="252">
        <f t="shared" si="8"/>
        <v>0</v>
      </c>
      <c r="H72" s="252">
        <f t="shared" si="8"/>
        <v>14634504</v>
      </c>
      <c r="I72" s="252">
        <f t="shared" si="8"/>
        <v>0</v>
      </c>
      <c r="J72" s="252">
        <f t="shared" si="8"/>
        <v>2107388</v>
      </c>
      <c r="K72" s="252">
        <f t="shared" si="8"/>
        <v>0</v>
      </c>
    </row>
    <row r="73" spans="1:11" s="107" customFormat="1" ht="11.25">
      <c r="A73" s="244" t="s">
        <v>366</v>
      </c>
      <c r="B73" s="245"/>
      <c r="C73" s="245"/>
      <c r="D73" s="245"/>
      <c r="E73" s="245"/>
      <c r="F73" s="245"/>
      <c r="G73" s="245"/>
      <c r="H73" s="245"/>
      <c r="I73" s="245"/>
      <c r="J73" s="245"/>
      <c r="K73" s="246"/>
    </row>
    <row r="74" spans="1:11" s="107" customFormat="1" ht="11.25">
      <c r="A74" s="256" t="s">
        <v>367</v>
      </c>
      <c r="B74" s="248">
        <v>40000000</v>
      </c>
      <c r="C74" s="248">
        <v>26760000</v>
      </c>
      <c r="D74" s="248">
        <v>40000000</v>
      </c>
      <c r="E74" s="248">
        <f>F74+G74-H74+I74</f>
        <v>26760000</v>
      </c>
      <c r="F74" s="249">
        <v>26320000</v>
      </c>
      <c r="G74" s="248">
        <v>0</v>
      </c>
      <c r="H74" s="248">
        <v>0</v>
      </c>
      <c r="I74" s="248">
        <v>440000</v>
      </c>
      <c r="J74" s="248">
        <v>1186668</v>
      </c>
      <c r="K74" s="250">
        <v>0</v>
      </c>
    </row>
    <row r="75" spans="1:11" s="107" customFormat="1" ht="11.25">
      <c r="A75" s="255" t="s">
        <v>368</v>
      </c>
      <c r="B75" s="248">
        <v>20000000</v>
      </c>
      <c r="C75" s="248">
        <v>13380000</v>
      </c>
      <c r="D75" s="248">
        <v>0</v>
      </c>
      <c r="E75" s="248">
        <f>F75+G75-H75+I75</f>
        <v>0</v>
      </c>
      <c r="F75" s="249">
        <v>0</v>
      </c>
      <c r="G75" s="248">
        <v>0</v>
      </c>
      <c r="H75" s="248">
        <v>0</v>
      </c>
      <c r="I75" s="248">
        <v>0</v>
      </c>
      <c r="J75" s="248">
        <v>0</v>
      </c>
      <c r="K75" s="250">
        <v>13380000</v>
      </c>
    </row>
    <row r="76" spans="1:11" s="107" customFormat="1" ht="11.25">
      <c r="A76" s="251" t="s">
        <v>369</v>
      </c>
      <c r="B76" s="252">
        <f>SUM(B74:B75)</f>
        <v>60000000</v>
      </c>
      <c r="C76" s="252">
        <f aca="true" t="shared" si="9" ref="C76:K76">SUM(C74:C75)</f>
        <v>40140000</v>
      </c>
      <c r="D76" s="252">
        <f t="shared" si="9"/>
        <v>40000000</v>
      </c>
      <c r="E76" s="252">
        <f t="shared" si="9"/>
        <v>26760000</v>
      </c>
      <c r="F76" s="252">
        <f t="shared" si="9"/>
        <v>26320000</v>
      </c>
      <c r="G76" s="252">
        <f t="shared" si="9"/>
        <v>0</v>
      </c>
      <c r="H76" s="252">
        <f t="shared" si="9"/>
        <v>0</v>
      </c>
      <c r="I76" s="252">
        <f t="shared" si="9"/>
        <v>440000</v>
      </c>
      <c r="J76" s="252">
        <f t="shared" si="9"/>
        <v>1186668</v>
      </c>
      <c r="K76" s="252">
        <f t="shared" si="9"/>
        <v>13380000</v>
      </c>
    </row>
    <row r="77" spans="1:11" s="107" customFormat="1" ht="15.75" customHeight="1">
      <c r="A77" s="251" t="s">
        <v>370</v>
      </c>
      <c r="B77" s="270" t="s">
        <v>371</v>
      </c>
      <c r="C77" s="252">
        <f>C11+C21+C25+C29+C33+C66+C72+C76</f>
        <v>361011841</v>
      </c>
      <c r="D77" s="270" t="s">
        <v>371</v>
      </c>
      <c r="E77" s="252">
        <f aca="true" t="shared" si="10" ref="E77:K77">E11+E21+E25+E29+E33+E66+E72+E76</f>
        <v>231559671</v>
      </c>
      <c r="F77" s="252">
        <f t="shared" si="10"/>
        <v>218720438</v>
      </c>
      <c r="G77" s="252">
        <f t="shared" si="10"/>
        <v>38882712</v>
      </c>
      <c r="H77" s="252">
        <f t="shared" si="10"/>
        <v>25990280</v>
      </c>
      <c r="I77" s="252">
        <f t="shared" si="10"/>
        <v>-53199</v>
      </c>
      <c r="J77" s="252">
        <f t="shared" si="10"/>
        <v>10461796</v>
      </c>
      <c r="K77" s="252">
        <f t="shared" si="10"/>
        <v>59948062</v>
      </c>
    </row>
    <row r="78" s="35" customFormat="1" ht="12.75"/>
    <row r="79" s="35" customFormat="1" ht="12.75">
      <c r="A79" s="107" t="s">
        <v>372</v>
      </c>
    </row>
    <row r="82" spans="1:11" s="35" customFormat="1" ht="12.75">
      <c r="A82" s="35" t="s">
        <v>40</v>
      </c>
      <c r="C82" s="35" t="s">
        <v>150</v>
      </c>
      <c r="F82" s="35" t="s">
        <v>42</v>
      </c>
      <c r="K82" s="35" t="s">
        <v>151</v>
      </c>
    </row>
  </sheetData>
  <printOptions/>
  <pageMargins left="0.75" right="0.75" top="1" bottom="1" header="0.5" footer="0.5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60" workbookViewId="0" topLeftCell="A12">
      <selection activeCell="A14" sqref="A14"/>
    </sheetView>
  </sheetViews>
  <sheetFormatPr defaultColWidth="9.140625" defaultRowHeight="12.75"/>
  <cols>
    <col min="1" max="1" width="34.421875" style="204" customWidth="1"/>
    <col min="2" max="2" width="11.421875" style="204" customWidth="1"/>
    <col min="3" max="3" width="10.57421875" style="204" customWidth="1"/>
    <col min="4" max="5" width="11.28125" style="204" customWidth="1"/>
    <col min="6" max="6" width="9.7109375" style="204" customWidth="1"/>
    <col min="7" max="9" width="10.7109375" style="204" customWidth="1"/>
    <col min="10" max="10" width="11.28125" style="204" customWidth="1"/>
    <col min="11" max="11" width="10.8515625" style="204" customWidth="1"/>
    <col min="12" max="16384" width="9.140625" style="204" customWidth="1"/>
  </cols>
  <sheetData>
    <row r="1" spans="1:11" s="272" customFormat="1" ht="18">
      <c r="A1" s="271" t="s">
        <v>373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73"/>
    </row>
    <row r="3" spans="1:11" s="107" customFormat="1" ht="11.25">
      <c r="A3" s="274"/>
      <c r="B3" s="223" t="s">
        <v>374</v>
      </c>
      <c r="C3" s="223"/>
      <c r="D3" s="225" t="s">
        <v>154</v>
      </c>
      <c r="E3" s="275"/>
      <c r="F3" s="276" t="s">
        <v>154</v>
      </c>
      <c r="G3" s="228" t="s">
        <v>155</v>
      </c>
      <c r="H3" s="229"/>
      <c r="I3" s="229"/>
      <c r="J3" s="230"/>
      <c r="K3" s="231" t="s">
        <v>374</v>
      </c>
    </row>
    <row r="4" spans="1:11" s="107" customFormat="1" ht="11.25">
      <c r="A4" s="232" t="s">
        <v>375</v>
      </c>
      <c r="B4" s="233" t="s">
        <v>157</v>
      </c>
      <c r="C4" s="277"/>
      <c r="D4" s="233" t="s">
        <v>158</v>
      </c>
      <c r="E4" s="277"/>
      <c r="F4" s="53" t="s">
        <v>159</v>
      </c>
      <c r="G4" s="231" t="s">
        <v>374</v>
      </c>
      <c r="H4" s="231" t="s">
        <v>374</v>
      </c>
      <c r="I4" s="231" t="s">
        <v>160</v>
      </c>
      <c r="J4" s="231" t="s">
        <v>374</v>
      </c>
      <c r="K4" s="232" t="s">
        <v>161</v>
      </c>
    </row>
    <row r="5" spans="1:11" s="107" customFormat="1" ht="11.25">
      <c r="A5" s="232" t="s">
        <v>162</v>
      </c>
      <c r="B5" s="77"/>
      <c r="C5" s="77"/>
      <c r="D5" s="238" t="s">
        <v>1458</v>
      </c>
      <c r="E5" s="277"/>
      <c r="F5" s="53" t="s">
        <v>1446</v>
      </c>
      <c r="G5" s="232" t="s">
        <v>163</v>
      </c>
      <c r="H5" s="232" t="s">
        <v>164</v>
      </c>
      <c r="I5" s="232" t="s">
        <v>165</v>
      </c>
      <c r="J5" s="232" t="s">
        <v>166</v>
      </c>
      <c r="K5" s="232" t="s">
        <v>167</v>
      </c>
    </row>
    <row r="6" spans="1:11" s="107" customFormat="1" ht="11.25">
      <c r="A6" s="232"/>
      <c r="B6" s="232" t="s">
        <v>168</v>
      </c>
      <c r="C6" s="278"/>
      <c r="D6" s="232" t="s">
        <v>168</v>
      </c>
      <c r="E6" s="279" t="s">
        <v>169</v>
      </c>
      <c r="F6" s="53" t="s">
        <v>170</v>
      </c>
      <c r="G6" s="232" t="s">
        <v>171</v>
      </c>
      <c r="H6" s="232" t="s">
        <v>171</v>
      </c>
      <c r="I6" s="232" t="s">
        <v>172</v>
      </c>
      <c r="J6" s="232" t="s">
        <v>1452</v>
      </c>
      <c r="K6" s="232" t="s">
        <v>173</v>
      </c>
    </row>
    <row r="7" spans="1:11" s="107" customFormat="1" ht="11.25">
      <c r="A7" s="232"/>
      <c r="B7" s="242" t="s">
        <v>174</v>
      </c>
      <c r="C7" s="242" t="s">
        <v>175</v>
      </c>
      <c r="D7" s="242" t="s">
        <v>174</v>
      </c>
      <c r="E7" s="116" t="s">
        <v>175</v>
      </c>
      <c r="F7" s="280" t="s">
        <v>175</v>
      </c>
      <c r="G7" s="232" t="s">
        <v>175</v>
      </c>
      <c r="H7" s="232" t="s">
        <v>175</v>
      </c>
      <c r="I7" s="232" t="s">
        <v>175</v>
      </c>
      <c r="J7" s="232" t="s">
        <v>175</v>
      </c>
      <c r="K7" s="242" t="s">
        <v>175</v>
      </c>
    </row>
    <row r="8" spans="1:11" s="35" customFormat="1" ht="12.75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280">
        <v>6</v>
      </c>
      <c r="G8" s="116">
        <v>7</v>
      </c>
      <c r="H8" s="116">
        <v>8</v>
      </c>
      <c r="I8" s="116">
        <v>9</v>
      </c>
      <c r="J8" s="116">
        <v>10</v>
      </c>
      <c r="K8" s="116">
        <v>11</v>
      </c>
    </row>
    <row r="9" spans="1:11" s="107" customFormat="1" ht="11.25">
      <c r="A9" s="244" t="s">
        <v>376</v>
      </c>
      <c r="B9" s="245"/>
      <c r="C9" s="245"/>
      <c r="D9" s="245"/>
      <c r="E9" s="245"/>
      <c r="F9" s="245"/>
      <c r="G9" s="245"/>
      <c r="H9" s="245"/>
      <c r="I9" s="245"/>
      <c r="J9" s="245"/>
      <c r="K9" s="246"/>
    </row>
    <row r="10" spans="1:11" s="107" customFormat="1" ht="11.25">
      <c r="A10" s="281" t="s">
        <v>177</v>
      </c>
      <c r="B10" s="248">
        <v>6137441</v>
      </c>
      <c r="C10" s="248">
        <v>2559313</v>
      </c>
      <c r="D10" s="248">
        <v>3077957</v>
      </c>
      <c r="E10" s="248">
        <f>F10+G10-H10+I10</f>
        <v>1283508</v>
      </c>
      <c r="F10" s="249">
        <v>78445</v>
      </c>
      <c r="G10" s="248">
        <v>1229061</v>
      </c>
      <c r="H10" s="248">
        <v>36003</v>
      </c>
      <c r="I10" s="248">
        <v>12005</v>
      </c>
      <c r="J10" s="248">
        <v>10141</v>
      </c>
      <c r="K10" s="250">
        <v>1239456</v>
      </c>
    </row>
    <row r="11" spans="1:11" s="107" customFormat="1" ht="11.25">
      <c r="A11" s="251" t="s">
        <v>178</v>
      </c>
      <c r="B11" s="252">
        <f>SUM(B10)</f>
        <v>6137441</v>
      </c>
      <c r="C11" s="252">
        <f aca="true" t="shared" si="0" ref="C11:K11">SUM(C10)</f>
        <v>2559313</v>
      </c>
      <c r="D11" s="252">
        <f t="shared" si="0"/>
        <v>3077957</v>
      </c>
      <c r="E11" s="252">
        <f t="shared" si="0"/>
        <v>1283508</v>
      </c>
      <c r="F11" s="252">
        <f t="shared" si="0"/>
        <v>78445</v>
      </c>
      <c r="G11" s="252">
        <f t="shared" si="0"/>
        <v>1229061</v>
      </c>
      <c r="H11" s="252">
        <f t="shared" si="0"/>
        <v>36003</v>
      </c>
      <c r="I11" s="252">
        <f t="shared" si="0"/>
        <v>12005</v>
      </c>
      <c r="J11" s="252">
        <f t="shared" si="0"/>
        <v>10141</v>
      </c>
      <c r="K11" s="252">
        <f t="shared" si="0"/>
        <v>1239456</v>
      </c>
    </row>
    <row r="12" spans="1:11" s="107" customFormat="1" ht="11.25">
      <c r="A12" s="244" t="s">
        <v>377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6"/>
    </row>
    <row r="13" spans="1:11" s="107" customFormat="1" ht="11.25">
      <c r="A13" s="282" t="s">
        <v>378</v>
      </c>
      <c r="B13" s="248">
        <v>4373730</v>
      </c>
      <c r="C13" s="248">
        <v>1487068</v>
      </c>
      <c r="D13" s="248">
        <v>1749492</v>
      </c>
      <c r="E13" s="248">
        <f>F13+G13-H13+I13</f>
        <v>594827</v>
      </c>
      <c r="F13" s="249">
        <v>873871</v>
      </c>
      <c r="G13" s="248">
        <v>0</v>
      </c>
      <c r="H13" s="248">
        <v>296102</v>
      </c>
      <c r="I13" s="248">
        <v>17058</v>
      </c>
      <c r="J13" s="248">
        <v>46720</v>
      </c>
      <c r="K13" s="250">
        <v>0</v>
      </c>
    </row>
    <row r="14" spans="1:11" s="107" customFormat="1" ht="11.25">
      <c r="A14" s="282" t="s">
        <v>379</v>
      </c>
      <c r="B14" s="248">
        <v>3440400</v>
      </c>
      <c r="C14" s="248">
        <v>1169736</v>
      </c>
      <c r="D14" s="248">
        <v>584868</v>
      </c>
      <c r="E14" s="248">
        <f>F14+G14-H14+I14</f>
        <v>198855</v>
      </c>
      <c r="F14" s="249">
        <v>389522</v>
      </c>
      <c r="G14" s="248">
        <v>0</v>
      </c>
      <c r="H14" s="248">
        <v>197057</v>
      </c>
      <c r="I14" s="248">
        <v>6390</v>
      </c>
      <c r="J14" s="248">
        <v>34419</v>
      </c>
      <c r="K14" s="250">
        <v>0</v>
      </c>
    </row>
    <row r="15" spans="1:11" s="107" customFormat="1" ht="11.25">
      <c r="A15" s="282" t="s">
        <v>380</v>
      </c>
      <c r="B15" s="248">
        <v>3400000</v>
      </c>
      <c r="C15" s="248">
        <v>1156000</v>
      </c>
      <c r="D15" s="248">
        <v>1360000</v>
      </c>
      <c r="E15" s="248">
        <f>F15+G15-H15+I15</f>
        <v>462400</v>
      </c>
      <c r="F15" s="249">
        <v>679320</v>
      </c>
      <c r="G15" s="248">
        <v>0</v>
      </c>
      <c r="H15" s="248">
        <v>229840</v>
      </c>
      <c r="I15" s="248">
        <v>12920</v>
      </c>
      <c r="J15" s="248">
        <v>78070</v>
      </c>
      <c r="K15" s="250">
        <v>0</v>
      </c>
    </row>
    <row r="16" spans="1:11" s="107" customFormat="1" ht="11.25">
      <c r="A16" s="255" t="s">
        <v>381</v>
      </c>
      <c r="B16" s="248">
        <v>3400000</v>
      </c>
      <c r="C16" s="248">
        <v>1156000</v>
      </c>
      <c r="D16" s="248">
        <v>3400000</v>
      </c>
      <c r="E16" s="248">
        <f>F16+G16-H16+I16</f>
        <v>1156000</v>
      </c>
      <c r="F16" s="249">
        <v>1132200</v>
      </c>
      <c r="G16" s="248">
        <v>0</v>
      </c>
      <c r="H16" s="248">
        <v>0</v>
      </c>
      <c r="I16" s="248">
        <v>23800</v>
      </c>
      <c r="J16" s="248">
        <v>0</v>
      </c>
      <c r="K16" s="250">
        <v>0</v>
      </c>
    </row>
    <row r="17" spans="1:11" s="107" customFormat="1" ht="11.25">
      <c r="A17" s="251" t="s">
        <v>188</v>
      </c>
      <c r="B17" s="252">
        <f>SUM(B13:B16)</f>
        <v>14614130</v>
      </c>
      <c r="C17" s="252">
        <f aca="true" t="shared" si="1" ref="C17:K17">SUM(C13:C16)</f>
        <v>4968804</v>
      </c>
      <c r="D17" s="252">
        <f t="shared" si="1"/>
        <v>7094360</v>
      </c>
      <c r="E17" s="252">
        <f t="shared" si="1"/>
        <v>2412082</v>
      </c>
      <c r="F17" s="252">
        <f t="shared" si="1"/>
        <v>3074913</v>
      </c>
      <c r="G17" s="252">
        <f t="shared" si="1"/>
        <v>0</v>
      </c>
      <c r="H17" s="252">
        <f t="shared" si="1"/>
        <v>722999</v>
      </c>
      <c r="I17" s="252">
        <f t="shared" si="1"/>
        <v>60168</v>
      </c>
      <c r="J17" s="252">
        <f t="shared" si="1"/>
        <v>159209</v>
      </c>
      <c r="K17" s="252">
        <f t="shared" si="1"/>
        <v>0</v>
      </c>
    </row>
    <row r="18" spans="1:11" s="107" customFormat="1" ht="11.25">
      <c r="A18" s="244" t="s">
        <v>382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6"/>
    </row>
    <row r="19" spans="1:11" s="107" customFormat="1" ht="11.25">
      <c r="A19" s="282" t="s">
        <v>383</v>
      </c>
      <c r="B19" s="248">
        <f>26552810+24874375</f>
        <v>51427185</v>
      </c>
      <c r="C19" s="248">
        <v>5194146</v>
      </c>
      <c r="D19" s="248">
        <v>0</v>
      </c>
      <c r="E19" s="248">
        <f>F19+G19-H19+I19</f>
        <v>0</v>
      </c>
      <c r="F19" s="249">
        <v>0</v>
      </c>
      <c r="G19" s="248">
        <v>0</v>
      </c>
      <c r="H19" s="248">
        <v>0</v>
      </c>
      <c r="I19" s="248">
        <v>0</v>
      </c>
      <c r="J19" s="248">
        <v>90223</v>
      </c>
      <c r="K19" s="250">
        <v>5194146</v>
      </c>
    </row>
    <row r="20" spans="1:11" s="283" customFormat="1" ht="11.25">
      <c r="A20" s="251" t="s">
        <v>384</v>
      </c>
      <c r="B20" s="252">
        <f>SUM(B19)</f>
        <v>51427185</v>
      </c>
      <c r="C20" s="252">
        <f aca="true" t="shared" si="2" ref="C20:K20">SUM(C19)</f>
        <v>5194146</v>
      </c>
      <c r="D20" s="252">
        <f t="shared" si="2"/>
        <v>0</v>
      </c>
      <c r="E20" s="252">
        <f t="shared" si="2"/>
        <v>0</v>
      </c>
      <c r="F20" s="252">
        <f t="shared" si="2"/>
        <v>0</v>
      </c>
      <c r="G20" s="252">
        <f t="shared" si="2"/>
        <v>0</v>
      </c>
      <c r="H20" s="252">
        <f t="shared" si="2"/>
        <v>0</v>
      </c>
      <c r="I20" s="252">
        <f t="shared" si="2"/>
        <v>0</v>
      </c>
      <c r="J20" s="252">
        <f t="shared" si="2"/>
        <v>90223</v>
      </c>
      <c r="K20" s="252">
        <f t="shared" si="2"/>
        <v>5194146</v>
      </c>
    </row>
    <row r="21" spans="1:11" s="107" customFormat="1" ht="11.25">
      <c r="A21" s="284" t="s">
        <v>385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6"/>
    </row>
    <row r="22" spans="1:11" s="107" customFormat="1" ht="11.25">
      <c r="A22" s="255" t="s">
        <v>386</v>
      </c>
      <c r="B22" s="248">
        <v>800643251</v>
      </c>
      <c r="C22" s="248">
        <v>3955178</v>
      </c>
      <c r="D22" s="248">
        <v>320257300</v>
      </c>
      <c r="E22" s="248">
        <f>F22+G22-H22+I22</f>
        <v>1582071</v>
      </c>
      <c r="F22" s="249">
        <v>2176148</v>
      </c>
      <c r="G22" s="248">
        <v>0</v>
      </c>
      <c r="H22" s="248">
        <v>706167</v>
      </c>
      <c r="I22" s="248">
        <v>112090</v>
      </c>
      <c r="J22" s="248">
        <v>93891</v>
      </c>
      <c r="K22" s="250">
        <v>0</v>
      </c>
    </row>
    <row r="23" spans="1:11" s="107" customFormat="1" ht="11.25">
      <c r="A23" s="251" t="s">
        <v>207</v>
      </c>
      <c r="B23" s="252">
        <f>SUM(B22)</f>
        <v>800643251</v>
      </c>
      <c r="C23" s="252">
        <f aca="true" t="shared" si="3" ref="C23:K23">SUM(C22)</f>
        <v>3955178</v>
      </c>
      <c r="D23" s="252">
        <f t="shared" si="3"/>
        <v>320257300</v>
      </c>
      <c r="E23" s="252">
        <f t="shared" si="3"/>
        <v>1582071</v>
      </c>
      <c r="F23" s="252">
        <f t="shared" si="3"/>
        <v>2176148</v>
      </c>
      <c r="G23" s="252">
        <f t="shared" si="3"/>
        <v>0</v>
      </c>
      <c r="H23" s="252">
        <f t="shared" si="3"/>
        <v>706167</v>
      </c>
      <c r="I23" s="252">
        <f t="shared" si="3"/>
        <v>112090</v>
      </c>
      <c r="J23" s="252">
        <f t="shared" si="3"/>
        <v>93891</v>
      </c>
      <c r="K23" s="252">
        <f t="shared" si="3"/>
        <v>0</v>
      </c>
    </row>
    <row r="24" spans="1:11" s="107" customFormat="1" ht="11.25">
      <c r="A24" s="284" t="s">
        <v>387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6"/>
    </row>
    <row r="25" spans="1:11" s="107" customFormat="1" ht="11.25">
      <c r="A25" s="255" t="s">
        <v>388</v>
      </c>
      <c r="B25" s="248">
        <v>400000</v>
      </c>
      <c r="C25" s="248">
        <v>400000</v>
      </c>
      <c r="D25" s="248">
        <v>315792</v>
      </c>
      <c r="E25" s="248">
        <f>F25+G25-H25+I25</f>
        <v>315792</v>
      </c>
      <c r="F25" s="249">
        <v>400000</v>
      </c>
      <c r="G25" s="248">
        <v>0</v>
      </c>
      <c r="H25" s="248">
        <v>84208</v>
      </c>
      <c r="I25" s="248">
        <v>0</v>
      </c>
      <c r="J25" s="248">
        <v>24203</v>
      </c>
      <c r="K25" s="250">
        <v>0</v>
      </c>
    </row>
    <row r="26" spans="1:11" s="107" customFormat="1" ht="11.25">
      <c r="A26" s="251" t="s">
        <v>389</v>
      </c>
      <c r="B26" s="252">
        <f>SUM(B25)</f>
        <v>400000</v>
      </c>
      <c r="C26" s="252">
        <f aca="true" t="shared" si="4" ref="C26:K26">SUM(C25)</f>
        <v>400000</v>
      </c>
      <c r="D26" s="252">
        <f t="shared" si="4"/>
        <v>315792</v>
      </c>
      <c r="E26" s="252">
        <f t="shared" si="4"/>
        <v>315792</v>
      </c>
      <c r="F26" s="252">
        <f t="shared" si="4"/>
        <v>400000</v>
      </c>
      <c r="G26" s="252">
        <f t="shared" si="4"/>
        <v>0</v>
      </c>
      <c r="H26" s="252">
        <f t="shared" si="4"/>
        <v>84208</v>
      </c>
      <c r="I26" s="252">
        <f t="shared" si="4"/>
        <v>0</v>
      </c>
      <c r="J26" s="252">
        <f t="shared" si="4"/>
        <v>24203</v>
      </c>
      <c r="K26" s="252">
        <f t="shared" si="4"/>
        <v>0</v>
      </c>
    </row>
    <row r="27" spans="1:11" s="107" customFormat="1" ht="11.25">
      <c r="A27" s="284" t="s">
        <v>390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6"/>
    </row>
    <row r="28" spans="1:11" s="107" customFormat="1" ht="11.25">
      <c r="A28" s="282" t="s">
        <v>391</v>
      </c>
      <c r="B28" s="248">
        <v>1269036</v>
      </c>
      <c r="C28" s="248">
        <v>722081</v>
      </c>
      <c r="D28" s="248">
        <v>941974</v>
      </c>
      <c r="E28" s="248">
        <f>F28+G28-H28+I28</f>
        <v>535983</v>
      </c>
      <c r="F28" s="249">
        <v>0</v>
      </c>
      <c r="G28" s="248">
        <v>546850</v>
      </c>
      <c r="H28" s="248">
        <v>0</v>
      </c>
      <c r="I28" s="248">
        <v>-10867</v>
      </c>
      <c r="J28" s="248">
        <v>5870</v>
      </c>
      <c r="K28" s="250">
        <v>186098</v>
      </c>
    </row>
    <row r="29" spans="1:11" s="107" customFormat="1" ht="11.25">
      <c r="A29" s="282" t="s">
        <v>392</v>
      </c>
      <c r="B29" s="248">
        <v>12100000</v>
      </c>
      <c r="C29" s="248">
        <v>6884900</v>
      </c>
      <c r="D29" s="248">
        <v>7635912</v>
      </c>
      <c r="E29" s="248">
        <f aca="true" t="shared" si="5" ref="E29:E35">F29+G29-H29+I29</f>
        <v>4344834</v>
      </c>
      <c r="F29" s="249">
        <v>4978882</v>
      </c>
      <c r="G29" s="248">
        <v>0</v>
      </c>
      <c r="H29" s="248">
        <v>468877</v>
      </c>
      <c r="I29" s="248">
        <v>-165171</v>
      </c>
      <c r="J29" s="248">
        <v>310918</v>
      </c>
      <c r="K29" s="250">
        <v>941147</v>
      </c>
    </row>
    <row r="30" spans="1:11" s="107" customFormat="1" ht="11.25">
      <c r="A30" s="285" t="s">
        <v>393</v>
      </c>
      <c r="B30" s="248">
        <v>5518960</v>
      </c>
      <c r="C30" s="248">
        <v>3140288</v>
      </c>
      <c r="D30" s="248">
        <v>4967059</v>
      </c>
      <c r="E30" s="248">
        <f t="shared" si="5"/>
        <v>2826257</v>
      </c>
      <c r="F30" s="249">
        <v>3256186</v>
      </c>
      <c r="G30" s="248">
        <v>0</v>
      </c>
      <c r="H30" s="248">
        <v>331693</v>
      </c>
      <c r="I30" s="248">
        <v>-98236</v>
      </c>
      <c r="J30" s="248">
        <v>226599</v>
      </c>
      <c r="K30" s="250">
        <v>0</v>
      </c>
    </row>
    <row r="31" spans="1:11" s="107" customFormat="1" ht="11.25">
      <c r="A31" s="282" t="s">
        <v>394</v>
      </c>
      <c r="B31" s="248">
        <v>34100000</v>
      </c>
      <c r="C31" s="248">
        <v>19402900</v>
      </c>
      <c r="D31" s="248">
        <v>6510718</v>
      </c>
      <c r="E31" s="248">
        <f t="shared" si="5"/>
        <v>3704599</v>
      </c>
      <c r="F31" s="249">
        <v>1831675</v>
      </c>
      <c r="G31" s="248">
        <v>2003595</v>
      </c>
      <c r="H31" s="248">
        <v>0</v>
      </c>
      <c r="I31" s="248">
        <v>-130671</v>
      </c>
      <c r="J31" s="248">
        <v>133879</v>
      </c>
      <c r="K31" s="250">
        <v>15698301</v>
      </c>
    </row>
    <row r="32" spans="1:11" s="107" customFormat="1" ht="11.25">
      <c r="A32" s="282" t="s">
        <v>395</v>
      </c>
      <c r="B32" s="248">
        <v>22500000</v>
      </c>
      <c r="C32" s="248">
        <v>12802500</v>
      </c>
      <c r="D32" s="248">
        <v>2561423</v>
      </c>
      <c r="E32" s="248">
        <f t="shared" si="5"/>
        <v>1457450</v>
      </c>
      <c r="F32" s="249">
        <v>239443</v>
      </c>
      <c r="G32" s="248">
        <v>1277958</v>
      </c>
      <c r="H32" s="248">
        <v>0</v>
      </c>
      <c r="I32" s="248">
        <v>-59951</v>
      </c>
      <c r="J32" s="248">
        <v>89845</v>
      </c>
      <c r="K32" s="250">
        <v>11345050</v>
      </c>
    </row>
    <row r="33" spans="1:11" s="107" customFormat="1" ht="11.25">
      <c r="A33" s="285" t="s">
        <v>396</v>
      </c>
      <c r="B33" s="248">
        <v>3473200</v>
      </c>
      <c r="C33" s="248">
        <v>1976251</v>
      </c>
      <c r="D33" s="248">
        <v>2973200</v>
      </c>
      <c r="E33" s="248">
        <f t="shared" si="5"/>
        <v>1691751</v>
      </c>
      <c r="F33" s="249">
        <v>2049188</v>
      </c>
      <c r="G33" s="248">
        <v>0</v>
      </c>
      <c r="H33" s="248">
        <v>300000</v>
      </c>
      <c r="I33" s="248">
        <v>-57437</v>
      </c>
      <c r="J33" s="248">
        <v>64469</v>
      </c>
      <c r="K33" s="250">
        <v>0</v>
      </c>
    </row>
    <row r="34" spans="1:11" s="107" customFormat="1" ht="11.25">
      <c r="A34" s="282" t="s">
        <v>397</v>
      </c>
      <c r="B34" s="248">
        <v>23500000</v>
      </c>
      <c r="C34" s="248">
        <v>13371500</v>
      </c>
      <c r="D34" s="248">
        <v>16776520</v>
      </c>
      <c r="E34" s="248">
        <f t="shared" si="5"/>
        <v>9545840</v>
      </c>
      <c r="F34" s="249">
        <v>3260340</v>
      </c>
      <c r="G34" s="248">
        <v>6666808</v>
      </c>
      <c r="H34" s="248">
        <v>0</v>
      </c>
      <c r="I34" s="248">
        <v>-381308</v>
      </c>
      <c r="J34" s="248">
        <v>245028</v>
      </c>
      <c r="K34" s="250">
        <v>3825660</v>
      </c>
    </row>
    <row r="35" spans="1:11" s="107" customFormat="1" ht="11.25">
      <c r="A35" s="285" t="s">
        <v>398</v>
      </c>
      <c r="B35" s="248">
        <v>12000000</v>
      </c>
      <c r="C35" s="248">
        <v>6828000</v>
      </c>
      <c r="D35" s="248">
        <v>9600000</v>
      </c>
      <c r="E35" s="248">
        <f t="shared" si="5"/>
        <v>5462400</v>
      </c>
      <c r="F35" s="249">
        <v>5664000</v>
      </c>
      <c r="G35" s="248">
        <v>0</v>
      </c>
      <c r="H35" s="248">
        <v>0</v>
      </c>
      <c r="I35" s="248">
        <v>-201600</v>
      </c>
      <c r="J35" s="248">
        <v>419832</v>
      </c>
      <c r="K35" s="250">
        <v>0</v>
      </c>
    </row>
    <row r="36" spans="1:11" s="107" customFormat="1" ht="11.25">
      <c r="A36" s="282" t="s">
        <v>399</v>
      </c>
      <c r="B36" s="248">
        <v>2450000</v>
      </c>
      <c r="C36" s="248">
        <v>1394050</v>
      </c>
      <c r="D36" s="248">
        <v>2266250</v>
      </c>
      <c r="E36" s="248">
        <f>F36+G36-H36+I36</f>
        <v>1289496</v>
      </c>
      <c r="F36" s="249">
        <v>271711</v>
      </c>
      <c r="G36" s="248">
        <v>1174004</v>
      </c>
      <c r="H36" s="248">
        <v>108045</v>
      </c>
      <c r="I36" s="248">
        <v>-48174</v>
      </c>
      <c r="J36" s="248">
        <v>74038</v>
      </c>
      <c r="K36" s="250">
        <v>0</v>
      </c>
    </row>
    <row r="37" spans="1:11" s="107" customFormat="1" ht="11.25">
      <c r="A37" s="282" t="s">
        <v>400</v>
      </c>
      <c r="B37" s="248">
        <v>6700000</v>
      </c>
      <c r="C37" s="248">
        <v>3812300</v>
      </c>
      <c r="D37" s="248">
        <v>3420578</v>
      </c>
      <c r="E37" s="248">
        <f>F37+G37-H37+I37</f>
        <v>1946309</v>
      </c>
      <c r="F37" s="249">
        <v>0</v>
      </c>
      <c r="G37" s="248">
        <v>1979951</v>
      </c>
      <c r="H37" s="248">
        <v>0</v>
      </c>
      <c r="I37" s="248">
        <v>-33642</v>
      </c>
      <c r="J37" s="248">
        <v>39851</v>
      </c>
      <c r="K37" s="250">
        <v>1865991</v>
      </c>
    </row>
    <row r="38" spans="1:11" s="107" customFormat="1" ht="11.25">
      <c r="A38" s="285" t="s">
        <v>401</v>
      </c>
      <c r="B38" s="248">
        <v>20500000</v>
      </c>
      <c r="C38" s="248">
        <v>11664500</v>
      </c>
      <c r="D38" s="248">
        <v>0</v>
      </c>
      <c r="E38" s="248">
        <f>F38+G38-H38+I38</f>
        <v>0</v>
      </c>
      <c r="F38" s="249">
        <v>0</v>
      </c>
      <c r="G38" s="248">
        <v>0</v>
      </c>
      <c r="H38" s="248">
        <v>0</v>
      </c>
      <c r="I38" s="248">
        <v>0</v>
      </c>
      <c r="J38" s="248">
        <v>0</v>
      </c>
      <c r="K38" s="250">
        <v>11664500</v>
      </c>
    </row>
    <row r="39" spans="1:11" s="107" customFormat="1" ht="11.25">
      <c r="A39" s="282" t="s">
        <v>402</v>
      </c>
      <c r="B39" s="248">
        <v>9700000</v>
      </c>
      <c r="C39" s="248">
        <v>5519300</v>
      </c>
      <c r="D39" s="248">
        <v>0</v>
      </c>
      <c r="E39" s="248">
        <f>F39+G39-H39+I39</f>
        <v>0</v>
      </c>
      <c r="F39" s="249">
        <v>0</v>
      </c>
      <c r="G39" s="248">
        <v>0</v>
      </c>
      <c r="H39" s="248">
        <v>0</v>
      </c>
      <c r="I39" s="248">
        <v>0</v>
      </c>
      <c r="J39" s="248">
        <v>0</v>
      </c>
      <c r="K39" s="250">
        <v>5519300</v>
      </c>
    </row>
    <row r="40" spans="1:11" s="107" customFormat="1" ht="11.25">
      <c r="A40" s="251" t="s">
        <v>359</v>
      </c>
      <c r="B40" s="252">
        <f>SUM(B28:B39)</f>
        <v>153811196</v>
      </c>
      <c r="C40" s="252">
        <f aca="true" t="shared" si="6" ref="C40:K40">SUM(C28:C39)</f>
        <v>87518570</v>
      </c>
      <c r="D40" s="252">
        <f t="shared" si="6"/>
        <v>57653634</v>
      </c>
      <c r="E40" s="252">
        <f t="shared" si="6"/>
        <v>32804919</v>
      </c>
      <c r="F40" s="252">
        <f t="shared" si="6"/>
        <v>21551425</v>
      </c>
      <c r="G40" s="252">
        <f t="shared" si="6"/>
        <v>13649166</v>
      </c>
      <c r="H40" s="252">
        <f t="shared" si="6"/>
        <v>1208615</v>
      </c>
      <c r="I40" s="252">
        <f t="shared" si="6"/>
        <v>-1187057</v>
      </c>
      <c r="J40" s="252">
        <f t="shared" si="6"/>
        <v>1610329</v>
      </c>
      <c r="K40" s="252">
        <f t="shared" si="6"/>
        <v>51046047</v>
      </c>
    </row>
    <row r="41" spans="1:11" s="107" customFormat="1" ht="11.25">
      <c r="A41" s="284" t="s">
        <v>403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6"/>
    </row>
    <row r="42" spans="1:11" s="107" customFormat="1" ht="11.25">
      <c r="A42" s="282" t="s">
        <v>404</v>
      </c>
      <c r="B42" s="248">
        <f>1938838+600000+1261162+1200000</f>
        <v>5000000</v>
      </c>
      <c r="C42" s="257">
        <v>3345000</v>
      </c>
      <c r="D42" s="257">
        <f>1936000+600000+1253744+1200002</f>
        <v>4989746</v>
      </c>
      <c r="E42" s="257">
        <f>F42+G42-H42+I42</f>
        <v>3338140</v>
      </c>
      <c r="F42" s="258">
        <v>3283253</v>
      </c>
      <c r="G42" s="257">
        <v>0</v>
      </c>
      <c r="H42" s="257">
        <v>0</v>
      </c>
      <c r="I42" s="257">
        <v>54887</v>
      </c>
      <c r="J42" s="257">
        <v>34284</v>
      </c>
      <c r="K42" s="259">
        <v>6860</v>
      </c>
    </row>
    <row r="43" spans="1:11" s="107" customFormat="1" ht="11.25">
      <c r="A43" s="282" t="s">
        <v>405</v>
      </c>
      <c r="B43" s="248">
        <v>15000000</v>
      </c>
      <c r="C43" s="257">
        <v>10035000</v>
      </c>
      <c r="D43" s="257">
        <v>727016</v>
      </c>
      <c r="E43" s="257">
        <f>F43+G43-H43+I43</f>
        <v>486374</v>
      </c>
      <c r="F43" s="258">
        <v>478377</v>
      </c>
      <c r="G43" s="257">
        <v>0</v>
      </c>
      <c r="H43" s="257">
        <v>0</v>
      </c>
      <c r="I43" s="257">
        <v>7997</v>
      </c>
      <c r="J43" s="257">
        <v>0</v>
      </c>
      <c r="K43" s="259">
        <v>9548626</v>
      </c>
    </row>
    <row r="44" spans="1:11" s="107" customFormat="1" ht="11.25">
      <c r="A44" s="285" t="s">
        <v>406</v>
      </c>
      <c r="B44" s="248">
        <v>6000000</v>
      </c>
      <c r="C44" s="248">
        <v>4014000</v>
      </c>
      <c r="D44" s="248">
        <v>500000</v>
      </c>
      <c r="E44" s="248">
        <f>F44+G44-H44+I44</f>
        <v>334500</v>
      </c>
      <c r="F44" s="249">
        <v>329000</v>
      </c>
      <c r="G44" s="248">
        <v>0</v>
      </c>
      <c r="H44" s="248">
        <v>0</v>
      </c>
      <c r="I44" s="248">
        <v>5500</v>
      </c>
      <c r="J44" s="248">
        <v>21730</v>
      </c>
      <c r="K44" s="250">
        <v>3679500</v>
      </c>
    </row>
    <row r="45" spans="1:11" s="107" customFormat="1" ht="11.25">
      <c r="A45" s="282" t="s">
        <v>407</v>
      </c>
      <c r="B45" s="248">
        <v>34000000</v>
      </c>
      <c r="C45" s="248">
        <v>22746000</v>
      </c>
      <c r="D45" s="248">
        <v>0</v>
      </c>
      <c r="E45" s="248">
        <f>F45+G45-H45+I45</f>
        <v>0</v>
      </c>
      <c r="F45" s="249">
        <v>0</v>
      </c>
      <c r="G45" s="248">
        <v>0</v>
      </c>
      <c r="H45" s="248">
        <v>0</v>
      </c>
      <c r="I45" s="248">
        <v>0</v>
      </c>
      <c r="J45" s="248">
        <v>0</v>
      </c>
      <c r="K45" s="250">
        <v>22746000</v>
      </c>
    </row>
    <row r="46" spans="1:11" s="107" customFormat="1" ht="11.25">
      <c r="A46" s="251" t="s">
        <v>369</v>
      </c>
      <c r="B46" s="252">
        <f>SUM(B42:B45)</f>
        <v>60000000</v>
      </c>
      <c r="C46" s="252">
        <f>SUM(C42:C45)</f>
        <v>40140000</v>
      </c>
      <c r="D46" s="252">
        <f>SUM(D42:D45)</f>
        <v>6216762</v>
      </c>
      <c r="E46" s="252">
        <f>SUM(E42:E45)</f>
        <v>4159014</v>
      </c>
      <c r="F46" s="253">
        <f aca="true" t="shared" si="7" ref="F46:K46">SUM(F42:F45)</f>
        <v>4090630</v>
      </c>
      <c r="G46" s="252">
        <f t="shared" si="7"/>
        <v>0</v>
      </c>
      <c r="H46" s="252">
        <f t="shared" si="7"/>
        <v>0</v>
      </c>
      <c r="I46" s="252">
        <f t="shared" si="7"/>
        <v>68384</v>
      </c>
      <c r="J46" s="252">
        <f t="shared" si="7"/>
        <v>56014</v>
      </c>
      <c r="K46" s="252">
        <f t="shared" si="7"/>
        <v>35980986</v>
      </c>
    </row>
    <row r="47" spans="1:11" s="107" customFormat="1" ht="15.75" customHeight="1">
      <c r="A47" s="251" t="s">
        <v>370</v>
      </c>
      <c r="B47" s="270" t="s">
        <v>371</v>
      </c>
      <c r="C47" s="252">
        <f>SUM(C46+C40+C26+C23+C20+C17+C11)</f>
        <v>144736011</v>
      </c>
      <c r="D47" s="270" t="s">
        <v>371</v>
      </c>
      <c r="E47" s="252">
        <f aca="true" t="shared" si="8" ref="E47:K47">SUM(E46+E40+E26+E23+E20+E17+E11)</f>
        <v>42557386</v>
      </c>
      <c r="F47" s="252">
        <f t="shared" si="8"/>
        <v>31371561</v>
      </c>
      <c r="G47" s="252">
        <f t="shared" si="8"/>
        <v>14878227</v>
      </c>
      <c r="H47" s="252">
        <f t="shared" si="8"/>
        <v>2757992</v>
      </c>
      <c r="I47" s="252">
        <f t="shared" si="8"/>
        <v>-934410</v>
      </c>
      <c r="J47" s="252">
        <f t="shared" si="8"/>
        <v>2044010</v>
      </c>
      <c r="K47" s="252">
        <f t="shared" si="8"/>
        <v>93460635</v>
      </c>
    </row>
    <row r="48" spans="1:2" ht="15">
      <c r="A48" s="286"/>
      <c r="B48" s="287"/>
    </row>
    <row r="49" s="107" customFormat="1" ht="11.25">
      <c r="A49" s="107" t="s">
        <v>372</v>
      </c>
    </row>
    <row r="50" s="35" customFormat="1" ht="12.75"/>
    <row r="52" s="35" customFormat="1" ht="13.5" customHeight="1"/>
    <row r="53" spans="1:11" s="35" customFormat="1" ht="12.75">
      <c r="A53" s="35" t="s">
        <v>40</v>
      </c>
      <c r="C53" s="288" t="s">
        <v>150</v>
      </c>
      <c r="F53" s="35" t="s">
        <v>42</v>
      </c>
      <c r="K53" s="35" t="s">
        <v>151</v>
      </c>
    </row>
    <row r="54" s="35" customFormat="1" ht="12.75"/>
    <row r="55" s="35" customFormat="1" ht="12.75">
      <c r="A55" s="123"/>
    </row>
    <row r="56" s="35" customFormat="1" ht="12.75"/>
    <row r="57" s="35" customFormat="1" ht="12.75"/>
  </sheetData>
  <printOptions/>
  <pageMargins left="0.75" right="0.75" top="1" bottom="1" header="0.5" footer="0.5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92"/>
  <sheetViews>
    <sheetView workbookViewId="0" topLeftCell="A1">
      <selection activeCell="A14" sqref="A14"/>
    </sheetView>
  </sheetViews>
  <sheetFormatPr defaultColWidth="9.140625" defaultRowHeight="12.75"/>
  <cols>
    <col min="1" max="1" width="23.7109375" style="293" customWidth="1"/>
    <col min="2" max="2" width="11.7109375" style="292" customWidth="1"/>
    <col min="3" max="3" width="17.8515625" style="293" customWidth="1"/>
    <col min="4" max="4" width="16.28125" style="293" customWidth="1"/>
    <col min="5" max="5" width="9.7109375" style="318" customWidth="1"/>
    <col min="6" max="6" width="17.28125" style="293" customWidth="1"/>
    <col min="7" max="7" width="12.28125" style="292" customWidth="1"/>
    <col min="8" max="8" width="7.57421875" style="293" customWidth="1"/>
    <col min="9" max="9" width="12.421875" style="293" customWidth="1"/>
    <col min="10" max="22" width="9.140625" style="291" customWidth="1"/>
    <col min="23" max="16384" width="9.140625" style="292" customWidth="1"/>
  </cols>
  <sheetData>
    <row r="1" spans="1:9" ht="19.5" customHeight="1">
      <c r="A1" s="289" t="s">
        <v>735</v>
      </c>
      <c r="B1" s="289"/>
      <c r="C1" s="289"/>
      <c r="D1" s="289"/>
      <c r="E1" s="290"/>
      <c r="F1" s="289"/>
      <c r="G1" s="289"/>
      <c r="H1" s="289"/>
      <c r="I1" s="289"/>
    </row>
    <row r="2" spans="1:9" ht="19.5" customHeight="1">
      <c r="A2" s="289"/>
      <c r="B2" s="289"/>
      <c r="C2" s="289"/>
      <c r="D2" s="289"/>
      <c r="E2" s="290"/>
      <c r="F2" s="289"/>
      <c r="G2" s="289"/>
      <c r="H2" s="289"/>
      <c r="I2" s="289"/>
    </row>
    <row r="3" spans="2:9" ht="11.25">
      <c r="B3" s="294"/>
      <c r="C3" s="295"/>
      <c r="D3" s="296"/>
      <c r="E3" s="295"/>
      <c r="G3" s="297"/>
      <c r="I3" s="319" t="s">
        <v>736</v>
      </c>
    </row>
    <row r="4" spans="1:9" ht="11.25">
      <c r="A4" s="298"/>
      <c r="B4" s="298" t="s">
        <v>408</v>
      </c>
      <c r="C4" s="298" t="s">
        <v>409</v>
      </c>
      <c r="D4" s="298" t="s">
        <v>409</v>
      </c>
      <c r="E4" s="298" t="s">
        <v>409</v>
      </c>
      <c r="F4" s="298" t="s">
        <v>410</v>
      </c>
      <c r="G4" s="298" t="s">
        <v>410</v>
      </c>
      <c r="H4" s="298"/>
      <c r="I4" s="298" t="s">
        <v>411</v>
      </c>
    </row>
    <row r="5" spans="1:9" ht="11.25">
      <c r="A5" s="299" t="s">
        <v>412</v>
      </c>
      <c r="B5" s="299" t="s">
        <v>413</v>
      </c>
      <c r="C5" s="299" t="s">
        <v>414</v>
      </c>
      <c r="D5" s="299" t="s">
        <v>415</v>
      </c>
      <c r="E5" s="299" t="s">
        <v>416</v>
      </c>
      <c r="F5" s="299" t="s">
        <v>417</v>
      </c>
      <c r="G5" s="299" t="s">
        <v>418</v>
      </c>
      <c r="H5" s="299" t="s">
        <v>419</v>
      </c>
      <c r="I5" s="299" t="s">
        <v>420</v>
      </c>
    </row>
    <row r="6" spans="1:9" ht="11.25">
      <c r="A6" s="300"/>
      <c r="B6" s="300"/>
      <c r="C6" s="300"/>
      <c r="D6" s="300" t="s">
        <v>421</v>
      </c>
      <c r="E6" s="300" t="s">
        <v>422</v>
      </c>
      <c r="F6" s="300"/>
      <c r="G6" s="300" t="s">
        <v>423</v>
      </c>
      <c r="H6" s="300"/>
      <c r="I6" s="300" t="s">
        <v>413</v>
      </c>
    </row>
    <row r="7" spans="1:9" ht="11.25">
      <c r="A7" s="301"/>
      <c r="B7" s="301"/>
      <c r="C7" s="301"/>
      <c r="D7" s="301"/>
      <c r="E7" s="301"/>
      <c r="F7" s="301"/>
      <c r="G7" s="301" t="s">
        <v>425</v>
      </c>
      <c r="H7" s="301"/>
      <c r="I7" s="301"/>
    </row>
    <row r="8" spans="1:9" ht="11.25">
      <c r="A8" s="302" t="s">
        <v>426</v>
      </c>
      <c r="B8" s="302" t="s">
        <v>438</v>
      </c>
      <c r="C8" s="302" t="s">
        <v>160</v>
      </c>
      <c r="D8" s="302" t="s">
        <v>427</v>
      </c>
      <c r="E8" s="302">
        <v>9.15</v>
      </c>
      <c r="F8" s="302" t="s">
        <v>428</v>
      </c>
      <c r="G8" s="302" t="s">
        <v>429</v>
      </c>
      <c r="H8" s="302" t="s">
        <v>430</v>
      </c>
      <c r="I8" s="302" t="s">
        <v>439</v>
      </c>
    </row>
    <row r="9" spans="1:9" ht="11.25">
      <c r="A9" s="302" t="s">
        <v>440</v>
      </c>
      <c r="B9" s="302" t="s">
        <v>441</v>
      </c>
      <c r="C9" s="302" t="s">
        <v>433</v>
      </c>
      <c r="D9" s="302" t="s">
        <v>434</v>
      </c>
      <c r="E9" s="302" t="s">
        <v>435</v>
      </c>
      <c r="F9" s="302"/>
      <c r="G9" s="302" t="s">
        <v>436</v>
      </c>
      <c r="H9" s="302"/>
      <c r="I9" s="302" t="s">
        <v>442</v>
      </c>
    </row>
    <row r="10" spans="1:9" ht="11.25">
      <c r="A10" s="303" t="s">
        <v>424</v>
      </c>
      <c r="B10" s="303"/>
      <c r="C10" s="303"/>
      <c r="D10" s="303"/>
      <c r="E10" s="303"/>
      <c r="F10" s="303"/>
      <c r="G10" s="303" t="s">
        <v>437</v>
      </c>
      <c r="H10" s="303"/>
      <c r="I10" s="303"/>
    </row>
    <row r="11" spans="1:9" ht="11.25">
      <c r="A11" s="301"/>
      <c r="B11" s="301"/>
      <c r="C11" s="301" t="s">
        <v>443</v>
      </c>
      <c r="D11" s="301"/>
      <c r="E11" s="301" t="s">
        <v>424</v>
      </c>
      <c r="F11" s="301"/>
      <c r="G11" s="301"/>
      <c r="H11" s="301"/>
      <c r="I11" s="301"/>
    </row>
    <row r="12" spans="1:9" ht="11.25">
      <c r="A12" s="302" t="s">
        <v>444</v>
      </c>
      <c r="B12" s="302" t="s">
        <v>445</v>
      </c>
      <c r="C12" s="302" t="s">
        <v>446</v>
      </c>
      <c r="D12" s="302" t="s">
        <v>447</v>
      </c>
      <c r="E12" s="302">
        <v>40</v>
      </c>
      <c r="F12" s="302" t="s">
        <v>448</v>
      </c>
      <c r="G12" s="302" t="s">
        <v>449</v>
      </c>
      <c r="H12" s="302" t="s">
        <v>450</v>
      </c>
      <c r="I12" s="302" t="s">
        <v>451</v>
      </c>
    </row>
    <row r="13" spans="1:9" ht="11.25">
      <c r="A13" s="302" t="s">
        <v>424</v>
      </c>
      <c r="B13" s="302" t="s">
        <v>441</v>
      </c>
      <c r="C13" s="302" t="s">
        <v>433</v>
      </c>
      <c r="D13" s="302"/>
      <c r="E13" s="302" t="s">
        <v>452</v>
      </c>
      <c r="F13" s="302"/>
      <c r="G13" s="302" t="s">
        <v>453</v>
      </c>
      <c r="H13" s="302"/>
      <c r="I13" s="302" t="s">
        <v>454</v>
      </c>
    </row>
    <row r="14" spans="1:9" ht="11.25">
      <c r="A14" s="303"/>
      <c r="B14" s="303"/>
      <c r="C14" s="303"/>
      <c r="D14" s="303"/>
      <c r="E14" s="303"/>
      <c r="F14" s="303"/>
      <c r="G14" s="303"/>
      <c r="H14" s="303"/>
      <c r="I14" s="303"/>
    </row>
    <row r="15" spans="1:22" s="306" customFormat="1" ht="11.25">
      <c r="A15" s="304"/>
      <c r="B15" s="304"/>
      <c r="C15" s="301" t="s">
        <v>443</v>
      </c>
      <c r="D15" s="304"/>
      <c r="E15" s="304"/>
      <c r="F15" s="304"/>
      <c r="G15" s="304"/>
      <c r="H15" s="304"/>
      <c r="I15" s="304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</row>
    <row r="16" spans="1:22" s="306" customFormat="1" ht="11.25">
      <c r="A16" s="307" t="s">
        <v>455</v>
      </c>
      <c r="B16" s="307" t="s">
        <v>456</v>
      </c>
      <c r="C16" s="302" t="s">
        <v>446</v>
      </c>
      <c r="D16" s="307" t="s">
        <v>457</v>
      </c>
      <c r="E16" s="307" t="s">
        <v>458</v>
      </c>
      <c r="F16" s="302" t="s">
        <v>459</v>
      </c>
      <c r="G16" s="307" t="s">
        <v>460</v>
      </c>
      <c r="H16" s="302" t="s">
        <v>450</v>
      </c>
      <c r="I16" s="302" t="s">
        <v>451</v>
      </c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</row>
    <row r="17" spans="1:22" s="306" customFormat="1" ht="11.25">
      <c r="A17" s="307"/>
      <c r="B17" s="307" t="s">
        <v>441</v>
      </c>
      <c r="C17" s="302" t="s">
        <v>433</v>
      </c>
      <c r="D17" s="307"/>
      <c r="E17" s="307" t="s">
        <v>461</v>
      </c>
      <c r="F17" s="307"/>
      <c r="G17" s="307" t="s">
        <v>462</v>
      </c>
      <c r="H17" s="307"/>
      <c r="I17" s="307" t="s">
        <v>462</v>
      </c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</row>
    <row r="18" spans="1:22" s="306" customFormat="1" ht="11.25">
      <c r="A18" s="308"/>
      <c r="B18" s="308"/>
      <c r="C18" s="303"/>
      <c r="D18" s="308"/>
      <c r="E18" s="308"/>
      <c r="F18" s="308"/>
      <c r="G18" s="308"/>
      <c r="H18" s="308"/>
      <c r="I18" s="308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</row>
    <row r="19" spans="1:9" ht="11.25">
      <c r="A19" s="301"/>
      <c r="B19" s="301"/>
      <c r="C19" s="301"/>
      <c r="D19" s="301"/>
      <c r="E19" s="301" t="s">
        <v>424</v>
      </c>
      <c r="F19" s="301"/>
      <c r="G19" s="301"/>
      <c r="H19" s="301"/>
      <c r="I19" s="301"/>
    </row>
    <row r="20" spans="1:9" ht="11.25">
      <c r="A20" s="302" t="s">
        <v>463</v>
      </c>
      <c r="B20" s="302" t="s">
        <v>464</v>
      </c>
      <c r="C20" s="302" t="s">
        <v>465</v>
      </c>
      <c r="D20" s="302" t="s">
        <v>466</v>
      </c>
      <c r="E20" s="302">
        <v>13.29</v>
      </c>
      <c r="F20" s="307" t="s">
        <v>467</v>
      </c>
      <c r="G20" s="302" t="s">
        <v>468</v>
      </c>
      <c r="H20" s="302" t="s">
        <v>430</v>
      </c>
      <c r="I20" s="302" t="s">
        <v>451</v>
      </c>
    </row>
    <row r="21" spans="1:9" ht="11.25">
      <c r="A21" s="302" t="s">
        <v>424</v>
      </c>
      <c r="B21" s="302" t="s">
        <v>469</v>
      </c>
      <c r="C21" s="302" t="s">
        <v>470</v>
      </c>
      <c r="D21" s="302" t="s">
        <v>471</v>
      </c>
      <c r="E21" s="302" t="s">
        <v>472</v>
      </c>
      <c r="F21" s="302"/>
      <c r="G21" s="302" t="s">
        <v>473</v>
      </c>
      <c r="H21" s="302"/>
      <c r="I21" s="302" t="s">
        <v>473</v>
      </c>
    </row>
    <row r="22" spans="1:9" ht="11.25">
      <c r="A22" s="303"/>
      <c r="B22" s="303"/>
      <c r="C22" s="303"/>
      <c r="D22" s="303"/>
      <c r="E22" s="303"/>
      <c r="F22" s="303"/>
      <c r="G22" s="303"/>
      <c r="H22" s="303"/>
      <c r="I22" s="303"/>
    </row>
    <row r="23" spans="1:9" ht="11.25">
      <c r="A23" s="301"/>
      <c r="B23" s="301"/>
      <c r="C23" s="301"/>
      <c r="D23" s="301"/>
      <c r="E23" s="301"/>
      <c r="F23" s="301"/>
      <c r="G23" s="301"/>
      <c r="H23" s="301"/>
      <c r="I23" s="301"/>
    </row>
    <row r="24" spans="1:9" ht="11.25">
      <c r="A24" s="302" t="s">
        <v>474</v>
      </c>
      <c r="B24" s="302" t="s">
        <v>475</v>
      </c>
      <c r="C24" s="302" t="s">
        <v>476</v>
      </c>
      <c r="D24" s="302" t="s">
        <v>477</v>
      </c>
      <c r="E24" s="302">
        <v>1.44</v>
      </c>
      <c r="F24" s="302" t="s">
        <v>478</v>
      </c>
      <c r="G24" s="307" t="s">
        <v>479</v>
      </c>
      <c r="H24" s="302" t="s">
        <v>480</v>
      </c>
      <c r="I24" s="302" t="s">
        <v>481</v>
      </c>
    </row>
    <row r="25" spans="1:9" ht="11.25">
      <c r="A25" s="302" t="s">
        <v>482</v>
      </c>
      <c r="B25" s="302" t="s">
        <v>483</v>
      </c>
      <c r="C25" s="302" t="s">
        <v>484</v>
      </c>
      <c r="D25" s="302" t="s">
        <v>471</v>
      </c>
      <c r="E25" s="302" t="s">
        <v>472</v>
      </c>
      <c r="F25" s="302"/>
      <c r="G25" s="307" t="s">
        <v>485</v>
      </c>
      <c r="H25" s="302"/>
      <c r="I25" s="302" t="s">
        <v>479</v>
      </c>
    </row>
    <row r="26" spans="1:9" ht="11.25">
      <c r="A26" s="303"/>
      <c r="B26" s="303"/>
      <c r="C26" s="303"/>
      <c r="D26" s="303"/>
      <c r="E26" s="303"/>
      <c r="F26" s="303"/>
      <c r="G26" s="303"/>
      <c r="H26" s="303"/>
      <c r="I26" s="303"/>
    </row>
    <row r="27" spans="1:9" ht="11.25">
      <c r="A27" s="301"/>
      <c r="B27" s="301"/>
      <c r="C27" s="301"/>
      <c r="D27" s="301"/>
      <c r="E27" s="301"/>
      <c r="F27" s="301"/>
      <c r="G27" s="301"/>
      <c r="H27" s="301"/>
      <c r="I27" s="301"/>
    </row>
    <row r="28" spans="1:9" ht="11.25">
      <c r="A28" s="302" t="s">
        <v>486</v>
      </c>
      <c r="B28" s="302" t="s">
        <v>487</v>
      </c>
      <c r="C28" s="302" t="s">
        <v>488</v>
      </c>
      <c r="D28" s="302" t="s">
        <v>489</v>
      </c>
      <c r="E28" s="302">
        <v>3.48</v>
      </c>
      <c r="F28" s="302" t="s">
        <v>490</v>
      </c>
      <c r="G28" s="302" t="s">
        <v>491</v>
      </c>
      <c r="H28" s="302" t="s">
        <v>480</v>
      </c>
      <c r="I28" s="302" t="s">
        <v>481</v>
      </c>
    </row>
    <row r="29" spans="1:9" ht="11.25">
      <c r="A29" s="302" t="s">
        <v>492</v>
      </c>
      <c r="B29" s="302" t="s">
        <v>483</v>
      </c>
      <c r="C29" s="302" t="s">
        <v>493</v>
      </c>
      <c r="D29" s="302" t="s">
        <v>471</v>
      </c>
      <c r="E29" s="302" t="s">
        <v>461</v>
      </c>
      <c r="F29" s="302"/>
      <c r="G29" s="302" t="s">
        <v>494</v>
      </c>
      <c r="H29" s="302"/>
      <c r="I29" s="302" t="s">
        <v>494</v>
      </c>
    </row>
    <row r="30" spans="1:9" ht="11.25">
      <c r="A30" s="303"/>
      <c r="B30" s="303"/>
      <c r="C30" s="303"/>
      <c r="D30" s="303"/>
      <c r="E30" s="303"/>
      <c r="F30" s="303"/>
      <c r="G30" s="303"/>
      <c r="H30" s="303"/>
      <c r="I30" s="303"/>
    </row>
    <row r="31" spans="1:9" ht="11.25">
      <c r="A31" s="301"/>
      <c r="B31" s="301"/>
      <c r="C31" s="301"/>
      <c r="D31" s="301"/>
      <c r="E31" s="301"/>
      <c r="F31" s="301"/>
      <c r="G31" s="301" t="s">
        <v>495</v>
      </c>
      <c r="H31" s="301"/>
      <c r="I31" s="301"/>
    </row>
    <row r="32" spans="1:9" ht="11.25">
      <c r="A32" s="302" t="s">
        <v>496</v>
      </c>
      <c r="B32" s="302" t="s">
        <v>497</v>
      </c>
      <c r="C32" s="302" t="s">
        <v>498</v>
      </c>
      <c r="D32" s="302" t="s">
        <v>499</v>
      </c>
      <c r="E32" s="302">
        <v>6</v>
      </c>
      <c r="F32" s="302" t="s">
        <v>500</v>
      </c>
      <c r="G32" s="302" t="s">
        <v>501</v>
      </c>
      <c r="H32" s="302" t="s">
        <v>480</v>
      </c>
      <c r="I32" s="302" t="s">
        <v>502</v>
      </c>
    </row>
    <row r="33" spans="1:9" ht="11.25">
      <c r="A33" s="302"/>
      <c r="B33" s="302" t="s">
        <v>503</v>
      </c>
      <c r="C33" s="302" t="s">
        <v>504</v>
      </c>
      <c r="D33" s="302"/>
      <c r="E33" s="302" t="s">
        <v>505</v>
      </c>
      <c r="F33" s="302" t="s">
        <v>506</v>
      </c>
      <c r="G33" s="302" t="s">
        <v>507</v>
      </c>
      <c r="H33" s="302"/>
      <c r="I33" s="307" t="s">
        <v>508</v>
      </c>
    </row>
    <row r="34" spans="1:9" ht="11.25">
      <c r="A34" s="303"/>
      <c r="B34" s="303"/>
      <c r="C34" s="303"/>
      <c r="D34" s="303"/>
      <c r="E34" s="303"/>
      <c r="F34" s="303"/>
      <c r="G34" s="303"/>
      <c r="H34" s="303"/>
      <c r="I34" s="303"/>
    </row>
    <row r="35" spans="1:9" ht="11.25">
      <c r="A35" s="301"/>
      <c r="B35" s="301"/>
      <c r="C35" s="302"/>
      <c r="D35" s="301"/>
      <c r="E35" s="301"/>
      <c r="F35" s="307"/>
      <c r="G35" s="301"/>
      <c r="H35" s="301"/>
      <c r="I35" s="301"/>
    </row>
    <row r="36" spans="1:9" ht="11.25">
      <c r="A36" s="302" t="s">
        <v>737</v>
      </c>
      <c r="B36" s="302" t="s">
        <v>738</v>
      </c>
      <c r="C36" s="302" t="s">
        <v>739</v>
      </c>
      <c r="D36" s="302" t="s">
        <v>740</v>
      </c>
      <c r="E36" s="302">
        <v>2.5</v>
      </c>
      <c r="F36" s="302" t="s">
        <v>741</v>
      </c>
      <c r="G36" s="307" t="s">
        <v>554</v>
      </c>
      <c r="H36" s="302" t="s">
        <v>480</v>
      </c>
      <c r="I36" s="307" t="s">
        <v>742</v>
      </c>
    </row>
    <row r="37" spans="1:9" ht="11.25">
      <c r="A37" s="302" t="s">
        <v>743</v>
      </c>
      <c r="B37" s="302" t="s">
        <v>431</v>
      </c>
      <c r="C37" s="302" t="s">
        <v>744</v>
      </c>
      <c r="D37" s="302" t="s">
        <v>745</v>
      </c>
      <c r="E37" s="302" t="s">
        <v>590</v>
      </c>
      <c r="F37" s="302"/>
      <c r="G37" s="307" t="s">
        <v>453</v>
      </c>
      <c r="H37" s="302"/>
      <c r="I37" s="307" t="s">
        <v>746</v>
      </c>
    </row>
    <row r="38" spans="1:9" ht="11.25">
      <c r="A38" s="303"/>
      <c r="B38" s="303"/>
      <c r="C38" s="303"/>
      <c r="D38" s="303"/>
      <c r="E38" s="303"/>
      <c r="F38" s="303"/>
      <c r="G38" s="303"/>
      <c r="H38" s="303"/>
      <c r="I38" s="303"/>
    </row>
    <row r="39" spans="1:9" ht="11.25">
      <c r="A39" s="301"/>
      <c r="B39" s="301"/>
      <c r="C39" s="301"/>
      <c r="D39" s="301"/>
      <c r="E39" s="301"/>
      <c r="F39" s="301"/>
      <c r="G39" s="301"/>
      <c r="H39" s="301"/>
      <c r="I39" s="301"/>
    </row>
    <row r="40" spans="1:9" ht="11.25">
      <c r="A40" s="302" t="s">
        <v>509</v>
      </c>
      <c r="B40" s="302" t="s">
        <v>510</v>
      </c>
      <c r="C40" s="302" t="s">
        <v>511</v>
      </c>
      <c r="D40" s="302" t="s">
        <v>20</v>
      </c>
      <c r="E40" s="302">
        <v>1.16</v>
      </c>
      <c r="F40" s="302" t="s">
        <v>512</v>
      </c>
      <c r="G40" s="307" t="s">
        <v>513</v>
      </c>
      <c r="H40" s="302" t="s">
        <v>430</v>
      </c>
      <c r="I40" s="302" t="s">
        <v>514</v>
      </c>
    </row>
    <row r="41" spans="1:9" ht="11.25">
      <c r="A41" s="302"/>
      <c r="B41" s="302" t="s">
        <v>515</v>
      </c>
      <c r="C41" s="302" t="s">
        <v>516</v>
      </c>
      <c r="D41" s="302"/>
      <c r="E41" s="302" t="s">
        <v>461</v>
      </c>
      <c r="F41" s="302"/>
      <c r="G41" s="307" t="s">
        <v>517</v>
      </c>
      <c r="H41" s="302" t="s">
        <v>424</v>
      </c>
      <c r="I41" s="307" t="s">
        <v>517</v>
      </c>
    </row>
    <row r="42" spans="1:9" ht="11.25">
      <c r="A42" s="303"/>
      <c r="B42" s="303"/>
      <c r="C42" s="303"/>
      <c r="D42" s="303"/>
      <c r="E42" s="303"/>
      <c r="F42" s="303"/>
      <c r="G42" s="303"/>
      <c r="H42" s="303"/>
      <c r="I42" s="303"/>
    </row>
    <row r="43" spans="1:9" ht="11.25">
      <c r="A43" s="301"/>
      <c r="B43" s="301"/>
      <c r="C43" s="301"/>
      <c r="D43" s="301"/>
      <c r="E43" s="301" t="s">
        <v>424</v>
      </c>
      <c r="F43" s="301"/>
      <c r="G43" s="301" t="s">
        <v>425</v>
      </c>
      <c r="H43" s="301"/>
      <c r="I43" s="301"/>
    </row>
    <row r="44" spans="1:9" ht="11.25">
      <c r="A44" s="302" t="s">
        <v>426</v>
      </c>
      <c r="B44" s="302" t="s">
        <v>518</v>
      </c>
      <c r="C44" s="302" t="s">
        <v>443</v>
      </c>
      <c r="D44" s="302" t="s">
        <v>519</v>
      </c>
      <c r="E44" s="302">
        <v>22.875</v>
      </c>
      <c r="F44" s="302" t="s">
        <v>428</v>
      </c>
      <c r="G44" s="302" t="s">
        <v>429</v>
      </c>
      <c r="H44" s="302" t="s">
        <v>520</v>
      </c>
      <c r="I44" s="302" t="s">
        <v>502</v>
      </c>
    </row>
    <row r="45" spans="1:9" ht="11.25">
      <c r="A45" s="302" t="s">
        <v>521</v>
      </c>
      <c r="B45" s="302" t="s">
        <v>441</v>
      </c>
      <c r="C45" s="302" t="s">
        <v>446</v>
      </c>
      <c r="D45" s="302"/>
      <c r="E45" s="302" t="s">
        <v>435</v>
      </c>
      <c r="F45" s="302"/>
      <c r="G45" s="302" t="s">
        <v>436</v>
      </c>
      <c r="H45" s="302"/>
      <c r="I45" s="307" t="s">
        <v>522</v>
      </c>
    </row>
    <row r="46" spans="1:9" ht="11.25">
      <c r="A46" s="303" t="s">
        <v>424</v>
      </c>
      <c r="B46" s="303"/>
      <c r="C46" s="303" t="s">
        <v>433</v>
      </c>
      <c r="D46" s="303"/>
      <c r="E46" s="303"/>
      <c r="F46" s="303"/>
      <c r="G46" s="303" t="s">
        <v>523</v>
      </c>
      <c r="H46" s="303"/>
      <c r="I46" s="303"/>
    </row>
    <row r="47" spans="1:9" ht="11.25">
      <c r="A47" s="301"/>
      <c r="B47" s="301"/>
      <c r="C47" s="301"/>
      <c r="D47" s="301"/>
      <c r="E47" s="301" t="s">
        <v>424</v>
      </c>
      <c r="F47" s="301"/>
      <c r="G47" s="301" t="s">
        <v>425</v>
      </c>
      <c r="H47" s="301"/>
      <c r="I47" s="301"/>
    </row>
    <row r="48" spans="1:9" ht="11.25">
      <c r="A48" s="302" t="s">
        <v>426</v>
      </c>
      <c r="B48" s="302" t="s">
        <v>524</v>
      </c>
      <c r="C48" s="302" t="s">
        <v>443</v>
      </c>
      <c r="D48" s="302" t="s">
        <v>747</v>
      </c>
      <c r="E48" s="302">
        <v>22.875</v>
      </c>
      <c r="F48" s="302" t="s">
        <v>428</v>
      </c>
      <c r="G48" s="302" t="s">
        <v>429</v>
      </c>
      <c r="H48" s="302" t="s">
        <v>520</v>
      </c>
      <c r="I48" s="302" t="s">
        <v>525</v>
      </c>
    </row>
    <row r="49" spans="1:9" ht="11.25">
      <c r="A49" s="302" t="s">
        <v>526</v>
      </c>
      <c r="B49" s="302" t="s">
        <v>441</v>
      </c>
      <c r="C49" s="302" t="s">
        <v>446</v>
      </c>
      <c r="D49" s="302"/>
      <c r="E49" s="302" t="s">
        <v>435</v>
      </c>
      <c r="F49" s="302"/>
      <c r="G49" s="302" t="s">
        <v>436</v>
      </c>
      <c r="H49" s="302"/>
      <c r="I49" s="307" t="s">
        <v>527</v>
      </c>
    </row>
    <row r="50" spans="1:9" ht="11.25">
      <c r="A50" s="303" t="s">
        <v>424</v>
      </c>
      <c r="B50" s="303"/>
      <c r="C50" s="303" t="s">
        <v>433</v>
      </c>
      <c r="D50" s="303"/>
      <c r="E50" s="303"/>
      <c r="F50" s="303"/>
      <c r="G50" s="303" t="s">
        <v>523</v>
      </c>
      <c r="H50" s="303"/>
      <c r="I50" s="303"/>
    </row>
    <row r="51" spans="1:9" ht="11.25">
      <c r="A51" s="301"/>
      <c r="B51" s="301"/>
      <c r="C51" s="301"/>
      <c r="D51" s="301"/>
      <c r="E51" s="301">
        <v>7.32</v>
      </c>
      <c r="F51" s="301"/>
      <c r="G51" s="301"/>
      <c r="H51" s="301"/>
      <c r="I51" s="301"/>
    </row>
    <row r="52" spans="1:9" ht="11.25">
      <c r="A52" s="302" t="s">
        <v>528</v>
      </c>
      <c r="B52" s="302" t="s">
        <v>529</v>
      </c>
      <c r="C52" s="302" t="s">
        <v>530</v>
      </c>
      <c r="D52" s="302" t="s">
        <v>531</v>
      </c>
      <c r="E52" s="302" t="s">
        <v>472</v>
      </c>
      <c r="F52" s="302" t="s">
        <v>532</v>
      </c>
      <c r="G52" s="302" t="s">
        <v>533</v>
      </c>
      <c r="H52" s="302" t="s">
        <v>480</v>
      </c>
      <c r="I52" s="302" t="s">
        <v>525</v>
      </c>
    </row>
    <row r="53" spans="1:9" ht="11.25">
      <c r="A53" s="302" t="s">
        <v>424</v>
      </c>
      <c r="B53" s="302" t="s">
        <v>432</v>
      </c>
      <c r="C53" s="302" t="s">
        <v>534</v>
      </c>
      <c r="D53" s="302" t="s">
        <v>535</v>
      </c>
      <c r="E53" s="302">
        <v>4.71</v>
      </c>
      <c r="F53" s="302"/>
      <c r="G53" s="302" t="s">
        <v>536</v>
      </c>
      <c r="H53" s="302"/>
      <c r="I53" s="302" t="s">
        <v>536</v>
      </c>
    </row>
    <row r="54" spans="1:9" ht="11.25">
      <c r="A54" s="303" t="s">
        <v>424</v>
      </c>
      <c r="B54" s="303"/>
      <c r="C54" s="303"/>
      <c r="D54" s="303"/>
      <c r="E54" s="303" t="s">
        <v>461</v>
      </c>
      <c r="F54" s="303"/>
      <c r="G54" s="303"/>
      <c r="H54" s="303"/>
      <c r="I54" s="303"/>
    </row>
    <row r="55" spans="1:9" ht="11.25">
      <c r="A55" s="301"/>
      <c r="B55" s="301"/>
      <c r="C55" s="301"/>
      <c r="D55" s="301"/>
      <c r="E55" s="301"/>
      <c r="F55" s="301"/>
      <c r="G55" s="301"/>
      <c r="H55" s="301"/>
      <c r="I55" s="301"/>
    </row>
    <row r="56" spans="1:9" ht="11.25">
      <c r="A56" s="302" t="s">
        <v>537</v>
      </c>
      <c r="B56" s="302" t="s">
        <v>538</v>
      </c>
      <c r="C56" s="302" t="s">
        <v>539</v>
      </c>
      <c r="D56" s="302" t="s">
        <v>540</v>
      </c>
      <c r="E56" s="302" t="s">
        <v>541</v>
      </c>
      <c r="F56" s="302" t="s">
        <v>542</v>
      </c>
      <c r="G56" s="302" t="s">
        <v>543</v>
      </c>
      <c r="H56" s="302" t="s">
        <v>480</v>
      </c>
      <c r="I56" s="302" t="s">
        <v>544</v>
      </c>
    </row>
    <row r="57" spans="1:9" ht="11.25">
      <c r="A57" s="302"/>
      <c r="B57" s="302" t="s">
        <v>483</v>
      </c>
      <c r="C57" s="302" t="s">
        <v>545</v>
      </c>
      <c r="D57" s="302"/>
      <c r="E57" s="302" t="s">
        <v>546</v>
      </c>
      <c r="F57" s="302" t="s">
        <v>547</v>
      </c>
      <c r="G57" s="302" t="s">
        <v>548</v>
      </c>
      <c r="H57" s="302"/>
      <c r="I57" s="302" t="s">
        <v>549</v>
      </c>
    </row>
    <row r="58" spans="1:9" ht="11.25">
      <c r="A58" s="303"/>
      <c r="B58" s="303"/>
      <c r="C58" s="303"/>
      <c r="D58" s="303"/>
      <c r="E58" s="303"/>
      <c r="F58" s="303"/>
      <c r="G58" s="303"/>
      <c r="H58" s="303"/>
      <c r="I58" s="303"/>
    </row>
    <row r="59" spans="1:9" ht="11.25">
      <c r="A59" s="301"/>
      <c r="B59" s="301"/>
      <c r="C59" s="301"/>
      <c r="D59" s="301"/>
      <c r="E59" s="301"/>
      <c r="F59" s="301"/>
      <c r="G59" s="301"/>
      <c r="H59" s="301"/>
      <c r="I59" s="301"/>
    </row>
    <row r="60" spans="1:9" ht="11.25">
      <c r="A60" s="302" t="s">
        <v>550</v>
      </c>
      <c r="B60" s="302" t="s">
        <v>551</v>
      </c>
      <c r="C60" s="302" t="s">
        <v>552</v>
      </c>
      <c r="D60" s="302" t="s">
        <v>553</v>
      </c>
      <c r="E60" s="302">
        <v>3.49</v>
      </c>
      <c r="F60" s="302" t="s">
        <v>542</v>
      </c>
      <c r="G60" s="302" t="s">
        <v>554</v>
      </c>
      <c r="H60" s="302" t="s">
        <v>555</v>
      </c>
      <c r="I60" s="302" t="s">
        <v>556</v>
      </c>
    </row>
    <row r="61" spans="1:9" ht="11.25">
      <c r="A61" s="302"/>
      <c r="B61" s="302" t="s">
        <v>557</v>
      </c>
      <c r="C61" s="302"/>
      <c r="D61" s="302"/>
      <c r="E61" s="302" t="s">
        <v>546</v>
      </c>
      <c r="F61" s="302" t="s">
        <v>547</v>
      </c>
      <c r="G61" s="302" t="s">
        <v>558</v>
      </c>
      <c r="H61" s="302"/>
      <c r="I61" s="302" t="s">
        <v>453</v>
      </c>
    </row>
    <row r="62" spans="1:9" ht="11.25">
      <c r="A62" s="303"/>
      <c r="B62" s="303"/>
      <c r="C62" s="303"/>
      <c r="D62" s="303"/>
      <c r="E62" s="303"/>
      <c r="F62" s="303"/>
      <c r="G62" s="303"/>
      <c r="H62" s="303"/>
      <c r="I62" s="303"/>
    </row>
    <row r="63" spans="1:9" ht="11.25">
      <c r="A63" s="301"/>
      <c r="B63" s="301"/>
      <c r="C63" s="301"/>
      <c r="D63" s="301"/>
      <c r="E63" s="301"/>
      <c r="F63" s="301"/>
      <c r="G63" s="301"/>
      <c r="H63" s="301"/>
      <c r="I63" s="301"/>
    </row>
    <row r="64" spans="1:9" ht="11.25">
      <c r="A64" s="302" t="s">
        <v>550</v>
      </c>
      <c r="B64" s="302" t="s">
        <v>559</v>
      </c>
      <c r="C64" s="302" t="s">
        <v>560</v>
      </c>
      <c r="D64" s="302" t="s">
        <v>427</v>
      </c>
      <c r="E64" s="302">
        <v>2.43</v>
      </c>
      <c r="F64" s="302" t="s">
        <v>542</v>
      </c>
      <c r="G64" s="302" t="s">
        <v>554</v>
      </c>
      <c r="H64" s="302" t="s">
        <v>555</v>
      </c>
      <c r="I64" s="302" t="s">
        <v>556</v>
      </c>
    </row>
    <row r="65" spans="1:9" ht="11.25">
      <c r="A65" s="302"/>
      <c r="B65" s="302" t="s">
        <v>557</v>
      </c>
      <c r="C65" s="302" t="s">
        <v>561</v>
      </c>
      <c r="D65" s="302" t="s">
        <v>748</v>
      </c>
      <c r="E65" s="302" t="s">
        <v>461</v>
      </c>
      <c r="F65" s="302" t="s">
        <v>547</v>
      </c>
      <c r="G65" s="302" t="s">
        <v>558</v>
      </c>
      <c r="H65" s="302"/>
      <c r="I65" s="302" t="s">
        <v>453</v>
      </c>
    </row>
    <row r="66" spans="1:9" ht="11.25">
      <c r="A66" s="303"/>
      <c r="B66" s="303"/>
      <c r="C66" s="303"/>
      <c r="D66" s="303"/>
      <c r="E66" s="303"/>
      <c r="F66" s="303"/>
      <c r="G66" s="303"/>
      <c r="H66" s="303"/>
      <c r="I66" s="303"/>
    </row>
    <row r="67" spans="1:9" ht="11.25">
      <c r="A67" s="301"/>
      <c r="B67" s="301"/>
      <c r="C67" s="301"/>
      <c r="D67" s="301"/>
      <c r="E67" s="301"/>
      <c r="F67" s="301"/>
      <c r="G67" s="301"/>
      <c r="H67" s="301"/>
      <c r="I67" s="301"/>
    </row>
    <row r="68" spans="1:9" ht="11.25">
      <c r="A68" s="302" t="s">
        <v>550</v>
      </c>
      <c r="B68" s="302" t="s">
        <v>563</v>
      </c>
      <c r="C68" s="302" t="s">
        <v>564</v>
      </c>
      <c r="D68" s="302" t="s">
        <v>565</v>
      </c>
      <c r="E68" s="302">
        <v>0.43</v>
      </c>
      <c r="F68" s="302" t="s">
        <v>542</v>
      </c>
      <c r="G68" s="302" t="s">
        <v>554</v>
      </c>
      <c r="H68" s="302" t="s">
        <v>566</v>
      </c>
      <c r="I68" s="302" t="s">
        <v>556</v>
      </c>
    </row>
    <row r="69" spans="1:9" ht="11.25">
      <c r="A69" s="302"/>
      <c r="B69" s="302" t="s">
        <v>557</v>
      </c>
      <c r="C69" s="302" t="s">
        <v>567</v>
      </c>
      <c r="D69" s="302"/>
      <c r="E69" s="302" t="s">
        <v>461</v>
      </c>
      <c r="F69" s="302" t="s">
        <v>547</v>
      </c>
      <c r="G69" s="302" t="s">
        <v>558</v>
      </c>
      <c r="H69" s="302"/>
      <c r="I69" s="302" t="s">
        <v>558</v>
      </c>
    </row>
    <row r="70" spans="1:9" ht="11.25">
      <c r="A70" s="303"/>
      <c r="B70" s="303"/>
      <c r="C70" s="303"/>
      <c r="D70" s="303"/>
      <c r="E70" s="303"/>
      <c r="F70" s="303"/>
      <c r="G70" s="303"/>
      <c r="H70" s="303"/>
      <c r="I70" s="303"/>
    </row>
    <row r="71" spans="1:9" ht="11.25">
      <c r="A71" s="301"/>
      <c r="B71" s="301"/>
      <c r="C71" s="301"/>
      <c r="D71" s="301"/>
      <c r="E71" s="301"/>
      <c r="F71" s="301"/>
      <c r="G71" s="301"/>
      <c r="H71" s="301"/>
      <c r="I71" s="301"/>
    </row>
    <row r="72" spans="1:9" ht="11.25">
      <c r="A72" s="302" t="s">
        <v>550</v>
      </c>
      <c r="B72" s="302" t="s">
        <v>563</v>
      </c>
      <c r="C72" s="302" t="s">
        <v>568</v>
      </c>
      <c r="D72" s="302" t="s">
        <v>565</v>
      </c>
      <c r="E72" s="302">
        <v>2.44</v>
      </c>
      <c r="F72" s="302" t="s">
        <v>542</v>
      </c>
      <c r="G72" s="302" t="s">
        <v>554</v>
      </c>
      <c r="H72" s="302" t="s">
        <v>566</v>
      </c>
      <c r="I72" s="302" t="s">
        <v>556</v>
      </c>
    </row>
    <row r="73" spans="1:9" ht="11.25">
      <c r="A73" s="302"/>
      <c r="B73" s="302" t="s">
        <v>557</v>
      </c>
      <c r="C73" s="302" t="s">
        <v>545</v>
      </c>
      <c r="D73" s="302"/>
      <c r="E73" s="302" t="s">
        <v>461</v>
      </c>
      <c r="F73" s="302" t="s">
        <v>547</v>
      </c>
      <c r="G73" s="302" t="s">
        <v>558</v>
      </c>
      <c r="H73" s="302"/>
      <c r="I73" s="302" t="s">
        <v>453</v>
      </c>
    </row>
    <row r="74" spans="1:9" ht="11.25">
      <c r="A74" s="303"/>
      <c r="B74" s="303"/>
      <c r="C74" s="303"/>
      <c r="D74" s="303"/>
      <c r="E74" s="303"/>
      <c r="F74" s="303"/>
      <c r="G74" s="303"/>
      <c r="H74" s="303"/>
      <c r="I74" s="303"/>
    </row>
    <row r="75" spans="1:9" ht="11.25">
      <c r="A75" s="301"/>
      <c r="B75" s="301"/>
      <c r="C75" s="301"/>
      <c r="D75" s="301"/>
      <c r="E75" s="301"/>
      <c r="F75" s="301"/>
      <c r="G75" s="301"/>
      <c r="H75" s="301"/>
      <c r="I75" s="301"/>
    </row>
    <row r="76" spans="1:9" ht="11.25">
      <c r="A76" s="302" t="s">
        <v>550</v>
      </c>
      <c r="B76" s="302" t="s">
        <v>563</v>
      </c>
      <c r="C76" s="302" t="s">
        <v>564</v>
      </c>
      <c r="D76" s="302" t="s">
        <v>569</v>
      </c>
      <c r="E76" s="302">
        <v>0.07</v>
      </c>
      <c r="F76" s="302" t="s">
        <v>542</v>
      </c>
      <c r="G76" s="302" t="s">
        <v>554</v>
      </c>
      <c r="H76" s="302" t="s">
        <v>566</v>
      </c>
      <c r="I76" s="302" t="s">
        <v>556</v>
      </c>
    </row>
    <row r="77" spans="1:9" ht="11.25">
      <c r="A77" s="302"/>
      <c r="B77" s="302" t="s">
        <v>557</v>
      </c>
      <c r="C77" s="302" t="s">
        <v>567</v>
      </c>
      <c r="D77" s="302"/>
      <c r="E77" s="302" t="s">
        <v>461</v>
      </c>
      <c r="F77" s="302" t="s">
        <v>547</v>
      </c>
      <c r="G77" s="302" t="s">
        <v>558</v>
      </c>
      <c r="H77" s="302"/>
      <c r="I77" s="302" t="s">
        <v>453</v>
      </c>
    </row>
    <row r="78" spans="1:9" ht="11.25">
      <c r="A78" s="303"/>
      <c r="B78" s="303"/>
      <c r="C78" s="303"/>
      <c r="D78" s="303"/>
      <c r="E78" s="303"/>
      <c r="F78" s="303"/>
      <c r="G78" s="303"/>
      <c r="H78" s="303"/>
      <c r="I78" s="303"/>
    </row>
    <row r="79" spans="1:9" ht="11.25">
      <c r="A79" s="301"/>
      <c r="B79" s="301"/>
      <c r="C79" s="301"/>
      <c r="D79" s="301"/>
      <c r="E79" s="301"/>
      <c r="F79" s="301"/>
      <c r="G79" s="301"/>
      <c r="H79" s="301"/>
      <c r="I79" s="301"/>
    </row>
    <row r="80" spans="1:9" ht="11.25">
      <c r="A80" s="302" t="s">
        <v>550</v>
      </c>
      <c r="B80" s="302" t="s">
        <v>533</v>
      </c>
      <c r="C80" s="302" t="s">
        <v>539</v>
      </c>
      <c r="D80" s="302" t="s">
        <v>570</v>
      </c>
      <c r="E80" s="302">
        <v>0.22</v>
      </c>
      <c r="F80" s="302" t="s">
        <v>542</v>
      </c>
      <c r="G80" s="302" t="s">
        <v>554</v>
      </c>
      <c r="H80" s="302" t="s">
        <v>571</v>
      </c>
      <c r="I80" s="302" t="s">
        <v>556</v>
      </c>
    </row>
    <row r="81" spans="1:9" ht="11.25">
      <c r="A81" s="302"/>
      <c r="B81" s="302" t="s">
        <v>483</v>
      </c>
      <c r="C81" s="302" t="s">
        <v>545</v>
      </c>
      <c r="D81" s="302" t="s">
        <v>572</v>
      </c>
      <c r="E81" s="302" t="s">
        <v>461</v>
      </c>
      <c r="F81" s="302" t="s">
        <v>547</v>
      </c>
      <c r="G81" s="302" t="s">
        <v>453</v>
      </c>
      <c r="H81" s="302"/>
      <c r="I81" s="302" t="s">
        <v>453</v>
      </c>
    </row>
    <row r="82" spans="1:9" ht="11.25">
      <c r="A82" s="303"/>
      <c r="B82" s="303"/>
      <c r="C82" s="303"/>
      <c r="D82" s="303"/>
      <c r="E82" s="303"/>
      <c r="F82" s="303"/>
      <c r="G82" s="303"/>
      <c r="H82" s="303"/>
      <c r="I82" s="303"/>
    </row>
    <row r="83" spans="1:9" ht="11.25">
      <c r="A83" s="301"/>
      <c r="B83" s="301"/>
      <c r="C83" s="301"/>
      <c r="D83" s="301"/>
      <c r="E83" s="301"/>
      <c r="F83" s="301"/>
      <c r="G83" s="301"/>
      <c r="H83" s="301"/>
      <c r="I83" s="301"/>
    </row>
    <row r="84" spans="1:9" ht="11.25">
      <c r="A84" s="302" t="s">
        <v>550</v>
      </c>
      <c r="B84" s="302" t="s">
        <v>533</v>
      </c>
      <c r="C84" s="302" t="s">
        <v>539</v>
      </c>
      <c r="D84" s="302" t="s">
        <v>573</v>
      </c>
      <c r="E84" s="302">
        <v>0.52</v>
      </c>
      <c r="F84" s="302" t="s">
        <v>542</v>
      </c>
      <c r="G84" s="302" t="s">
        <v>554</v>
      </c>
      <c r="H84" s="302" t="s">
        <v>571</v>
      </c>
      <c r="I84" s="302" t="s">
        <v>556</v>
      </c>
    </row>
    <row r="85" spans="1:9" ht="11.25">
      <c r="A85" s="302"/>
      <c r="B85" s="302" t="s">
        <v>483</v>
      </c>
      <c r="C85" s="302" t="s">
        <v>545</v>
      </c>
      <c r="D85" s="302" t="s">
        <v>572</v>
      </c>
      <c r="E85" s="302" t="s">
        <v>461</v>
      </c>
      <c r="F85" s="302" t="s">
        <v>547</v>
      </c>
      <c r="G85" s="302" t="s">
        <v>453</v>
      </c>
      <c r="H85" s="302"/>
      <c r="I85" s="302" t="s">
        <v>453</v>
      </c>
    </row>
    <row r="86" spans="1:9" ht="11.25">
      <c r="A86" s="303"/>
      <c r="B86" s="303"/>
      <c r="C86" s="303"/>
      <c r="D86" s="303"/>
      <c r="E86" s="303"/>
      <c r="F86" s="303"/>
      <c r="G86" s="303"/>
      <c r="H86" s="303"/>
      <c r="I86" s="303"/>
    </row>
    <row r="87" spans="1:9" ht="11.25">
      <c r="A87" s="301"/>
      <c r="B87" s="301"/>
      <c r="C87" s="301"/>
      <c r="D87" s="301"/>
      <c r="E87" s="301"/>
      <c r="F87" s="301"/>
      <c r="G87" s="301"/>
      <c r="H87" s="301"/>
      <c r="I87" s="301"/>
    </row>
    <row r="88" spans="1:9" ht="11.25">
      <c r="A88" s="302" t="s">
        <v>550</v>
      </c>
      <c r="B88" s="302" t="s">
        <v>533</v>
      </c>
      <c r="C88" s="302" t="s">
        <v>539</v>
      </c>
      <c r="D88" s="302" t="s">
        <v>574</v>
      </c>
      <c r="E88" s="302">
        <v>0.64</v>
      </c>
      <c r="F88" s="302" t="s">
        <v>542</v>
      </c>
      <c r="G88" s="302" t="s">
        <v>554</v>
      </c>
      <c r="H88" s="302" t="s">
        <v>571</v>
      </c>
      <c r="I88" s="302" t="s">
        <v>556</v>
      </c>
    </row>
    <row r="89" spans="1:9" ht="11.25">
      <c r="A89" s="302"/>
      <c r="B89" s="302" t="s">
        <v>483</v>
      </c>
      <c r="C89" s="302" t="s">
        <v>545</v>
      </c>
      <c r="D89" s="302" t="s">
        <v>572</v>
      </c>
      <c r="E89" s="302" t="s">
        <v>461</v>
      </c>
      <c r="F89" s="302" t="s">
        <v>547</v>
      </c>
      <c r="G89" s="302" t="s">
        <v>453</v>
      </c>
      <c r="H89" s="302"/>
      <c r="I89" s="302" t="s">
        <v>453</v>
      </c>
    </row>
    <row r="90" spans="1:9" ht="11.25">
      <c r="A90" s="303"/>
      <c r="B90" s="303"/>
      <c r="C90" s="303"/>
      <c r="D90" s="303"/>
      <c r="E90" s="303"/>
      <c r="F90" s="303"/>
      <c r="G90" s="303"/>
      <c r="H90" s="303"/>
      <c r="I90" s="303"/>
    </row>
    <row r="91" spans="1:9" ht="11.25">
      <c r="A91" s="301"/>
      <c r="B91" s="301"/>
      <c r="C91" s="301"/>
      <c r="D91" s="301"/>
      <c r="E91" s="301"/>
      <c r="F91" s="301"/>
      <c r="G91" s="301"/>
      <c r="H91" s="301"/>
      <c r="I91" s="301"/>
    </row>
    <row r="92" spans="1:9" ht="11.25">
      <c r="A92" s="302" t="s">
        <v>550</v>
      </c>
      <c r="B92" s="302" t="s">
        <v>533</v>
      </c>
      <c r="C92" s="302" t="s">
        <v>539</v>
      </c>
      <c r="D92" s="302" t="s">
        <v>575</v>
      </c>
      <c r="E92" s="302">
        <v>0.32</v>
      </c>
      <c r="F92" s="302" t="s">
        <v>542</v>
      </c>
      <c r="G92" s="302" t="s">
        <v>554</v>
      </c>
      <c r="H92" s="302" t="s">
        <v>571</v>
      </c>
      <c r="I92" s="302" t="s">
        <v>556</v>
      </c>
    </row>
    <row r="93" spans="1:9" ht="11.25">
      <c r="A93" s="302"/>
      <c r="B93" s="302" t="s">
        <v>483</v>
      </c>
      <c r="C93" s="302" t="s">
        <v>545</v>
      </c>
      <c r="D93" s="302" t="s">
        <v>572</v>
      </c>
      <c r="E93" s="302" t="s">
        <v>461</v>
      </c>
      <c r="F93" s="302" t="s">
        <v>547</v>
      </c>
      <c r="G93" s="302" t="s">
        <v>453</v>
      </c>
      <c r="H93" s="302"/>
      <c r="I93" s="302" t="s">
        <v>453</v>
      </c>
    </row>
    <row r="94" spans="1:9" ht="11.25">
      <c r="A94" s="303"/>
      <c r="B94" s="303"/>
      <c r="C94" s="303"/>
      <c r="D94" s="303"/>
      <c r="E94" s="303"/>
      <c r="F94" s="303"/>
      <c r="G94" s="303"/>
      <c r="H94" s="303"/>
      <c r="I94" s="303"/>
    </row>
    <row r="95" spans="1:9" ht="11.25">
      <c r="A95" s="301"/>
      <c r="B95" s="301"/>
      <c r="C95" s="301"/>
      <c r="D95" s="301"/>
      <c r="E95" s="301"/>
      <c r="F95" s="301"/>
      <c r="G95" s="301"/>
      <c r="H95" s="301"/>
      <c r="I95" s="301"/>
    </row>
    <row r="96" spans="1:9" ht="11.25">
      <c r="A96" s="302" t="s">
        <v>550</v>
      </c>
      <c r="B96" s="302" t="s">
        <v>533</v>
      </c>
      <c r="C96" s="302" t="s">
        <v>539</v>
      </c>
      <c r="D96" s="302" t="s">
        <v>576</v>
      </c>
      <c r="E96" s="302">
        <v>0.26</v>
      </c>
      <c r="F96" s="302" t="s">
        <v>542</v>
      </c>
      <c r="G96" s="302" t="s">
        <v>554</v>
      </c>
      <c r="H96" s="302" t="s">
        <v>571</v>
      </c>
      <c r="I96" s="302" t="s">
        <v>556</v>
      </c>
    </row>
    <row r="97" spans="1:9" ht="11.25">
      <c r="A97" s="302"/>
      <c r="B97" s="302" t="s">
        <v>483</v>
      </c>
      <c r="C97" s="302" t="s">
        <v>545</v>
      </c>
      <c r="D97" s="302" t="s">
        <v>572</v>
      </c>
      <c r="E97" s="302" t="s">
        <v>461</v>
      </c>
      <c r="F97" s="302" t="s">
        <v>547</v>
      </c>
      <c r="G97" s="302" t="s">
        <v>453</v>
      </c>
      <c r="H97" s="302"/>
      <c r="I97" s="302" t="s">
        <v>453</v>
      </c>
    </row>
    <row r="98" spans="1:9" ht="11.25">
      <c r="A98" s="303"/>
      <c r="B98" s="303"/>
      <c r="C98" s="303"/>
      <c r="D98" s="303"/>
      <c r="E98" s="303"/>
      <c r="F98" s="303"/>
      <c r="G98" s="303"/>
      <c r="H98" s="303"/>
      <c r="I98" s="303"/>
    </row>
    <row r="99" spans="1:9" ht="11.25">
      <c r="A99" s="301"/>
      <c r="B99" s="301"/>
      <c r="C99" s="301"/>
      <c r="D99" s="301"/>
      <c r="E99" s="301"/>
      <c r="F99" s="301"/>
      <c r="G99" s="301"/>
      <c r="H99" s="301"/>
      <c r="I99" s="301"/>
    </row>
    <row r="100" spans="1:9" ht="11.25">
      <c r="A100" s="302" t="s">
        <v>550</v>
      </c>
      <c r="B100" s="302" t="s">
        <v>533</v>
      </c>
      <c r="C100" s="302" t="s">
        <v>539</v>
      </c>
      <c r="D100" s="302" t="s">
        <v>577</v>
      </c>
      <c r="E100" s="302">
        <v>0.48</v>
      </c>
      <c r="F100" s="302" t="s">
        <v>542</v>
      </c>
      <c r="G100" s="302" t="s">
        <v>554</v>
      </c>
      <c r="H100" s="302" t="s">
        <v>571</v>
      </c>
      <c r="I100" s="302" t="s">
        <v>556</v>
      </c>
    </row>
    <row r="101" spans="1:9" ht="11.25">
      <c r="A101" s="302"/>
      <c r="B101" s="302" t="s">
        <v>483</v>
      </c>
      <c r="C101" s="302" t="s">
        <v>545</v>
      </c>
      <c r="D101" s="302" t="s">
        <v>572</v>
      </c>
      <c r="E101" s="302" t="s">
        <v>461</v>
      </c>
      <c r="F101" s="302" t="s">
        <v>547</v>
      </c>
      <c r="G101" s="302" t="s">
        <v>453</v>
      </c>
      <c r="H101" s="302"/>
      <c r="I101" s="302" t="s">
        <v>453</v>
      </c>
    </row>
    <row r="102" spans="1:9" ht="11.25">
      <c r="A102" s="303"/>
      <c r="B102" s="303"/>
      <c r="C102" s="303"/>
      <c r="D102" s="303"/>
      <c r="E102" s="303"/>
      <c r="F102" s="303"/>
      <c r="G102" s="303"/>
      <c r="H102" s="303"/>
      <c r="I102" s="303"/>
    </row>
    <row r="103" spans="1:9" ht="11.25">
      <c r="A103" s="301"/>
      <c r="B103" s="301"/>
      <c r="C103" s="301"/>
      <c r="D103" s="301"/>
      <c r="E103" s="301"/>
      <c r="F103" s="301"/>
      <c r="G103" s="301"/>
      <c r="H103" s="301"/>
      <c r="I103" s="301"/>
    </row>
    <row r="104" spans="1:9" ht="11.25">
      <c r="A104" s="302" t="s">
        <v>550</v>
      </c>
      <c r="B104" s="302" t="s">
        <v>533</v>
      </c>
      <c r="C104" s="302" t="s">
        <v>539</v>
      </c>
      <c r="D104" s="302" t="s">
        <v>578</v>
      </c>
      <c r="E104" s="302">
        <v>0.62</v>
      </c>
      <c r="F104" s="302" t="s">
        <v>542</v>
      </c>
      <c r="G104" s="302" t="s">
        <v>554</v>
      </c>
      <c r="H104" s="302" t="s">
        <v>571</v>
      </c>
      <c r="I104" s="302" t="s">
        <v>556</v>
      </c>
    </row>
    <row r="105" spans="1:9" ht="11.25">
      <c r="A105" s="302"/>
      <c r="B105" s="302" t="s">
        <v>483</v>
      </c>
      <c r="C105" s="302" t="s">
        <v>545</v>
      </c>
      <c r="D105" s="302" t="s">
        <v>572</v>
      </c>
      <c r="E105" s="302" t="s">
        <v>461</v>
      </c>
      <c r="F105" s="302" t="s">
        <v>547</v>
      </c>
      <c r="G105" s="302" t="s">
        <v>453</v>
      </c>
      <c r="H105" s="302"/>
      <c r="I105" s="302" t="s">
        <v>453</v>
      </c>
    </row>
    <row r="106" spans="1:9" ht="11.25">
      <c r="A106" s="303"/>
      <c r="B106" s="303"/>
      <c r="C106" s="303"/>
      <c r="D106" s="303"/>
      <c r="E106" s="303"/>
      <c r="F106" s="303"/>
      <c r="G106" s="303"/>
      <c r="H106" s="303"/>
      <c r="I106" s="303"/>
    </row>
    <row r="107" spans="1:9" ht="11.25">
      <c r="A107" s="301"/>
      <c r="B107" s="301"/>
      <c r="C107" s="301"/>
      <c r="D107" s="301"/>
      <c r="E107" s="301"/>
      <c r="F107" s="301"/>
      <c r="G107" s="301"/>
      <c r="H107" s="301"/>
      <c r="I107" s="301"/>
    </row>
    <row r="108" spans="1:9" ht="11.25">
      <c r="A108" s="302" t="s">
        <v>550</v>
      </c>
      <c r="B108" s="302" t="s">
        <v>533</v>
      </c>
      <c r="C108" s="302" t="s">
        <v>539</v>
      </c>
      <c r="D108" s="302" t="s">
        <v>579</v>
      </c>
      <c r="E108" s="302">
        <v>1.24</v>
      </c>
      <c r="F108" s="302" t="s">
        <v>542</v>
      </c>
      <c r="G108" s="302" t="s">
        <v>554</v>
      </c>
      <c r="H108" s="302" t="s">
        <v>571</v>
      </c>
      <c r="I108" s="302" t="s">
        <v>556</v>
      </c>
    </row>
    <row r="109" spans="1:9" ht="11.25">
      <c r="A109" s="302"/>
      <c r="B109" s="302" t="s">
        <v>483</v>
      </c>
      <c r="C109" s="302" t="s">
        <v>545</v>
      </c>
      <c r="D109" s="302" t="s">
        <v>572</v>
      </c>
      <c r="E109" s="302" t="s">
        <v>461</v>
      </c>
      <c r="F109" s="302" t="s">
        <v>547</v>
      </c>
      <c r="G109" s="302" t="s">
        <v>453</v>
      </c>
      <c r="H109" s="302"/>
      <c r="I109" s="302" t="s">
        <v>453</v>
      </c>
    </row>
    <row r="110" spans="1:9" ht="11.25">
      <c r="A110" s="303"/>
      <c r="B110" s="303"/>
      <c r="C110" s="303"/>
      <c r="D110" s="303"/>
      <c r="E110" s="303"/>
      <c r="F110" s="303"/>
      <c r="G110" s="303"/>
      <c r="H110" s="303"/>
      <c r="I110" s="303"/>
    </row>
    <row r="111" spans="1:9" ht="11.25">
      <c r="A111" s="301"/>
      <c r="B111" s="301"/>
      <c r="C111" s="301"/>
      <c r="D111" s="301"/>
      <c r="E111" s="301"/>
      <c r="F111" s="301"/>
      <c r="G111" s="301"/>
      <c r="H111" s="301"/>
      <c r="I111" s="301"/>
    </row>
    <row r="112" spans="1:9" ht="11.25">
      <c r="A112" s="302" t="s">
        <v>537</v>
      </c>
      <c r="B112" s="302" t="s">
        <v>464</v>
      </c>
      <c r="C112" s="302" t="s">
        <v>580</v>
      </c>
      <c r="D112" s="302"/>
      <c r="E112" s="302">
        <v>17.35</v>
      </c>
      <c r="F112" s="302" t="s">
        <v>542</v>
      </c>
      <c r="G112" s="302" t="s">
        <v>554</v>
      </c>
      <c r="H112" s="302" t="s">
        <v>480</v>
      </c>
      <c r="I112" s="302" t="s">
        <v>556</v>
      </c>
    </row>
    <row r="113" spans="1:9" ht="11.25">
      <c r="A113" s="302"/>
      <c r="B113" s="302" t="s">
        <v>483</v>
      </c>
      <c r="C113" s="302" t="s">
        <v>545</v>
      </c>
      <c r="D113" s="302" t="s">
        <v>749</v>
      </c>
      <c r="E113" s="302" t="s">
        <v>546</v>
      </c>
      <c r="F113" s="302" t="s">
        <v>547</v>
      </c>
      <c r="G113" s="302" t="s">
        <v>453</v>
      </c>
      <c r="H113" s="302"/>
      <c r="I113" s="302" t="s">
        <v>453</v>
      </c>
    </row>
    <row r="114" spans="1:9" ht="11.25">
      <c r="A114" s="303"/>
      <c r="B114" s="303"/>
      <c r="C114" s="303"/>
      <c r="D114" s="303" t="s">
        <v>750</v>
      </c>
      <c r="E114" s="303"/>
      <c r="F114" s="303"/>
      <c r="G114" s="303"/>
      <c r="H114" s="303"/>
      <c r="I114" s="303"/>
    </row>
    <row r="115" spans="1:9" ht="11.25">
      <c r="A115" s="301"/>
      <c r="B115" s="301"/>
      <c r="C115" s="301"/>
      <c r="D115" s="301"/>
      <c r="E115" s="301"/>
      <c r="F115" s="301"/>
      <c r="G115" s="301"/>
      <c r="H115" s="301"/>
      <c r="I115" s="301"/>
    </row>
    <row r="116" spans="1:9" ht="11.25">
      <c r="A116" s="302" t="s">
        <v>582</v>
      </c>
      <c r="B116" s="302" t="s">
        <v>583</v>
      </c>
      <c r="C116" s="302" t="s">
        <v>584</v>
      </c>
      <c r="D116" s="302" t="s">
        <v>585</v>
      </c>
      <c r="E116" s="302">
        <v>3</v>
      </c>
      <c r="F116" s="307" t="s">
        <v>586</v>
      </c>
      <c r="G116" s="302" t="s">
        <v>554</v>
      </c>
      <c r="H116" s="302" t="s">
        <v>571</v>
      </c>
      <c r="I116" s="307" t="s">
        <v>587</v>
      </c>
    </row>
    <row r="117" spans="1:9" ht="11.25">
      <c r="A117" s="302" t="s">
        <v>588</v>
      </c>
      <c r="B117" s="302" t="s">
        <v>515</v>
      </c>
      <c r="C117" s="302" t="s">
        <v>545</v>
      </c>
      <c r="D117" s="302" t="s">
        <v>589</v>
      </c>
      <c r="E117" s="302" t="s">
        <v>590</v>
      </c>
      <c r="F117" s="302"/>
      <c r="G117" s="302" t="s">
        <v>453</v>
      </c>
      <c r="H117" s="302"/>
      <c r="I117" s="307" t="s">
        <v>554</v>
      </c>
    </row>
    <row r="118" spans="1:9" ht="11.25">
      <c r="A118" s="303"/>
      <c r="B118" s="303"/>
      <c r="C118" s="303"/>
      <c r="D118" s="303"/>
      <c r="E118" s="303"/>
      <c r="F118" s="303"/>
      <c r="G118" s="303"/>
      <c r="H118" s="303"/>
      <c r="I118" s="303"/>
    </row>
    <row r="119" spans="1:9" ht="11.25">
      <c r="A119" s="301"/>
      <c r="B119" s="301"/>
      <c r="C119" s="301"/>
      <c r="D119" s="301"/>
      <c r="E119" s="301"/>
      <c r="F119" s="301"/>
      <c r="G119" s="301"/>
      <c r="H119" s="301"/>
      <c r="I119" s="301"/>
    </row>
    <row r="120" spans="1:9" ht="11.25">
      <c r="A120" s="302" t="s">
        <v>550</v>
      </c>
      <c r="B120" s="302" t="s">
        <v>533</v>
      </c>
      <c r="C120" s="302" t="s">
        <v>539</v>
      </c>
      <c r="D120" s="302" t="s">
        <v>591</v>
      </c>
      <c r="E120" s="302">
        <v>0.87</v>
      </c>
      <c r="F120" s="302" t="s">
        <v>542</v>
      </c>
      <c r="G120" s="302" t="s">
        <v>554</v>
      </c>
      <c r="H120" s="302" t="s">
        <v>571</v>
      </c>
      <c r="I120" s="302" t="s">
        <v>587</v>
      </c>
    </row>
    <row r="121" spans="1:9" ht="11.25">
      <c r="A121" s="302"/>
      <c r="B121" s="302" t="s">
        <v>483</v>
      </c>
      <c r="C121" s="302" t="s">
        <v>545</v>
      </c>
      <c r="D121" s="302" t="s">
        <v>572</v>
      </c>
      <c r="E121" s="302" t="s">
        <v>461</v>
      </c>
      <c r="F121" s="302" t="s">
        <v>547</v>
      </c>
      <c r="G121" s="302" t="s">
        <v>453</v>
      </c>
      <c r="H121" s="302"/>
      <c r="I121" s="307" t="s">
        <v>554</v>
      </c>
    </row>
    <row r="122" spans="1:9" ht="11.25">
      <c r="A122" s="303"/>
      <c r="B122" s="303"/>
      <c r="C122" s="303"/>
      <c r="D122" s="303"/>
      <c r="E122" s="303"/>
      <c r="F122" s="303"/>
      <c r="G122" s="303"/>
      <c r="H122" s="303"/>
      <c r="I122" s="303"/>
    </row>
    <row r="123" spans="1:9" ht="11.25">
      <c r="A123" s="301"/>
      <c r="B123" s="301"/>
      <c r="C123" s="301"/>
      <c r="D123" s="301"/>
      <c r="E123" s="301"/>
      <c r="F123" s="301"/>
      <c r="G123" s="301"/>
      <c r="H123" s="301"/>
      <c r="I123" s="301"/>
    </row>
    <row r="124" spans="1:9" ht="11.25">
      <c r="A124" s="302" t="s">
        <v>550</v>
      </c>
      <c r="B124" s="302" t="s">
        <v>592</v>
      </c>
      <c r="C124" s="302" t="s">
        <v>593</v>
      </c>
      <c r="D124" s="302" t="s">
        <v>477</v>
      </c>
      <c r="E124" s="302">
        <v>2.51</v>
      </c>
      <c r="F124" s="302" t="s">
        <v>542</v>
      </c>
      <c r="G124" s="302" t="s">
        <v>554</v>
      </c>
      <c r="H124" s="302" t="s">
        <v>555</v>
      </c>
      <c r="I124" s="302" t="s">
        <v>594</v>
      </c>
    </row>
    <row r="125" spans="1:9" ht="11.25">
      <c r="A125" s="302"/>
      <c r="B125" s="302" t="s">
        <v>515</v>
      </c>
      <c r="C125" s="302"/>
      <c r="D125" s="302" t="s">
        <v>471</v>
      </c>
      <c r="E125" s="302" t="s">
        <v>461</v>
      </c>
      <c r="F125" s="302" t="s">
        <v>547</v>
      </c>
      <c r="G125" s="302" t="s">
        <v>453</v>
      </c>
      <c r="H125" s="302"/>
      <c r="I125" s="302" t="s">
        <v>554</v>
      </c>
    </row>
    <row r="126" spans="1:9" ht="11.25">
      <c r="A126" s="303"/>
      <c r="B126" s="303"/>
      <c r="C126" s="303"/>
      <c r="D126" s="303"/>
      <c r="E126" s="303"/>
      <c r="F126" s="303"/>
      <c r="G126" s="303"/>
      <c r="H126" s="303"/>
      <c r="I126" s="303"/>
    </row>
    <row r="127" spans="1:9" ht="11.25">
      <c r="A127" s="301"/>
      <c r="B127" s="301"/>
      <c r="C127" s="301"/>
      <c r="D127" s="301"/>
      <c r="E127" s="301"/>
      <c r="F127" s="301"/>
      <c r="G127" s="301"/>
      <c r="H127" s="301"/>
      <c r="I127" s="301"/>
    </row>
    <row r="128" spans="1:9" ht="11.25">
      <c r="A128" s="302" t="s">
        <v>595</v>
      </c>
      <c r="B128" s="302" t="s">
        <v>596</v>
      </c>
      <c r="C128" s="302" t="s">
        <v>597</v>
      </c>
      <c r="D128" s="302" t="s">
        <v>751</v>
      </c>
      <c r="E128" s="302">
        <v>10.4</v>
      </c>
      <c r="F128" s="302" t="s">
        <v>598</v>
      </c>
      <c r="G128" s="302" t="s">
        <v>599</v>
      </c>
      <c r="H128" s="302" t="s">
        <v>555</v>
      </c>
      <c r="I128" s="302" t="s">
        <v>600</v>
      </c>
    </row>
    <row r="129" spans="1:9" ht="11.25">
      <c r="A129" s="302" t="s">
        <v>601</v>
      </c>
      <c r="B129" s="302" t="s">
        <v>503</v>
      </c>
      <c r="C129" s="302" t="s">
        <v>602</v>
      </c>
      <c r="D129" s="302" t="s">
        <v>748</v>
      </c>
      <c r="E129" s="302" t="s">
        <v>461</v>
      </c>
      <c r="F129" s="302"/>
      <c r="G129" s="302" t="s">
        <v>603</v>
      </c>
      <c r="H129" s="302"/>
      <c r="I129" s="302" t="s">
        <v>603</v>
      </c>
    </row>
    <row r="130" spans="1:9" ht="11.25">
      <c r="A130" s="303"/>
      <c r="B130" s="303"/>
      <c r="C130" s="303"/>
      <c r="D130" s="303"/>
      <c r="E130" s="303"/>
      <c r="F130" s="303"/>
      <c r="G130" s="303"/>
      <c r="H130" s="303"/>
      <c r="I130" s="303"/>
    </row>
    <row r="131" spans="1:9" ht="11.25">
      <c r="A131" s="301"/>
      <c r="B131" s="301"/>
      <c r="C131" s="301"/>
      <c r="D131" s="301"/>
      <c r="E131" s="301"/>
      <c r="F131" s="301"/>
      <c r="G131" s="301"/>
      <c r="H131" s="301"/>
      <c r="I131" s="301"/>
    </row>
    <row r="132" spans="1:9" ht="11.25">
      <c r="A132" s="302" t="s">
        <v>604</v>
      </c>
      <c r="B132" s="302" t="s">
        <v>605</v>
      </c>
      <c r="C132" s="302" t="s">
        <v>606</v>
      </c>
      <c r="D132" s="302" t="s">
        <v>607</v>
      </c>
      <c r="E132" s="302">
        <v>42.36</v>
      </c>
      <c r="F132" s="302" t="s">
        <v>608</v>
      </c>
      <c r="G132" s="302" t="s">
        <v>460</v>
      </c>
      <c r="H132" s="302" t="s">
        <v>609</v>
      </c>
      <c r="I132" s="302" t="s">
        <v>600</v>
      </c>
    </row>
    <row r="133" spans="1:9" ht="11.25">
      <c r="A133" s="302" t="s">
        <v>424</v>
      </c>
      <c r="B133" s="302" t="s">
        <v>432</v>
      </c>
      <c r="C133" s="302" t="s">
        <v>610</v>
      </c>
      <c r="D133" s="302"/>
      <c r="E133" s="302" t="s">
        <v>461</v>
      </c>
      <c r="F133" s="307" t="s">
        <v>611</v>
      </c>
      <c r="G133" s="302" t="s">
        <v>462</v>
      </c>
      <c r="H133" s="302"/>
      <c r="I133" s="302" t="s">
        <v>462</v>
      </c>
    </row>
    <row r="134" spans="1:9" ht="11.25">
      <c r="A134" s="303" t="s">
        <v>424</v>
      </c>
      <c r="B134" s="303"/>
      <c r="C134" s="303"/>
      <c r="D134" s="303"/>
      <c r="E134" s="303"/>
      <c r="F134" s="303"/>
      <c r="G134" s="303"/>
      <c r="H134" s="303"/>
      <c r="I134" s="303"/>
    </row>
    <row r="135" spans="1:9" ht="11.25">
      <c r="A135" s="301"/>
      <c r="B135" s="301"/>
      <c r="C135" s="301"/>
      <c r="D135" s="301"/>
      <c r="E135" s="301" t="s">
        <v>424</v>
      </c>
      <c r="F135" s="301"/>
      <c r="G135" s="301"/>
      <c r="H135" s="301"/>
      <c r="I135" s="301"/>
    </row>
    <row r="136" spans="1:9" ht="11.25">
      <c r="A136" s="302" t="s">
        <v>612</v>
      </c>
      <c r="B136" s="302" t="s">
        <v>613</v>
      </c>
      <c r="C136" s="302" t="s">
        <v>606</v>
      </c>
      <c r="D136" s="302" t="s">
        <v>614</v>
      </c>
      <c r="E136" s="302">
        <v>4424.06</v>
      </c>
      <c r="F136" s="302" t="s">
        <v>620</v>
      </c>
      <c r="G136" s="307" t="s">
        <v>460</v>
      </c>
      <c r="H136" s="302" t="s">
        <v>520</v>
      </c>
      <c r="I136" s="302" t="s">
        <v>600</v>
      </c>
    </row>
    <row r="137" spans="1:9" ht="11.25">
      <c r="A137" s="302" t="s">
        <v>615</v>
      </c>
      <c r="B137" s="302" t="s">
        <v>441</v>
      </c>
      <c r="C137" s="302" t="s">
        <v>610</v>
      </c>
      <c r="D137" s="302"/>
      <c r="E137" s="302" t="s">
        <v>616</v>
      </c>
      <c r="F137" s="302" t="s">
        <v>617</v>
      </c>
      <c r="G137" s="302" t="s">
        <v>462</v>
      </c>
      <c r="H137" s="302"/>
      <c r="I137" s="302" t="s">
        <v>462</v>
      </c>
    </row>
    <row r="138" spans="1:9" ht="11.25">
      <c r="A138" s="303" t="s">
        <v>424</v>
      </c>
      <c r="B138" s="303"/>
      <c r="C138" s="303"/>
      <c r="D138" s="303"/>
      <c r="E138" s="303"/>
      <c r="F138" s="303"/>
      <c r="G138" s="303" t="s">
        <v>424</v>
      </c>
      <c r="H138" s="303"/>
      <c r="I138" s="303"/>
    </row>
    <row r="139" spans="1:9" ht="11.25">
      <c r="A139" s="301"/>
      <c r="B139" s="301"/>
      <c r="C139" s="301" t="s">
        <v>597</v>
      </c>
      <c r="D139" s="301" t="s">
        <v>427</v>
      </c>
      <c r="E139" s="301"/>
      <c r="F139" s="301"/>
      <c r="G139" s="301" t="s">
        <v>599</v>
      </c>
      <c r="H139" s="301"/>
      <c r="I139" s="301"/>
    </row>
    <row r="140" spans="1:9" ht="11.25">
      <c r="A140" s="302" t="s">
        <v>612</v>
      </c>
      <c r="B140" s="302" t="s">
        <v>618</v>
      </c>
      <c r="C140" s="302" t="s">
        <v>619</v>
      </c>
      <c r="D140" s="302" t="s">
        <v>752</v>
      </c>
      <c r="E140" s="302">
        <v>3183.75</v>
      </c>
      <c r="F140" s="302" t="s">
        <v>620</v>
      </c>
      <c r="G140" s="302" t="s">
        <v>621</v>
      </c>
      <c r="H140" s="302" t="s">
        <v>555</v>
      </c>
      <c r="I140" s="302" t="s">
        <v>600</v>
      </c>
    </row>
    <row r="141" spans="1:9" ht="11.25">
      <c r="A141" s="302" t="s">
        <v>615</v>
      </c>
      <c r="B141" s="302" t="s">
        <v>557</v>
      </c>
      <c r="C141" s="302" t="s">
        <v>622</v>
      </c>
      <c r="D141" s="302" t="s">
        <v>499</v>
      </c>
      <c r="E141" s="302" t="s">
        <v>616</v>
      </c>
      <c r="F141" s="302" t="s">
        <v>617</v>
      </c>
      <c r="G141" s="302" t="s">
        <v>603</v>
      </c>
      <c r="H141" s="302"/>
      <c r="I141" s="307" t="s">
        <v>623</v>
      </c>
    </row>
    <row r="142" spans="1:9" ht="11.25">
      <c r="A142" s="303"/>
      <c r="B142" s="303"/>
      <c r="C142" s="303" t="s">
        <v>545</v>
      </c>
      <c r="D142" s="303"/>
      <c r="E142" s="303"/>
      <c r="F142" s="303"/>
      <c r="G142" s="303" t="s">
        <v>623</v>
      </c>
      <c r="H142" s="303"/>
      <c r="I142" s="303"/>
    </row>
    <row r="143" spans="1:9" ht="11.25">
      <c r="A143" s="301"/>
      <c r="B143" s="301"/>
      <c r="C143" s="301" t="s">
        <v>624</v>
      </c>
      <c r="D143" s="301"/>
      <c r="E143" s="301">
        <v>10</v>
      </c>
      <c r="F143" s="301"/>
      <c r="G143" s="301"/>
      <c r="H143" s="301"/>
      <c r="I143" s="301"/>
    </row>
    <row r="144" spans="1:9" ht="11.25">
      <c r="A144" s="302" t="s">
        <v>604</v>
      </c>
      <c r="B144" s="302" t="s">
        <v>625</v>
      </c>
      <c r="C144" s="302" t="s">
        <v>626</v>
      </c>
      <c r="D144" s="302" t="s">
        <v>753</v>
      </c>
      <c r="E144" s="302" t="s">
        <v>461</v>
      </c>
      <c r="F144" s="302" t="s">
        <v>627</v>
      </c>
      <c r="G144" s="302" t="s">
        <v>628</v>
      </c>
      <c r="H144" s="302" t="s">
        <v>520</v>
      </c>
      <c r="I144" s="302" t="s">
        <v>629</v>
      </c>
    </row>
    <row r="145" spans="1:9" ht="11.25">
      <c r="A145" s="302" t="s">
        <v>424</v>
      </c>
      <c r="B145" s="302" t="s">
        <v>503</v>
      </c>
      <c r="C145" s="302" t="s">
        <v>630</v>
      </c>
      <c r="D145" s="302"/>
      <c r="E145" s="302">
        <v>8.5</v>
      </c>
      <c r="F145" s="302"/>
      <c r="G145" s="302" t="s">
        <v>631</v>
      </c>
      <c r="H145" s="302"/>
      <c r="I145" s="302" t="s">
        <v>632</v>
      </c>
    </row>
    <row r="146" spans="1:9" ht="11.25">
      <c r="A146" s="303" t="s">
        <v>424</v>
      </c>
      <c r="B146" s="303"/>
      <c r="C146" s="303"/>
      <c r="D146" s="303"/>
      <c r="E146" s="303" t="s">
        <v>472</v>
      </c>
      <c r="F146" s="303"/>
      <c r="G146" s="303"/>
      <c r="H146" s="303"/>
      <c r="I146" s="303"/>
    </row>
    <row r="147" spans="1:9" ht="11.25">
      <c r="A147" s="301"/>
      <c r="B147" s="301"/>
      <c r="C147" s="301"/>
      <c r="D147" s="301"/>
      <c r="E147" s="301" t="s">
        <v>424</v>
      </c>
      <c r="F147" s="301"/>
      <c r="G147" s="301"/>
      <c r="H147" s="301"/>
      <c r="I147" s="301"/>
    </row>
    <row r="148" spans="1:9" ht="11.25">
      <c r="A148" s="302" t="s">
        <v>604</v>
      </c>
      <c r="B148" s="302" t="s">
        <v>633</v>
      </c>
      <c r="C148" s="302" t="s">
        <v>634</v>
      </c>
      <c r="D148" s="302" t="s">
        <v>754</v>
      </c>
      <c r="E148" s="302">
        <v>25</v>
      </c>
      <c r="F148" s="302" t="s">
        <v>635</v>
      </c>
      <c r="G148" s="302" t="s">
        <v>636</v>
      </c>
      <c r="H148" s="302" t="s">
        <v>520</v>
      </c>
      <c r="I148" s="302" t="s">
        <v>629</v>
      </c>
    </row>
    <row r="149" spans="1:9" ht="11.25">
      <c r="A149" s="302" t="s">
        <v>424</v>
      </c>
      <c r="B149" s="302" t="s">
        <v>503</v>
      </c>
      <c r="C149" s="302"/>
      <c r="D149" s="302"/>
      <c r="E149" s="302" t="s">
        <v>461</v>
      </c>
      <c r="F149" s="302"/>
      <c r="G149" s="302" t="s">
        <v>637</v>
      </c>
      <c r="H149" s="302"/>
      <c r="I149" s="302" t="s">
        <v>637</v>
      </c>
    </row>
    <row r="150" spans="1:9" ht="11.25">
      <c r="A150" s="303" t="s">
        <v>424</v>
      </c>
      <c r="B150" s="303"/>
      <c r="C150" s="303"/>
      <c r="D150" s="303"/>
      <c r="E150" s="303"/>
      <c r="F150" s="303"/>
      <c r="G150" s="303"/>
      <c r="H150" s="303"/>
      <c r="I150" s="303"/>
    </row>
    <row r="151" spans="1:9" ht="11.25">
      <c r="A151" s="301"/>
      <c r="B151" s="301"/>
      <c r="C151" s="301" t="s">
        <v>624</v>
      </c>
      <c r="D151" s="301"/>
      <c r="E151" s="301"/>
      <c r="F151" s="301"/>
      <c r="G151" s="301"/>
      <c r="H151" s="301"/>
      <c r="I151" s="301"/>
    </row>
    <row r="152" spans="1:9" ht="11.25">
      <c r="A152" s="302" t="s">
        <v>604</v>
      </c>
      <c r="B152" s="302" t="s">
        <v>625</v>
      </c>
      <c r="C152" s="302" t="s">
        <v>626</v>
      </c>
      <c r="D152" s="302" t="s">
        <v>755</v>
      </c>
      <c r="E152" s="302">
        <v>20</v>
      </c>
      <c r="F152" s="302" t="s">
        <v>627</v>
      </c>
      <c r="G152" s="302" t="s">
        <v>549</v>
      </c>
      <c r="H152" s="302" t="s">
        <v>520</v>
      </c>
      <c r="I152" s="302" t="s">
        <v>629</v>
      </c>
    </row>
    <row r="153" spans="1:9" ht="11.25">
      <c r="A153" s="302" t="s">
        <v>424</v>
      </c>
      <c r="B153" s="302" t="s">
        <v>503</v>
      </c>
      <c r="C153" s="302" t="s">
        <v>630</v>
      </c>
      <c r="D153" s="302"/>
      <c r="E153" s="302" t="s">
        <v>461</v>
      </c>
      <c r="F153" s="302"/>
      <c r="G153" s="302" t="s">
        <v>494</v>
      </c>
      <c r="H153" s="302"/>
      <c r="I153" s="302" t="s">
        <v>494</v>
      </c>
    </row>
    <row r="154" spans="1:9" ht="11.25">
      <c r="A154" s="303"/>
      <c r="B154" s="303"/>
      <c r="C154" s="303"/>
      <c r="D154" s="303"/>
      <c r="E154" s="303"/>
      <c r="F154" s="303"/>
      <c r="G154" s="303"/>
      <c r="H154" s="303"/>
      <c r="I154" s="303"/>
    </row>
    <row r="155" spans="1:9" ht="11.25">
      <c r="A155" s="301"/>
      <c r="B155" s="301"/>
      <c r="C155" s="301"/>
      <c r="D155" s="301"/>
      <c r="E155" s="301"/>
      <c r="F155" s="301"/>
      <c r="G155" s="301"/>
      <c r="H155" s="301"/>
      <c r="I155" s="301"/>
    </row>
    <row r="156" spans="1:9" ht="11.25">
      <c r="A156" s="302" t="s">
        <v>638</v>
      </c>
      <c r="B156" s="302" t="s">
        <v>623</v>
      </c>
      <c r="C156" s="302" t="s">
        <v>639</v>
      </c>
      <c r="D156" s="302" t="s">
        <v>640</v>
      </c>
      <c r="E156" s="302" t="s">
        <v>641</v>
      </c>
      <c r="F156" s="302" t="s">
        <v>642</v>
      </c>
      <c r="G156" s="302" t="s">
        <v>643</v>
      </c>
      <c r="H156" s="302" t="s">
        <v>430</v>
      </c>
      <c r="I156" s="302" t="s">
        <v>644</v>
      </c>
    </row>
    <row r="157" spans="1:9" ht="11.25">
      <c r="A157" s="302"/>
      <c r="B157" s="302" t="s">
        <v>483</v>
      </c>
      <c r="C157" s="302" t="s">
        <v>645</v>
      </c>
      <c r="D157" s="302"/>
      <c r="E157" s="302" t="s">
        <v>472</v>
      </c>
      <c r="F157" s="302"/>
      <c r="G157" s="302" t="s">
        <v>583</v>
      </c>
      <c r="H157" s="302"/>
      <c r="I157" s="302" t="s">
        <v>497</v>
      </c>
    </row>
    <row r="158" spans="1:9" ht="11.25">
      <c r="A158" s="303"/>
      <c r="B158" s="303"/>
      <c r="C158" s="303"/>
      <c r="D158" s="303"/>
      <c r="E158" s="303"/>
      <c r="F158" s="303"/>
      <c r="G158" s="303"/>
      <c r="H158" s="303"/>
      <c r="I158" s="303"/>
    </row>
    <row r="159" spans="1:9" ht="11.25">
      <c r="A159" s="301"/>
      <c r="B159" s="301"/>
      <c r="C159" s="301"/>
      <c r="D159" s="301"/>
      <c r="E159" s="301"/>
      <c r="F159" s="301"/>
      <c r="G159" s="301"/>
      <c r="H159" s="301"/>
      <c r="I159" s="301"/>
    </row>
    <row r="160" spans="1:9" ht="11.25">
      <c r="A160" s="302" t="s">
        <v>638</v>
      </c>
      <c r="B160" s="302" t="s">
        <v>646</v>
      </c>
      <c r="C160" s="302" t="s">
        <v>647</v>
      </c>
      <c r="D160" s="302" t="s">
        <v>648</v>
      </c>
      <c r="E160" s="302">
        <v>14</v>
      </c>
      <c r="F160" s="302" t="s">
        <v>627</v>
      </c>
      <c r="G160" s="302" t="s">
        <v>649</v>
      </c>
      <c r="H160" s="302" t="s">
        <v>520</v>
      </c>
      <c r="I160" s="302" t="s">
        <v>644</v>
      </c>
    </row>
    <row r="161" spans="1:9" ht="11.25">
      <c r="A161" s="302"/>
      <c r="B161" s="302" t="s">
        <v>557</v>
      </c>
      <c r="C161" s="302" t="s">
        <v>650</v>
      </c>
      <c r="D161" s="302" t="s">
        <v>581</v>
      </c>
      <c r="E161" s="302" t="s">
        <v>461</v>
      </c>
      <c r="F161" s="302"/>
      <c r="G161" s="302" t="s">
        <v>651</v>
      </c>
      <c r="H161" s="302"/>
      <c r="I161" s="302" t="s">
        <v>649</v>
      </c>
    </row>
    <row r="162" spans="1:9" ht="11.25">
      <c r="A162" s="303"/>
      <c r="B162" s="303"/>
      <c r="C162" s="303" t="s">
        <v>545</v>
      </c>
      <c r="D162" s="303"/>
      <c r="E162" s="303"/>
      <c r="F162" s="303"/>
      <c r="G162" s="303"/>
      <c r="H162" s="303"/>
      <c r="I162" s="303"/>
    </row>
    <row r="163" spans="1:9" ht="11.25">
      <c r="A163" s="301"/>
      <c r="B163" s="301"/>
      <c r="C163" s="301"/>
      <c r="D163" s="301" t="s">
        <v>756</v>
      </c>
      <c r="E163" s="301"/>
      <c r="F163" s="301"/>
      <c r="G163" s="301"/>
      <c r="H163" s="301"/>
      <c r="I163" s="301"/>
    </row>
    <row r="164" spans="1:9" ht="11.25">
      <c r="A164" s="302" t="s">
        <v>604</v>
      </c>
      <c r="B164" s="302" t="s">
        <v>652</v>
      </c>
      <c r="C164" s="302" t="s">
        <v>653</v>
      </c>
      <c r="D164" s="302" t="s">
        <v>757</v>
      </c>
      <c r="E164" s="302">
        <v>4</v>
      </c>
      <c r="F164" s="302" t="s">
        <v>627</v>
      </c>
      <c r="G164" s="302" t="s">
        <v>654</v>
      </c>
      <c r="H164" s="302" t="s">
        <v>520</v>
      </c>
      <c r="I164" s="302" t="s">
        <v>644</v>
      </c>
    </row>
    <row r="165" spans="1:9" ht="11.25">
      <c r="A165" s="302"/>
      <c r="B165" s="302" t="s">
        <v>557</v>
      </c>
      <c r="C165" s="302" t="s">
        <v>655</v>
      </c>
      <c r="D165" s="302" t="s">
        <v>758</v>
      </c>
      <c r="E165" s="302" t="s">
        <v>461</v>
      </c>
      <c r="F165" s="302"/>
      <c r="G165" s="302" t="s">
        <v>656</v>
      </c>
      <c r="H165" s="302"/>
      <c r="I165" s="302" t="s">
        <v>657</v>
      </c>
    </row>
    <row r="166" spans="1:9" ht="11.25">
      <c r="A166" s="303"/>
      <c r="B166" s="303"/>
      <c r="C166" s="303"/>
      <c r="D166" s="303"/>
      <c r="E166" s="303"/>
      <c r="F166" s="303"/>
      <c r="G166" s="303"/>
      <c r="H166" s="303"/>
      <c r="I166" s="303"/>
    </row>
    <row r="167" spans="1:9" ht="11.25">
      <c r="A167" s="301"/>
      <c r="B167" s="301"/>
      <c r="C167" s="301"/>
      <c r="D167" s="301" t="s">
        <v>759</v>
      </c>
      <c r="E167" s="301"/>
      <c r="F167" s="301"/>
      <c r="G167" s="301"/>
      <c r="H167" s="301"/>
      <c r="I167" s="301"/>
    </row>
    <row r="168" spans="1:9" ht="11.25">
      <c r="A168" s="302" t="s">
        <v>638</v>
      </c>
      <c r="B168" s="302" t="s">
        <v>618</v>
      </c>
      <c r="C168" s="302" t="s">
        <v>477</v>
      </c>
      <c r="D168" s="302" t="s">
        <v>760</v>
      </c>
      <c r="E168" s="302">
        <v>30.4</v>
      </c>
      <c r="F168" s="302" t="s">
        <v>627</v>
      </c>
      <c r="G168" s="302" t="s">
        <v>658</v>
      </c>
      <c r="H168" s="302" t="s">
        <v>520</v>
      </c>
      <c r="I168" s="302" t="s">
        <v>644</v>
      </c>
    </row>
    <row r="169" spans="1:9" ht="11.25">
      <c r="A169" s="302"/>
      <c r="B169" s="302" t="s">
        <v>515</v>
      </c>
      <c r="C169" s="302" t="s">
        <v>659</v>
      </c>
      <c r="D169" s="302" t="s">
        <v>761</v>
      </c>
      <c r="E169" s="302" t="s">
        <v>472</v>
      </c>
      <c r="F169" s="302"/>
      <c r="G169" s="302" t="s">
        <v>660</v>
      </c>
      <c r="H169" s="302"/>
      <c r="I169" s="302" t="s">
        <v>661</v>
      </c>
    </row>
    <row r="170" spans="1:9" ht="11.25">
      <c r="A170" s="303"/>
      <c r="B170" s="303"/>
      <c r="C170" s="303"/>
      <c r="D170" s="303"/>
      <c r="E170" s="303"/>
      <c r="F170" s="303"/>
      <c r="G170" s="303"/>
      <c r="H170" s="303"/>
      <c r="I170" s="303"/>
    </row>
    <row r="171" spans="1:9" ht="11.25">
      <c r="A171" s="301"/>
      <c r="B171" s="301"/>
      <c r="C171" s="301"/>
      <c r="D171" s="301" t="s">
        <v>762</v>
      </c>
      <c r="E171" s="301"/>
      <c r="F171" s="301"/>
      <c r="G171" s="301"/>
      <c r="H171" s="301"/>
      <c r="I171" s="301"/>
    </row>
    <row r="172" spans="1:9" ht="11.25">
      <c r="A172" s="302" t="s">
        <v>638</v>
      </c>
      <c r="B172" s="302" t="s">
        <v>662</v>
      </c>
      <c r="C172" s="302" t="s">
        <v>663</v>
      </c>
      <c r="D172" s="302" t="s">
        <v>763</v>
      </c>
      <c r="E172" s="302">
        <v>27.3</v>
      </c>
      <c r="F172" s="302" t="s">
        <v>627</v>
      </c>
      <c r="G172" s="302" t="s">
        <v>549</v>
      </c>
      <c r="H172" s="302" t="s">
        <v>520</v>
      </c>
      <c r="I172" s="302" t="s">
        <v>644</v>
      </c>
    </row>
    <row r="173" spans="1:9" ht="11.25">
      <c r="A173" s="302"/>
      <c r="B173" s="302" t="s">
        <v>483</v>
      </c>
      <c r="C173" s="302" t="s">
        <v>664</v>
      </c>
      <c r="D173" s="302" t="s">
        <v>764</v>
      </c>
      <c r="E173" s="302" t="s">
        <v>461</v>
      </c>
      <c r="F173" s="302"/>
      <c r="G173" s="302" t="s">
        <v>494</v>
      </c>
      <c r="H173" s="302"/>
      <c r="I173" s="302" t="s">
        <v>494</v>
      </c>
    </row>
    <row r="174" spans="1:9" ht="11.25">
      <c r="A174" s="303"/>
      <c r="B174" s="303"/>
      <c r="C174" s="303"/>
      <c r="D174" s="303" t="s">
        <v>765</v>
      </c>
      <c r="E174" s="303"/>
      <c r="F174" s="303"/>
      <c r="G174" s="303"/>
      <c r="H174" s="303"/>
      <c r="I174" s="303"/>
    </row>
    <row r="175" spans="1:9" ht="11.25">
      <c r="A175" s="301"/>
      <c r="B175" s="301"/>
      <c r="C175" s="302"/>
      <c r="D175" s="302" t="s">
        <v>766</v>
      </c>
      <c r="E175" s="301"/>
      <c r="F175" s="307"/>
      <c r="G175" s="301"/>
      <c r="H175" s="301"/>
      <c r="I175" s="301"/>
    </row>
    <row r="176" spans="1:9" ht="11.25">
      <c r="A176" s="302" t="s">
        <v>638</v>
      </c>
      <c r="B176" s="307" t="s">
        <v>767</v>
      </c>
      <c r="C176" s="302" t="s">
        <v>768</v>
      </c>
      <c r="D176" s="302" t="s">
        <v>769</v>
      </c>
      <c r="E176" s="320">
        <v>21.715</v>
      </c>
      <c r="F176" s="307" t="s">
        <v>770</v>
      </c>
      <c r="G176" s="307" t="s">
        <v>654</v>
      </c>
      <c r="H176" s="302" t="s">
        <v>555</v>
      </c>
      <c r="I176" s="307" t="s">
        <v>771</v>
      </c>
    </row>
    <row r="177" spans="1:9" ht="11.25">
      <c r="A177" s="302"/>
      <c r="B177" s="302" t="s">
        <v>431</v>
      </c>
      <c r="C177" s="302" t="s">
        <v>670</v>
      </c>
      <c r="D177" s="302" t="s">
        <v>772</v>
      </c>
      <c r="E177" s="302" t="s">
        <v>472</v>
      </c>
      <c r="F177" s="302"/>
      <c r="G177" s="307" t="s">
        <v>656</v>
      </c>
      <c r="H177" s="302"/>
      <c r="I177" s="307" t="s">
        <v>654</v>
      </c>
    </row>
    <row r="178" spans="1:9" ht="11.25">
      <c r="A178" s="303"/>
      <c r="B178" s="303"/>
      <c r="C178" s="303"/>
      <c r="D178" s="303" t="s">
        <v>562</v>
      </c>
      <c r="E178" s="303"/>
      <c r="F178" s="303"/>
      <c r="G178" s="303"/>
      <c r="H178" s="303"/>
      <c r="I178" s="303"/>
    </row>
    <row r="179" spans="1:9" ht="11.25">
      <c r="A179" s="301"/>
      <c r="B179" s="301"/>
      <c r="C179" s="301"/>
      <c r="D179" s="301"/>
      <c r="E179" s="301"/>
      <c r="F179" s="301"/>
      <c r="G179" s="301"/>
      <c r="H179" s="301"/>
      <c r="I179" s="301"/>
    </row>
    <row r="180" spans="1:9" ht="11.25">
      <c r="A180" s="302" t="s">
        <v>638</v>
      </c>
      <c r="B180" s="302" t="s">
        <v>665</v>
      </c>
      <c r="C180" s="302" t="s">
        <v>666</v>
      </c>
      <c r="D180" s="302" t="s">
        <v>427</v>
      </c>
      <c r="E180" s="302">
        <v>20</v>
      </c>
      <c r="F180" s="302" t="s">
        <v>667</v>
      </c>
      <c r="G180" s="302" t="s">
        <v>668</v>
      </c>
      <c r="H180" s="302" t="s">
        <v>520</v>
      </c>
      <c r="I180" s="302" t="s">
        <v>669</v>
      </c>
    </row>
    <row r="181" spans="1:9" ht="11.25">
      <c r="A181" s="302"/>
      <c r="B181" s="302" t="s">
        <v>515</v>
      </c>
      <c r="C181" s="302" t="s">
        <v>670</v>
      </c>
      <c r="D181" s="302" t="s">
        <v>748</v>
      </c>
      <c r="E181" s="302" t="s">
        <v>461</v>
      </c>
      <c r="F181" s="302" t="s">
        <v>773</v>
      </c>
      <c r="G181" s="302" t="s">
        <v>671</v>
      </c>
      <c r="H181" s="302" t="s">
        <v>424</v>
      </c>
      <c r="I181" s="302" t="s">
        <v>460</v>
      </c>
    </row>
    <row r="182" spans="1:9" ht="11.25">
      <c r="A182" s="303"/>
      <c r="B182" s="303"/>
      <c r="C182" s="303"/>
      <c r="D182" s="303"/>
      <c r="E182" s="303"/>
      <c r="F182" s="303"/>
      <c r="G182" s="303"/>
      <c r="H182" s="303"/>
      <c r="I182" s="303"/>
    </row>
    <row r="183" spans="1:9" ht="11.25">
      <c r="A183" s="301"/>
      <c r="B183" s="301"/>
      <c r="C183" s="302" t="s">
        <v>774</v>
      </c>
      <c r="D183" s="301"/>
      <c r="E183" s="301"/>
      <c r="F183" s="307"/>
      <c r="G183" s="301"/>
      <c r="H183" s="301"/>
      <c r="I183" s="301"/>
    </row>
    <row r="184" spans="1:9" ht="11.25">
      <c r="A184" s="302" t="s">
        <v>638</v>
      </c>
      <c r="B184" s="302" t="s">
        <v>775</v>
      </c>
      <c r="C184" s="302" t="s">
        <v>776</v>
      </c>
      <c r="D184" s="302" t="s">
        <v>1131</v>
      </c>
      <c r="E184" s="302">
        <v>7.95</v>
      </c>
      <c r="F184" s="307" t="s">
        <v>777</v>
      </c>
      <c r="G184" s="307" t="s">
        <v>497</v>
      </c>
      <c r="H184" s="302" t="s">
        <v>566</v>
      </c>
      <c r="I184" s="307" t="s">
        <v>778</v>
      </c>
    </row>
    <row r="185" spans="1:9" ht="11.25">
      <c r="A185" s="302"/>
      <c r="B185" s="302" t="s">
        <v>431</v>
      </c>
      <c r="C185" s="302" t="s">
        <v>779</v>
      </c>
      <c r="D185" s="302" t="s">
        <v>780</v>
      </c>
      <c r="E185" s="302" t="s">
        <v>461</v>
      </c>
      <c r="F185" s="302"/>
      <c r="G185" s="307" t="s">
        <v>583</v>
      </c>
      <c r="H185" s="302"/>
      <c r="I185" s="307" t="s">
        <v>497</v>
      </c>
    </row>
    <row r="186" spans="1:9" ht="11.25">
      <c r="A186" s="303"/>
      <c r="B186" s="303"/>
      <c r="C186" s="303"/>
      <c r="D186" s="303"/>
      <c r="E186" s="303"/>
      <c r="F186" s="303"/>
      <c r="G186" s="303"/>
      <c r="H186" s="303"/>
      <c r="I186" s="303"/>
    </row>
    <row r="187" spans="1:9" ht="11.25">
      <c r="A187" s="301"/>
      <c r="B187" s="301"/>
      <c r="C187" s="302"/>
      <c r="D187" s="301"/>
      <c r="E187" s="301"/>
      <c r="F187" s="307"/>
      <c r="G187" s="301"/>
      <c r="H187" s="301"/>
      <c r="I187" s="301"/>
    </row>
    <row r="188" spans="1:9" ht="11.25">
      <c r="A188" s="302" t="s">
        <v>638</v>
      </c>
      <c r="B188" s="307" t="s">
        <v>781</v>
      </c>
      <c r="C188" s="302" t="s">
        <v>782</v>
      </c>
      <c r="D188" s="302" t="s">
        <v>530</v>
      </c>
      <c r="E188" s="302">
        <v>18.6</v>
      </c>
      <c r="F188" s="307" t="s">
        <v>777</v>
      </c>
      <c r="G188" s="307" t="s">
        <v>783</v>
      </c>
      <c r="H188" s="302" t="s">
        <v>566</v>
      </c>
      <c r="I188" s="307" t="s">
        <v>778</v>
      </c>
    </row>
    <row r="189" spans="1:9" ht="11.25">
      <c r="A189" s="302"/>
      <c r="B189" s="302" t="s">
        <v>431</v>
      </c>
      <c r="C189" s="302" t="s">
        <v>670</v>
      </c>
      <c r="D189" s="302" t="s">
        <v>784</v>
      </c>
      <c r="E189" s="302" t="s">
        <v>472</v>
      </c>
      <c r="F189" s="302"/>
      <c r="G189" s="307" t="s">
        <v>661</v>
      </c>
      <c r="H189" s="302"/>
      <c r="I189" s="307" t="s">
        <v>783</v>
      </c>
    </row>
    <row r="190" spans="1:9" ht="11.25">
      <c r="A190" s="303"/>
      <c r="B190" s="303"/>
      <c r="C190" s="303"/>
      <c r="D190" s="303"/>
      <c r="E190" s="303"/>
      <c r="F190" s="303"/>
      <c r="G190" s="303"/>
      <c r="H190" s="303"/>
      <c r="I190" s="303"/>
    </row>
    <row r="191" spans="1:9" ht="11.25">
      <c r="A191" s="301"/>
      <c r="B191" s="301"/>
      <c r="C191" s="301"/>
      <c r="D191" s="301" t="s">
        <v>672</v>
      </c>
      <c r="E191" s="301"/>
      <c r="F191" s="307" t="s">
        <v>673</v>
      </c>
      <c r="G191" s="301"/>
      <c r="H191" s="301"/>
      <c r="I191" s="301"/>
    </row>
    <row r="192" spans="1:9" ht="10.5" customHeight="1">
      <c r="A192" s="302" t="s">
        <v>674</v>
      </c>
      <c r="B192" s="302" t="s">
        <v>551</v>
      </c>
      <c r="C192" s="302" t="s">
        <v>675</v>
      </c>
      <c r="D192" s="302" t="s">
        <v>676</v>
      </c>
      <c r="E192" s="302">
        <v>20</v>
      </c>
      <c r="F192" s="307" t="s">
        <v>677</v>
      </c>
      <c r="G192" s="309" t="s">
        <v>678</v>
      </c>
      <c r="H192" s="302" t="s">
        <v>679</v>
      </c>
      <c r="I192" s="307" t="s">
        <v>680</v>
      </c>
    </row>
    <row r="193" spans="1:9" ht="11.25">
      <c r="A193" s="302" t="s">
        <v>681</v>
      </c>
      <c r="B193" s="302" t="s">
        <v>515</v>
      </c>
      <c r="C193" s="302" t="s">
        <v>670</v>
      </c>
      <c r="D193" s="302" t="s">
        <v>682</v>
      </c>
      <c r="E193" s="302" t="s">
        <v>452</v>
      </c>
      <c r="F193" s="302" t="s">
        <v>683</v>
      </c>
      <c r="G193" s="302" t="s">
        <v>684</v>
      </c>
      <c r="H193" s="302"/>
      <c r="I193" s="307" t="s">
        <v>551</v>
      </c>
    </row>
    <row r="194" spans="1:9" ht="11.25">
      <c r="A194" s="303"/>
      <c r="B194" s="303"/>
      <c r="C194" s="303"/>
      <c r="D194" s="303" t="s">
        <v>685</v>
      </c>
      <c r="E194" s="303"/>
      <c r="F194" s="303" t="s">
        <v>688</v>
      </c>
      <c r="G194" s="303"/>
      <c r="H194" s="303"/>
      <c r="I194" s="303"/>
    </row>
    <row r="195" spans="1:9" ht="11.25">
      <c r="A195" s="301"/>
      <c r="B195" s="301"/>
      <c r="C195" s="301"/>
      <c r="D195" s="301"/>
      <c r="E195" s="301"/>
      <c r="F195" s="301"/>
      <c r="G195" s="301"/>
      <c r="H195" s="301"/>
      <c r="I195" s="301"/>
    </row>
    <row r="196" spans="1:9" ht="11.25">
      <c r="A196" s="302" t="s">
        <v>689</v>
      </c>
      <c r="B196" s="302" t="s">
        <v>690</v>
      </c>
      <c r="C196" s="302" t="s">
        <v>691</v>
      </c>
      <c r="D196" s="302" t="s">
        <v>531</v>
      </c>
      <c r="E196" s="302">
        <v>9.32</v>
      </c>
      <c r="F196" s="302" t="s">
        <v>692</v>
      </c>
      <c r="G196" s="302" t="s">
        <v>729</v>
      </c>
      <c r="H196" s="302" t="s">
        <v>450</v>
      </c>
      <c r="I196" s="302" t="s">
        <v>680</v>
      </c>
    </row>
    <row r="197" spans="1:9" ht="11.25">
      <c r="A197" s="302" t="s">
        <v>730</v>
      </c>
      <c r="B197" s="302" t="s">
        <v>432</v>
      </c>
      <c r="C197" s="302" t="s">
        <v>731</v>
      </c>
      <c r="D197" s="302" t="s">
        <v>535</v>
      </c>
      <c r="E197" s="302" t="s">
        <v>461</v>
      </c>
      <c r="F197" s="302" t="s">
        <v>732</v>
      </c>
      <c r="G197" s="302"/>
      <c r="H197" s="302"/>
      <c r="I197" s="302" t="s">
        <v>733</v>
      </c>
    </row>
    <row r="198" spans="1:9" ht="11.25">
      <c r="A198" s="303" t="s">
        <v>424</v>
      </c>
      <c r="B198" s="303"/>
      <c r="C198" s="303"/>
      <c r="D198" s="303"/>
      <c r="E198" s="303"/>
      <c r="F198" s="303"/>
      <c r="G198" s="303"/>
      <c r="H198" s="303"/>
      <c r="I198" s="303" t="s">
        <v>424</v>
      </c>
    </row>
    <row r="199" spans="1:9" ht="11.25">
      <c r="A199" s="310"/>
      <c r="B199" s="291"/>
      <c r="C199" s="310"/>
      <c r="D199" s="310"/>
      <c r="E199" s="311"/>
      <c r="F199" s="310"/>
      <c r="G199" s="291"/>
      <c r="H199" s="310"/>
      <c r="I199" s="310"/>
    </row>
    <row r="200" spans="1:9" ht="11.25">
      <c r="A200" s="310"/>
      <c r="B200" s="291"/>
      <c r="C200" s="310"/>
      <c r="D200" s="310"/>
      <c r="E200" s="311"/>
      <c r="F200" s="310"/>
      <c r="G200" s="291"/>
      <c r="H200" s="310"/>
      <c r="I200" s="310"/>
    </row>
    <row r="201" spans="1:9" ht="11.25">
      <c r="A201" s="310"/>
      <c r="B201" s="291"/>
      <c r="C201" s="310"/>
      <c r="D201" s="310"/>
      <c r="E201" s="311"/>
      <c r="F201" s="310"/>
      <c r="G201" s="291"/>
      <c r="H201" s="310"/>
      <c r="I201" s="310"/>
    </row>
    <row r="202" spans="1:9" ht="11.25">
      <c r="A202" s="310"/>
      <c r="B202" s="291"/>
      <c r="C202" s="310"/>
      <c r="D202" s="310"/>
      <c r="E202" s="311"/>
      <c r="F202" s="310"/>
      <c r="G202" s="291"/>
      <c r="H202" s="310"/>
      <c r="I202" s="310"/>
    </row>
    <row r="203" spans="1:22" s="317" customFormat="1" ht="12.75">
      <c r="A203" s="312" t="s">
        <v>734</v>
      </c>
      <c r="B203" s="313"/>
      <c r="C203" s="314" t="s">
        <v>150</v>
      </c>
      <c r="D203" s="35"/>
      <c r="E203" s="315" t="s">
        <v>42</v>
      </c>
      <c r="F203" s="316"/>
      <c r="G203" s="313"/>
      <c r="H203" s="316"/>
      <c r="I203" s="314" t="s">
        <v>151</v>
      </c>
      <c r="J203" s="313"/>
      <c r="K203" s="313"/>
      <c r="L203" s="313"/>
      <c r="M203" s="313"/>
      <c r="N203" s="313"/>
      <c r="O203" s="313"/>
      <c r="P203" s="313"/>
      <c r="Q203" s="313"/>
      <c r="R203" s="313"/>
      <c r="S203" s="313"/>
      <c r="T203" s="313"/>
      <c r="U203" s="313"/>
      <c r="V203" s="313"/>
    </row>
    <row r="204" spans="1:9" ht="11.25">
      <c r="A204" s="310"/>
      <c r="B204" s="291"/>
      <c r="C204" s="310"/>
      <c r="D204" s="310"/>
      <c r="E204" s="311"/>
      <c r="F204" s="310"/>
      <c r="G204" s="291"/>
      <c r="H204" s="310"/>
      <c r="I204" s="310"/>
    </row>
    <row r="205" spans="1:9" ht="11.25">
      <c r="A205" s="310"/>
      <c r="B205" s="291"/>
      <c r="C205" s="310"/>
      <c r="D205" s="310"/>
      <c r="E205" s="311"/>
      <c r="F205" s="310"/>
      <c r="G205" s="291"/>
      <c r="H205" s="310"/>
      <c r="I205" s="310"/>
    </row>
    <row r="206" spans="1:9" ht="11.25">
      <c r="A206" s="310"/>
      <c r="B206" s="291"/>
      <c r="C206" s="310"/>
      <c r="D206" s="310"/>
      <c r="E206" s="311"/>
      <c r="F206" s="310"/>
      <c r="G206" s="291"/>
      <c r="H206" s="310"/>
      <c r="I206" s="310"/>
    </row>
    <row r="207" spans="1:9" ht="11.25">
      <c r="A207" s="310"/>
      <c r="B207" s="291"/>
      <c r="C207" s="310"/>
      <c r="D207" s="310"/>
      <c r="E207" s="311"/>
      <c r="F207" s="310"/>
      <c r="G207" s="291"/>
      <c r="H207" s="310"/>
      <c r="I207" s="310"/>
    </row>
    <row r="208" spans="1:9" ht="11.25">
      <c r="A208" s="310"/>
      <c r="B208" s="291"/>
      <c r="C208" s="310"/>
      <c r="D208" s="310"/>
      <c r="E208" s="311"/>
      <c r="F208" s="310"/>
      <c r="G208" s="291"/>
      <c r="H208" s="310"/>
      <c r="I208" s="310"/>
    </row>
    <row r="209" spans="1:9" ht="11.25">
      <c r="A209" s="310"/>
      <c r="B209" s="291"/>
      <c r="C209" s="310"/>
      <c r="D209" s="310"/>
      <c r="E209" s="311"/>
      <c r="F209" s="310"/>
      <c r="G209" s="291"/>
      <c r="H209" s="310"/>
      <c r="I209" s="310"/>
    </row>
    <row r="210" spans="1:9" ht="11.25">
      <c r="A210" s="310"/>
      <c r="B210" s="291"/>
      <c r="C210" s="310"/>
      <c r="D210" s="310"/>
      <c r="E210" s="311"/>
      <c r="F210" s="310"/>
      <c r="G210" s="291"/>
      <c r="H210" s="310"/>
      <c r="I210" s="310"/>
    </row>
    <row r="211" spans="1:9" ht="11.25">
      <c r="A211" s="310"/>
      <c r="B211" s="291"/>
      <c r="C211" s="310"/>
      <c r="D211" s="310"/>
      <c r="E211" s="311"/>
      <c r="F211" s="310"/>
      <c r="G211" s="291"/>
      <c r="H211" s="310"/>
      <c r="I211" s="310"/>
    </row>
    <row r="212" spans="1:9" ht="11.25">
      <c r="A212" s="310"/>
      <c r="B212" s="291"/>
      <c r="C212" s="310"/>
      <c r="D212" s="310"/>
      <c r="E212" s="311"/>
      <c r="F212" s="310"/>
      <c r="G212" s="291"/>
      <c r="H212" s="310"/>
      <c r="I212" s="310"/>
    </row>
    <row r="213" spans="1:9" ht="11.25">
      <c r="A213" s="310"/>
      <c r="B213" s="291"/>
      <c r="C213" s="310"/>
      <c r="D213" s="310"/>
      <c r="E213" s="311"/>
      <c r="F213" s="310"/>
      <c r="G213" s="291"/>
      <c r="H213" s="310"/>
      <c r="I213" s="310"/>
    </row>
    <row r="214" spans="1:9" ht="11.25">
      <c r="A214" s="310"/>
      <c r="B214" s="291"/>
      <c r="C214" s="310"/>
      <c r="D214" s="310"/>
      <c r="E214" s="311"/>
      <c r="F214" s="310"/>
      <c r="G214" s="291"/>
      <c r="H214" s="310"/>
      <c r="I214" s="310"/>
    </row>
    <row r="215" spans="1:9" ht="11.25">
      <c r="A215" s="310"/>
      <c r="B215" s="291"/>
      <c r="C215" s="310"/>
      <c r="D215" s="310"/>
      <c r="E215" s="311"/>
      <c r="F215" s="310"/>
      <c r="G215" s="291"/>
      <c r="H215" s="310"/>
      <c r="I215" s="310"/>
    </row>
    <row r="216" spans="1:9" ht="11.25">
      <c r="A216" s="310"/>
      <c r="B216" s="291"/>
      <c r="C216" s="310"/>
      <c r="D216" s="310"/>
      <c r="E216" s="311"/>
      <c r="F216" s="310"/>
      <c r="G216" s="291"/>
      <c r="H216" s="310"/>
      <c r="I216" s="310"/>
    </row>
    <row r="217" spans="1:9" ht="11.25">
      <c r="A217" s="310"/>
      <c r="B217" s="291"/>
      <c r="C217" s="310"/>
      <c r="D217" s="310"/>
      <c r="E217" s="311"/>
      <c r="F217" s="310"/>
      <c r="G217" s="291"/>
      <c r="H217" s="310"/>
      <c r="I217" s="310"/>
    </row>
    <row r="218" spans="1:9" ht="11.25">
      <c r="A218" s="310"/>
      <c r="B218" s="291"/>
      <c r="C218" s="310"/>
      <c r="D218" s="310"/>
      <c r="E218" s="311"/>
      <c r="F218" s="310"/>
      <c r="G218" s="291"/>
      <c r="H218" s="310"/>
      <c r="I218" s="310"/>
    </row>
    <row r="219" spans="1:9" ht="11.25">
      <c r="A219" s="310"/>
      <c r="B219" s="291"/>
      <c r="C219" s="310"/>
      <c r="D219" s="310"/>
      <c r="E219" s="311"/>
      <c r="F219" s="310"/>
      <c r="G219" s="291"/>
      <c r="H219" s="310"/>
      <c r="I219" s="310"/>
    </row>
    <row r="220" spans="1:9" ht="11.25">
      <c r="A220" s="310"/>
      <c r="B220" s="291"/>
      <c r="C220" s="310"/>
      <c r="D220" s="310"/>
      <c r="E220" s="311"/>
      <c r="F220" s="310"/>
      <c r="G220" s="291"/>
      <c r="H220" s="310"/>
      <c r="I220" s="310"/>
    </row>
    <row r="221" spans="1:9" ht="11.25">
      <c r="A221" s="310"/>
      <c r="B221" s="291"/>
      <c r="C221" s="310"/>
      <c r="D221" s="310"/>
      <c r="E221" s="311"/>
      <c r="F221" s="310"/>
      <c r="G221" s="291"/>
      <c r="H221" s="310"/>
      <c r="I221" s="310"/>
    </row>
    <row r="222" spans="1:9" ht="11.25">
      <c r="A222" s="310"/>
      <c r="B222" s="291"/>
      <c r="C222" s="310"/>
      <c r="D222" s="310"/>
      <c r="E222" s="311"/>
      <c r="F222" s="310"/>
      <c r="G222" s="291"/>
      <c r="H222" s="310"/>
      <c r="I222" s="310"/>
    </row>
    <row r="223" spans="1:9" ht="11.25">
      <c r="A223" s="310"/>
      <c r="B223" s="291"/>
      <c r="C223" s="310"/>
      <c r="D223" s="310"/>
      <c r="E223" s="311"/>
      <c r="F223" s="310"/>
      <c r="G223" s="291"/>
      <c r="H223" s="310"/>
      <c r="I223" s="310"/>
    </row>
    <row r="224" spans="1:9" ht="11.25">
      <c r="A224" s="310"/>
      <c r="B224" s="291"/>
      <c r="C224" s="310"/>
      <c r="D224" s="310"/>
      <c r="E224" s="311"/>
      <c r="F224" s="310"/>
      <c r="G224" s="291"/>
      <c r="H224" s="310"/>
      <c r="I224" s="310"/>
    </row>
    <row r="225" spans="1:9" ht="11.25">
      <c r="A225" s="310"/>
      <c r="B225" s="291"/>
      <c r="C225" s="310"/>
      <c r="D225" s="310"/>
      <c r="E225" s="311"/>
      <c r="F225" s="310"/>
      <c r="G225" s="291"/>
      <c r="H225" s="310"/>
      <c r="I225" s="310"/>
    </row>
    <row r="226" spans="1:9" ht="11.25">
      <c r="A226" s="310"/>
      <c r="B226" s="291"/>
      <c r="C226" s="310"/>
      <c r="D226" s="310"/>
      <c r="E226" s="311"/>
      <c r="F226" s="310"/>
      <c r="G226" s="291"/>
      <c r="H226" s="310"/>
      <c r="I226" s="310"/>
    </row>
    <row r="227" spans="1:9" ht="11.25">
      <c r="A227" s="310"/>
      <c r="B227" s="291"/>
      <c r="C227" s="310"/>
      <c r="D227" s="310"/>
      <c r="E227" s="311"/>
      <c r="F227" s="310"/>
      <c r="G227" s="291"/>
      <c r="H227" s="310"/>
      <c r="I227" s="310"/>
    </row>
    <row r="228" spans="1:9" ht="11.25">
      <c r="A228" s="310"/>
      <c r="B228" s="291"/>
      <c r="C228" s="310"/>
      <c r="D228" s="310"/>
      <c r="E228" s="311"/>
      <c r="F228" s="310"/>
      <c r="G228" s="291"/>
      <c r="H228" s="310"/>
      <c r="I228" s="310"/>
    </row>
    <row r="229" spans="1:9" ht="11.25">
      <c r="A229" s="310"/>
      <c r="B229" s="291"/>
      <c r="C229" s="310"/>
      <c r="D229" s="310"/>
      <c r="E229" s="311"/>
      <c r="F229" s="310"/>
      <c r="G229" s="291"/>
      <c r="H229" s="310"/>
      <c r="I229" s="310"/>
    </row>
    <row r="230" spans="1:9" ht="11.25">
      <c r="A230" s="310"/>
      <c r="B230" s="291"/>
      <c r="C230" s="310"/>
      <c r="D230" s="310"/>
      <c r="E230" s="311"/>
      <c r="F230" s="310"/>
      <c r="G230" s="291"/>
      <c r="H230" s="310"/>
      <c r="I230" s="310"/>
    </row>
    <row r="231" spans="1:9" ht="11.25">
      <c r="A231" s="310"/>
      <c r="B231" s="291"/>
      <c r="C231" s="310"/>
      <c r="D231" s="310"/>
      <c r="E231" s="311"/>
      <c r="F231" s="310"/>
      <c r="G231" s="291"/>
      <c r="H231" s="310"/>
      <c r="I231" s="310"/>
    </row>
    <row r="232" spans="1:9" ht="11.25">
      <c r="A232" s="310"/>
      <c r="B232" s="291"/>
      <c r="C232" s="310"/>
      <c r="D232" s="310"/>
      <c r="E232" s="311"/>
      <c r="F232" s="310"/>
      <c r="G232" s="291"/>
      <c r="H232" s="310"/>
      <c r="I232" s="310"/>
    </row>
    <row r="233" spans="1:9" ht="11.25">
      <c r="A233" s="310"/>
      <c r="B233" s="291"/>
      <c r="C233" s="310"/>
      <c r="D233" s="310"/>
      <c r="E233" s="311"/>
      <c r="F233" s="310"/>
      <c r="G233" s="291"/>
      <c r="H233" s="310"/>
      <c r="I233" s="310"/>
    </row>
    <row r="234" spans="1:9" ht="11.25">
      <c r="A234" s="310"/>
      <c r="B234" s="291"/>
      <c r="C234" s="310"/>
      <c r="D234" s="310"/>
      <c r="E234" s="311"/>
      <c r="F234" s="310"/>
      <c r="G234" s="291"/>
      <c r="H234" s="310"/>
      <c r="I234" s="310"/>
    </row>
    <row r="235" spans="1:9" ht="11.25">
      <c r="A235" s="310"/>
      <c r="B235" s="291"/>
      <c r="C235" s="310"/>
      <c r="D235" s="310"/>
      <c r="E235" s="311"/>
      <c r="F235" s="310"/>
      <c r="G235" s="291"/>
      <c r="H235" s="310"/>
      <c r="I235" s="310"/>
    </row>
    <row r="236" spans="1:9" ht="11.25">
      <c r="A236" s="310"/>
      <c r="B236" s="291"/>
      <c r="C236" s="310"/>
      <c r="D236" s="310"/>
      <c r="E236" s="311"/>
      <c r="F236" s="310"/>
      <c r="G236" s="291"/>
      <c r="H236" s="310"/>
      <c r="I236" s="310"/>
    </row>
    <row r="237" spans="1:9" ht="11.25">
      <c r="A237" s="310"/>
      <c r="B237" s="291"/>
      <c r="C237" s="310"/>
      <c r="D237" s="310"/>
      <c r="E237" s="311"/>
      <c r="F237" s="310"/>
      <c r="G237" s="291"/>
      <c r="H237" s="310"/>
      <c r="I237" s="310"/>
    </row>
    <row r="238" spans="1:9" ht="11.25">
      <c r="A238" s="310"/>
      <c r="B238" s="291"/>
      <c r="C238" s="310"/>
      <c r="D238" s="310"/>
      <c r="E238" s="311"/>
      <c r="F238" s="310"/>
      <c r="G238" s="291"/>
      <c r="H238" s="310"/>
      <c r="I238" s="310"/>
    </row>
    <row r="239" spans="1:9" ht="11.25">
      <c r="A239" s="310"/>
      <c r="B239" s="291"/>
      <c r="C239" s="310"/>
      <c r="D239" s="310"/>
      <c r="E239" s="311"/>
      <c r="F239" s="310"/>
      <c r="G239" s="291"/>
      <c r="H239" s="310"/>
      <c r="I239" s="310"/>
    </row>
    <row r="240" spans="1:9" ht="11.25">
      <c r="A240" s="310"/>
      <c r="B240" s="291"/>
      <c r="C240" s="310"/>
      <c r="D240" s="310"/>
      <c r="E240" s="311"/>
      <c r="F240" s="310"/>
      <c r="G240" s="291"/>
      <c r="H240" s="310"/>
      <c r="I240" s="310"/>
    </row>
    <row r="241" spans="1:9" ht="11.25">
      <c r="A241" s="310"/>
      <c r="B241" s="291"/>
      <c r="C241" s="310"/>
      <c r="D241" s="310"/>
      <c r="E241" s="311"/>
      <c r="F241" s="310"/>
      <c r="G241" s="291"/>
      <c r="H241" s="310"/>
      <c r="I241" s="310"/>
    </row>
    <row r="242" spans="1:9" ht="11.25">
      <c r="A242" s="310"/>
      <c r="B242" s="291"/>
      <c r="C242" s="310"/>
      <c r="D242" s="310"/>
      <c r="E242" s="311"/>
      <c r="F242" s="310"/>
      <c r="G242" s="291"/>
      <c r="H242" s="310"/>
      <c r="I242" s="310"/>
    </row>
    <row r="243" spans="1:9" ht="11.25">
      <c r="A243" s="310"/>
      <c r="B243" s="291"/>
      <c r="C243" s="310"/>
      <c r="D243" s="310"/>
      <c r="E243" s="311"/>
      <c r="F243" s="310"/>
      <c r="G243" s="291"/>
      <c r="H243" s="310"/>
      <c r="I243" s="310"/>
    </row>
    <row r="244" spans="1:9" ht="11.25">
      <c r="A244" s="310"/>
      <c r="B244" s="291"/>
      <c r="C244" s="310"/>
      <c r="D244" s="310"/>
      <c r="E244" s="311"/>
      <c r="F244" s="310"/>
      <c r="G244" s="291"/>
      <c r="H244" s="310"/>
      <c r="I244" s="310"/>
    </row>
    <row r="245" spans="1:9" ht="11.25">
      <c r="A245" s="310"/>
      <c r="B245" s="291"/>
      <c r="C245" s="310"/>
      <c r="D245" s="310"/>
      <c r="E245" s="311"/>
      <c r="F245" s="310"/>
      <c r="G245" s="291"/>
      <c r="H245" s="310"/>
      <c r="I245" s="310"/>
    </row>
    <row r="246" spans="1:9" ht="11.25">
      <c r="A246" s="310"/>
      <c r="B246" s="291"/>
      <c r="C246" s="310"/>
      <c r="D246" s="310"/>
      <c r="E246" s="311"/>
      <c r="F246" s="310"/>
      <c r="G246" s="291"/>
      <c r="H246" s="310"/>
      <c r="I246" s="310"/>
    </row>
    <row r="247" spans="1:9" ht="11.25">
      <c r="A247" s="310"/>
      <c r="B247" s="291"/>
      <c r="C247" s="310"/>
      <c r="D247" s="310"/>
      <c r="E247" s="311"/>
      <c r="F247" s="310"/>
      <c r="G247" s="291"/>
      <c r="H247" s="310"/>
      <c r="I247" s="310"/>
    </row>
    <row r="248" spans="1:9" ht="11.25">
      <c r="A248" s="310"/>
      <c r="B248" s="291"/>
      <c r="C248" s="310"/>
      <c r="D248" s="310"/>
      <c r="E248" s="311"/>
      <c r="F248" s="310"/>
      <c r="G248" s="291"/>
      <c r="H248" s="310"/>
      <c r="I248" s="310"/>
    </row>
    <row r="249" spans="1:9" ht="11.25">
      <c r="A249" s="310"/>
      <c r="B249" s="291"/>
      <c r="C249" s="310"/>
      <c r="D249" s="310"/>
      <c r="E249" s="311"/>
      <c r="F249" s="310"/>
      <c r="G249" s="291"/>
      <c r="H249" s="310"/>
      <c r="I249" s="310"/>
    </row>
    <row r="250" spans="1:9" ht="11.25">
      <c r="A250" s="310"/>
      <c r="B250" s="291"/>
      <c r="C250" s="310"/>
      <c r="D250" s="310"/>
      <c r="E250" s="311"/>
      <c r="F250" s="310"/>
      <c r="G250" s="291"/>
      <c r="H250" s="310"/>
      <c r="I250" s="310"/>
    </row>
    <row r="251" spans="1:9" ht="11.25">
      <c r="A251" s="310"/>
      <c r="B251" s="291"/>
      <c r="C251" s="310"/>
      <c r="D251" s="310"/>
      <c r="E251" s="311"/>
      <c r="F251" s="310"/>
      <c r="G251" s="291"/>
      <c r="H251" s="310"/>
      <c r="I251" s="310"/>
    </row>
    <row r="252" spans="1:9" ht="11.25">
      <c r="A252" s="310"/>
      <c r="B252" s="291"/>
      <c r="C252" s="310"/>
      <c r="D252" s="310"/>
      <c r="E252" s="311"/>
      <c r="F252" s="310"/>
      <c r="G252" s="291"/>
      <c r="H252" s="310"/>
      <c r="I252" s="310"/>
    </row>
    <row r="253" spans="1:9" ht="11.25">
      <c r="A253" s="310"/>
      <c r="B253" s="291"/>
      <c r="C253" s="310"/>
      <c r="D253" s="310"/>
      <c r="E253" s="311"/>
      <c r="F253" s="310"/>
      <c r="G253" s="291"/>
      <c r="H253" s="310"/>
      <c r="I253" s="310"/>
    </row>
    <row r="254" spans="1:9" ht="11.25">
      <c r="A254" s="310"/>
      <c r="B254" s="291"/>
      <c r="C254" s="310"/>
      <c r="D254" s="310"/>
      <c r="E254" s="311"/>
      <c r="F254" s="310"/>
      <c r="G254" s="291"/>
      <c r="H254" s="310"/>
      <c r="I254" s="310"/>
    </row>
    <row r="255" spans="1:9" ht="11.25">
      <c r="A255" s="310"/>
      <c r="B255" s="291"/>
      <c r="C255" s="310"/>
      <c r="D255" s="310"/>
      <c r="E255" s="311"/>
      <c r="F255" s="310"/>
      <c r="G255" s="291"/>
      <c r="H255" s="310"/>
      <c r="I255" s="310"/>
    </row>
    <row r="256" spans="1:9" ht="11.25">
      <c r="A256" s="310"/>
      <c r="B256" s="291"/>
      <c r="C256" s="310"/>
      <c r="D256" s="310"/>
      <c r="E256" s="311"/>
      <c r="F256" s="310"/>
      <c r="G256" s="291"/>
      <c r="H256" s="310"/>
      <c r="I256" s="310"/>
    </row>
    <row r="257" spans="1:9" ht="11.25">
      <c r="A257" s="310"/>
      <c r="B257" s="291"/>
      <c r="C257" s="310"/>
      <c r="D257" s="310"/>
      <c r="E257" s="311"/>
      <c r="F257" s="310"/>
      <c r="G257" s="291"/>
      <c r="H257" s="310"/>
      <c r="I257" s="310"/>
    </row>
    <row r="258" spans="1:9" ht="11.25">
      <c r="A258" s="310"/>
      <c r="B258" s="291"/>
      <c r="C258" s="310"/>
      <c r="D258" s="310"/>
      <c r="E258" s="311"/>
      <c r="F258" s="310"/>
      <c r="G258" s="291"/>
      <c r="H258" s="310"/>
      <c r="I258" s="310"/>
    </row>
    <row r="259" spans="1:9" ht="11.25">
      <c r="A259" s="310"/>
      <c r="B259" s="291"/>
      <c r="C259" s="310"/>
      <c r="D259" s="310"/>
      <c r="E259" s="311"/>
      <c r="F259" s="310"/>
      <c r="G259" s="291"/>
      <c r="H259" s="310"/>
      <c r="I259" s="310"/>
    </row>
    <row r="260" spans="1:9" ht="11.25">
      <c r="A260" s="310"/>
      <c r="B260" s="291"/>
      <c r="C260" s="310"/>
      <c r="D260" s="310"/>
      <c r="E260" s="311"/>
      <c r="F260" s="310"/>
      <c r="G260" s="291"/>
      <c r="H260" s="310"/>
      <c r="I260" s="310"/>
    </row>
    <row r="261" spans="1:9" ht="11.25">
      <c r="A261" s="310"/>
      <c r="B261" s="291"/>
      <c r="C261" s="310"/>
      <c r="D261" s="310"/>
      <c r="E261" s="311"/>
      <c r="F261" s="310"/>
      <c r="G261" s="291"/>
      <c r="H261" s="310"/>
      <c r="I261" s="310"/>
    </row>
    <row r="262" spans="1:9" ht="11.25">
      <c r="A262" s="310"/>
      <c r="B262" s="291"/>
      <c r="C262" s="310"/>
      <c r="D262" s="310"/>
      <c r="E262" s="311"/>
      <c r="F262" s="310"/>
      <c r="G262" s="291"/>
      <c r="H262" s="310"/>
      <c r="I262" s="310"/>
    </row>
    <row r="263" spans="1:9" ht="11.25">
      <c r="A263" s="310"/>
      <c r="B263" s="291"/>
      <c r="C263" s="310"/>
      <c r="D263" s="310"/>
      <c r="E263" s="311"/>
      <c r="F263" s="310"/>
      <c r="G263" s="291"/>
      <c r="H263" s="310"/>
      <c r="I263" s="310"/>
    </row>
    <row r="264" spans="1:9" ht="11.25">
      <c r="A264" s="310"/>
      <c r="B264" s="291"/>
      <c r="C264" s="310"/>
      <c r="D264" s="310"/>
      <c r="E264" s="311"/>
      <c r="F264" s="310"/>
      <c r="G264" s="291"/>
      <c r="H264" s="310"/>
      <c r="I264" s="310"/>
    </row>
    <row r="265" spans="1:9" ht="11.25">
      <c r="A265" s="310"/>
      <c r="B265" s="291"/>
      <c r="C265" s="310"/>
      <c r="D265" s="310"/>
      <c r="E265" s="311"/>
      <c r="F265" s="310"/>
      <c r="G265" s="291"/>
      <c r="H265" s="310"/>
      <c r="I265" s="310"/>
    </row>
    <row r="266" spans="1:9" ht="11.25">
      <c r="A266" s="310"/>
      <c r="B266" s="291"/>
      <c r="C266" s="310"/>
      <c r="D266" s="310"/>
      <c r="E266" s="311"/>
      <c r="F266" s="310"/>
      <c r="G266" s="291"/>
      <c r="H266" s="310"/>
      <c r="I266" s="310"/>
    </row>
    <row r="267" spans="1:9" ht="11.25">
      <c r="A267" s="310"/>
      <c r="B267" s="291"/>
      <c r="C267" s="310"/>
      <c r="D267" s="310"/>
      <c r="E267" s="311"/>
      <c r="F267" s="310"/>
      <c r="G267" s="291"/>
      <c r="H267" s="310"/>
      <c r="I267" s="310"/>
    </row>
    <row r="268" spans="1:9" ht="11.25">
      <c r="A268" s="310"/>
      <c r="B268" s="291"/>
      <c r="C268" s="310"/>
      <c r="D268" s="310"/>
      <c r="E268" s="311"/>
      <c r="F268" s="310"/>
      <c r="G268" s="291"/>
      <c r="H268" s="310"/>
      <c r="I268" s="310"/>
    </row>
    <row r="269" spans="1:9" ht="11.25">
      <c r="A269" s="310"/>
      <c r="B269" s="291"/>
      <c r="C269" s="310"/>
      <c r="D269" s="310"/>
      <c r="E269" s="311"/>
      <c r="F269" s="310"/>
      <c r="G269" s="291"/>
      <c r="H269" s="310"/>
      <c r="I269" s="310"/>
    </row>
    <row r="270" spans="1:9" ht="11.25">
      <c r="A270" s="310"/>
      <c r="B270" s="291"/>
      <c r="C270" s="310"/>
      <c r="D270" s="310"/>
      <c r="E270" s="311"/>
      <c r="F270" s="310"/>
      <c r="G270" s="291"/>
      <c r="H270" s="310"/>
      <c r="I270" s="310"/>
    </row>
    <row r="271" spans="1:9" ht="11.25">
      <c r="A271" s="310"/>
      <c r="B271" s="291"/>
      <c r="C271" s="310"/>
      <c r="D271" s="310"/>
      <c r="E271" s="311"/>
      <c r="F271" s="310"/>
      <c r="G271" s="291"/>
      <c r="H271" s="310"/>
      <c r="I271" s="310"/>
    </row>
    <row r="272" spans="1:9" ht="11.25">
      <c r="A272" s="310"/>
      <c r="B272" s="291"/>
      <c r="C272" s="310"/>
      <c r="D272" s="310"/>
      <c r="E272" s="311"/>
      <c r="F272" s="310"/>
      <c r="G272" s="291"/>
      <c r="H272" s="310"/>
      <c r="I272" s="310"/>
    </row>
    <row r="273" spans="1:9" ht="11.25">
      <c r="A273" s="310"/>
      <c r="B273" s="291"/>
      <c r="C273" s="310"/>
      <c r="D273" s="310"/>
      <c r="E273" s="311"/>
      <c r="F273" s="310"/>
      <c r="G273" s="291"/>
      <c r="H273" s="310"/>
      <c r="I273" s="310"/>
    </row>
    <row r="274" spans="1:9" ht="11.25">
      <c r="A274" s="310"/>
      <c r="B274" s="291"/>
      <c r="C274" s="310"/>
      <c r="D274" s="310"/>
      <c r="E274" s="311"/>
      <c r="F274" s="310"/>
      <c r="G274" s="291"/>
      <c r="H274" s="310"/>
      <c r="I274" s="310"/>
    </row>
    <row r="275" spans="1:9" ht="11.25">
      <c r="A275" s="310"/>
      <c r="B275" s="291"/>
      <c r="C275" s="310"/>
      <c r="D275" s="310"/>
      <c r="E275" s="311"/>
      <c r="F275" s="310"/>
      <c r="G275" s="291"/>
      <c r="H275" s="310"/>
      <c r="I275" s="310"/>
    </row>
    <row r="276" spans="1:9" ht="11.25">
      <c r="A276" s="310"/>
      <c r="B276" s="291"/>
      <c r="C276" s="310"/>
      <c r="D276" s="310"/>
      <c r="E276" s="311"/>
      <c r="F276" s="310"/>
      <c r="G276" s="291"/>
      <c r="H276" s="310"/>
      <c r="I276" s="310"/>
    </row>
    <row r="277" spans="1:9" ht="11.25">
      <c r="A277" s="310"/>
      <c r="B277" s="291"/>
      <c r="C277" s="310"/>
      <c r="D277" s="310"/>
      <c r="E277" s="311"/>
      <c r="F277" s="310"/>
      <c r="G277" s="291"/>
      <c r="H277" s="310"/>
      <c r="I277" s="310"/>
    </row>
    <row r="278" spans="1:9" ht="11.25">
      <c r="A278" s="310"/>
      <c r="B278" s="291"/>
      <c r="C278" s="310"/>
      <c r="D278" s="310"/>
      <c r="E278" s="311"/>
      <c r="F278" s="310"/>
      <c r="G278" s="291"/>
      <c r="H278" s="310"/>
      <c r="I278" s="310"/>
    </row>
    <row r="279" spans="1:9" ht="11.25">
      <c r="A279" s="310"/>
      <c r="B279" s="291"/>
      <c r="C279" s="310"/>
      <c r="D279" s="310"/>
      <c r="E279" s="311"/>
      <c r="F279" s="310"/>
      <c r="G279" s="291"/>
      <c r="H279" s="310"/>
      <c r="I279" s="310"/>
    </row>
    <row r="280" spans="1:9" ht="11.25">
      <c r="A280" s="310"/>
      <c r="B280" s="291"/>
      <c r="C280" s="310"/>
      <c r="D280" s="310"/>
      <c r="E280" s="311"/>
      <c r="F280" s="310"/>
      <c r="G280" s="291"/>
      <c r="H280" s="310"/>
      <c r="I280" s="310"/>
    </row>
    <row r="281" spans="1:9" ht="11.25">
      <c r="A281" s="310"/>
      <c r="B281" s="291"/>
      <c r="C281" s="310"/>
      <c r="D281" s="310"/>
      <c r="E281" s="311"/>
      <c r="F281" s="310"/>
      <c r="G281" s="291"/>
      <c r="H281" s="310"/>
      <c r="I281" s="310"/>
    </row>
    <row r="282" spans="1:9" ht="11.25">
      <c r="A282" s="310"/>
      <c r="B282" s="291"/>
      <c r="C282" s="310"/>
      <c r="D282" s="310"/>
      <c r="E282" s="311"/>
      <c r="F282" s="310"/>
      <c r="G282" s="291"/>
      <c r="H282" s="310"/>
      <c r="I282" s="310"/>
    </row>
    <row r="283" spans="1:9" ht="11.25">
      <c r="A283" s="310"/>
      <c r="B283" s="291"/>
      <c r="C283" s="310"/>
      <c r="D283" s="310"/>
      <c r="E283" s="311"/>
      <c r="F283" s="310"/>
      <c r="G283" s="291"/>
      <c r="H283" s="310"/>
      <c r="I283" s="310"/>
    </row>
    <row r="284" spans="1:9" ht="11.25">
      <c r="A284" s="310"/>
      <c r="B284" s="291"/>
      <c r="C284" s="310"/>
      <c r="D284" s="310"/>
      <c r="E284" s="311"/>
      <c r="F284" s="310"/>
      <c r="G284" s="291"/>
      <c r="H284" s="310"/>
      <c r="I284" s="310"/>
    </row>
    <row r="285" spans="1:9" ht="11.25">
      <c r="A285" s="310"/>
      <c r="B285" s="291"/>
      <c r="C285" s="310"/>
      <c r="D285" s="310"/>
      <c r="E285" s="311"/>
      <c r="F285" s="310"/>
      <c r="G285" s="291"/>
      <c r="H285" s="310"/>
      <c r="I285" s="310"/>
    </row>
    <row r="286" spans="1:9" ht="11.25">
      <c r="A286" s="310"/>
      <c r="B286" s="291"/>
      <c r="C286" s="310"/>
      <c r="D286" s="310"/>
      <c r="E286" s="311"/>
      <c r="F286" s="310"/>
      <c r="G286" s="291"/>
      <c r="H286" s="310"/>
      <c r="I286" s="310"/>
    </row>
    <row r="287" spans="1:9" ht="11.25">
      <c r="A287" s="310"/>
      <c r="B287" s="291"/>
      <c r="C287" s="310"/>
      <c r="D287" s="310"/>
      <c r="E287" s="311"/>
      <c r="F287" s="310"/>
      <c r="G287" s="291"/>
      <c r="H287" s="310"/>
      <c r="I287" s="310"/>
    </row>
    <row r="288" spans="1:9" ht="11.25">
      <c r="A288" s="310"/>
      <c r="B288" s="291"/>
      <c r="C288" s="310"/>
      <c r="D288" s="310"/>
      <c r="E288" s="311"/>
      <c r="F288" s="310"/>
      <c r="G288" s="291"/>
      <c r="H288" s="310"/>
      <c r="I288" s="310"/>
    </row>
    <row r="289" spans="1:9" ht="11.25">
      <c r="A289" s="310"/>
      <c r="B289" s="291"/>
      <c r="C289" s="310"/>
      <c r="D289" s="310"/>
      <c r="E289" s="311"/>
      <c r="F289" s="310"/>
      <c r="G289" s="291"/>
      <c r="H289" s="310"/>
      <c r="I289" s="310"/>
    </row>
    <row r="290" spans="1:9" ht="11.25">
      <c r="A290" s="310"/>
      <c r="B290" s="291"/>
      <c r="C290" s="310"/>
      <c r="D290" s="310"/>
      <c r="E290" s="311"/>
      <c r="F290" s="310"/>
      <c r="G290" s="291"/>
      <c r="H290" s="310"/>
      <c r="I290" s="310"/>
    </row>
    <row r="291" spans="1:9" ht="11.25">
      <c r="A291" s="310"/>
      <c r="B291" s="291"/>
      <c r="C291" s="310"/>
      <c r="D291" s="310"/>
      <c r="E291" s="311"/>
      <c r="F291" s="310"/>
      <c r="G291" s="291"/>
      <c r="H291" s="310"/>
      <c r="I291" s="310"/>
    </row>
    <row r="292" spans="1:9" ht="11.25">
      <c r="A292" s="310"/>
      <c r="B292" s="291"/>
      <c r="C292" s="310"/>
      <c r="D292" s="310"/>
      <c r="E292" s="311"/>
      <c r="F292" s="310"/>
      <c r="G292" s="291"/>
      <c r="H292" s="310"/>
      <c r="I292" s="310"/>
    </row>
    <row r="293" spans="1:9" ht="11.25">
      <c r="A293" s="310"/>
      <c r="B293" s="291"/>
      <c r="C293" s="310"/>
      <c r="D293" s="310"/>
      <c r="E293" s="311"/>
      <c r="F293" s="310"/>
      <c r="G293" s="291"/>
      <c r="H293" s="310"/>
      <c r="I293" s="310"/>
    </row>
    <row r="294" spans="1:9" ht="11.25">
      <c r="A294" s="310"/>
      <c r="B294" s="291"/>
      <c r="C294" s="310"/>
      <c r="D294" s="310"/>
      <c r="E294" s="311"/>
      <c r="F294" s="310"/>
      <c r="G294" s="291"/>
      <c r="H294" s="310"/>
      <c r="I294" s="310"/>
    </row>
    <row r="295" spans="1:9" ht="11.25">
      <c r="A295" s="310"/>
      <c r="B295" s="291"/>
      <c r="C295" s="310"/>
      <c r="D295" s="310"/>
      <c r="E295" s="311"/>
      <c r="F295" s="310"/>
      <c r="G295" s="291"/>
      <c r="H295" s="310"/>
      <c r="I295" s="310"/>
    </row>
    <row r="296" spans="1:9" ht="11.25">
      <c r="A296" s="310"/>
      <c r="B296" s="291"/>
      <c r="C296" s="310"/>
      <c r="D296" s="310"/>
      <c r="E296" s="311"/>
      <c r="F296" s="310"/>
      <c r="G296" s="291"/>
      <c r="H296" s="310"/>
      <c r="I296" s="310"/>
    </row>
    <row r="297" spans="1:9" ht="11.25">
      <c r="A297" s="310"/>
      <c r="B297" s="291"/>
      <c r="C297" s="310"/>
      <c r="D297" s="310"/>
      <c r="E297" s="311"/>
      <c r="F297" s="310"/>
      <c r="G297" s="291"/>
      <c r="H297" s="310"/>
      <c r="I297" s="310"/>
    </row>
    <row r="298" spans="1:9" ht="11.25">
      <c r="A298" s="310"/>
      <c r="B298" s="291"/>
      <c r="C298" s="310"/>
      <c r="D298" s="310"/>
      <c r="E298" s="311"/>
      <c r="F298" s="310"/>
      <c r="G298" s="291"/>
      <c r="H298" s="310"/>
      <c r="I298" s="310"/>
    </row>
    <row r="299" spans="1:9" ht="11.25">
      <c r="A299" s="310"/>
      <c r="B299" s="291"/>
      <c r="C299" s="310"/>
      <c r="D299" s="310"/>
      <c r="E299" s="311"/>
      <c r="F299" s="310"/>
      <c r="G299" s="291"/>
      <c r="H299" s="310"/>
      <c r="I299" s="310"/>
    </row>
    <row r="300" spans="1:9" ht="11.25">
      <c r="A300" s="310"/>
      <c r="B300" s="291"/>
      <c r="C300" s="310"/>
      <c r="D300" s="310"/>
      <c r="E300" s="311"/>
      <c r="F300" s="310"/>
      <c r="G300" s="291"/>
      <c r="H300" s="310"/>
      <c r="I300" s="310"/>
    </row>
    <row r="301" spans="1:9" ht="11.25">
      <c r="A301" s="310"/>
      <c r="B301" s="291"/>
      <c r="C301" s="310"/>
      <c r="D301" s="310"/>
      <c r="E301" s="311"/>
      <c r="F301" s="310"/>
      <c r="G301" s="291"/>
      <c r="H301" s="310"/>
      <c r="I301" s="310"/>
    </row>
    <row r="302" spans="1:9" ht="11.25">
      <c r="A302" s="310"/>
      <c r="B302" s="291"/>
      <c r="C302" s="310"/>
      <c r="D302" s="310"/>
      <c r="E302" s="311"/>
      <c r="F302" s="310"/>
      <c r="G302" s="291"/>
      <c r="H302" s="310"/>
      <c r="I302" s="310"/>
    </row>
    <row r="303" spans="1:9" ht="11.25">
      <c r="A303" s="310"/>
      <c r="B303" s="291"/>
      <c r="C303" s="310"/>
      <c r="D303" s="310"/>
      <c r="E303" s="311"/>
      <c r="F303" s="310"/>
      <c r="G303" s="291"/>
      <c r="H303" s="310"/>
      <c r="I303" s="310"/>
    </row>
    <row r="304" spans="1:9" ht="11.25">
      <c r="A304" s="310"/>
      <c r="B304" s="291"/>
      <c r="C304" s="310"/>
      <c r="D304" s="310"/>
      <c r="E304" s="311"/>
      <c r="F304" s="310"/>
      <c r="G304" s="291"/>
      <c r="H304" s="310"/>
      <c r="I304" s="310"/>
    </row>
    <row r="305" spans="1:9" ht="11.25">
      <c r="A305" s="310"/>
      <c r="B305" s="291"/>
      <c r="C305" s="310"/>
      <c r="D305" s="310"/>
      <c r="E305" s="311"/>
      <c r="F305" s="310"/>
      <c r="G305" s="291"/>
      <c r="H305" s="310"/>
      <c r="I305" s="310"/>
    </row>
    <row r="306" spans="1:9" ht="11.25">
      <c r="A306" s="310"/>
      <c r="B306" s="291"/>
      <c r="C306" s="310"/>
      <c r="D306" s="310"/>
      <c r="E306" s="311"/>
      <c r="F306" s="310"/>
      <c r="G306" s="291"/>
      <c r="H306" s="310"/>
      <c r="I306" s="310"/>
    </row>
    <row r="307" spans="1:9" ht="11.25">
      <c r="A307" s="310"/>
      <c r="B307" s="291"/>
      <c r="C307" s="310"/>
      <c r="D307" s="310"/>
      <c r="E307" s="311"/>
      <c r="F307" s="310"/>
      <c r="G307" s="291"/>
      <c r="H307" s="310"/>
      <c r="I307" s="310"/>
    </row>
    <row r="308" spans="1:9" ht="11.25">
      <c r="A308" s="310"/>
      <c r="B308" s="291"/>
      <c r="C308" s="310"/>
      <c r="D308" s="310"/>
      <c r="E308" s="311"/>
      <c r="F308" s="310"/>
      <c r="G308" s="291"/>
      <c r="H308" s="310"/>
      <c r="I308" s="310"/>
    </row>
    <row r="309" spans="1:9" ht="11.25">
      <c r="A309" s="310"/>
      <c r="B309" s="291"/>
      <c r="C309" s="310"/>
      <c r="D309" s="310"/>
      <c r="E309" s="311"/>
      <c r="F309" s="310"/>
      <c r="G309" s="291"/>
      <c r="H309" s="310"/>
      <c r="I309" s="310"/>
    </row>
    <row r="310" spans="1:9" ht="11.25">
      <c r="A310" s="310"/>
      <c r="B310" s="291"/>
      <c r="C310" s="310"/>
      <c r="D310" s="310"/>
      <c r="E310" s="311"/>
      <c r="F310" s="310"/>
      <c r="G310" s="291"/>
      <c r="H310" s="310"/>
      <c r="I310" s="310"/>
    </row>
    <row r="311" spans="1:9" ht="11.25">
      <c r="A311" s="310"/>
      <c r="B311" s="291"/>
      <c r="C311" s="310"/>
      <c r="D311" s="310"/>
      <c r="E311" s="311"/>
      <c r="F311" s="310"/>
      <c r="G311" s="291"/>
      <c r="H311" s="310"/>
      <c r="I311" s="310"/>
    </row>
    <row r="312" spans="1:9" ht="11.25">
      <c r="A312" s="310"/>
      <c r="B312" s="291"/>
      <c r="C312" s="310"/>
      <c r="D312" s="310"/>
      <c r="E312" s="311"/>
      <c r="F312" s="310"/>
      <c r="G312" s="291"/>
      <c r="H312" s="310"/>
      <c r="I312" s="310"/>
    </row>
    <row r="313" spans="1:9" ht="11.25">
      <c r="A313" s="310"/>
      <c r="B313" s="291"/>
      <c r="C313" s="310"/>
      <c r="D313" s="310"/>
      <c r="E313" s="311"/>
      <c r="F313" s="310"/>
      <c r="G313" s="291"/>
      <c r="H313" s="310"/>
      <c r="I313" s="310"/>
    </row>
    <row r="314" spans="1:9" ht="11.25">
      <c r="A314" s="310"/>
      <c r="B314" s="291"/>
      <c r="C314" s="310"/>
      <c r="D314" s="310"/>
      <c r="E314" s="311"/>
      <c r="F314" s="310"/>
      <c r="G314" s="291"/>
      <c r="H314" s="310"/>
      <c r="I314" s="310"/>
    </row>
    <row r="315" spans="1:9" ht="11.25">
      <c r="A315" s="310"/>
      <c r="B315" s="291"/>
      <c r="C315" s="310"/>
      <c r="D315" s="310"/>
      <c r="E315" s="311"/>
      <c r="F315" s="310"/>
      <c r="G315" s="291"/>
      <c r="H315" s="310"/>
      <c r="I315" s="310"/>
    </row>
    <row r="316" spans="1:9" ht="11.25">
      <c r="A316" s="310"/>
      <c r="B316" s="291"/>
      <c r="C316" s="310"/>
      <c r="D316" s="310"/>
      <c r="E316" s="311"/>
      <c r="F316" s="310"/>
      <c r="G316" s="291"/>
      <c r="H316" s="310"/>
      <c r="I316" s="310"/>
    </row>
    <row r="317" spans="1:9" ht="11.25">
      <c r="A317" s="310"/>
      <c r="B317" s="291"/>
      <c r="C317" s="310"/>
      <c r="D317" s="310"/>
      <c r="E317" s="311"/>
      <c r="F317" s="310"/>
      <c r="G317" s="291"/>
      <c r="H317" s="310"/>
      <c r="I317" s="310"/>
    </row>
    <row r="318" spans="1:9" ht="11.25">
      <c r="A318" s="310"/>
      <c r="B318" s="291"/>
      <c r="C318" s="310"/>
      <c r="D318" s="310"/>
      <c r="E318" s="311"/>
      <c r="F318" s="310"/>
      <c r="G318" s="291"/>
      <c r="H318" s="310"/>
      <c r="I318" s="310"/>
    </row>
    <row r="319" spans="1:9" ht="11.25">
      <c r="A319" s="310"/>
      <c r="B319" s="291"/>
      <c r="C319" s="310"/>
      <c r="D319" s="310"/>
      <c r="E319" s="311"/>
      <c r="F319" s="310"/>
      <c r="G319" s="291"/>
      <c r="H319" s="310"/>
      <c r="I319" s="310"/>
    </row>
    <row r="320" spans="1:9" ht="11.25">
      <c r="A320" s="310"/>
      <c r="B320" s="291"/>
      <c r="C320" s="310"/>
      <c r="D320" s="310"/>
      <c r="E320" s="311"/>
      <c r="F320" s="310"/>
      <c r="G320" s="291"/>
      <c r="H320" s="310"/>
      <c r="I320" s="310"/>
    </row>
    <row r="321" spans="1:9" ht="11.25">
      <c r="A321" s="310"/>
      <c r="B321" s="291"/>
      <c r="C321" s="310"/>
      <c r="D321" s="310"/>
      <c r="E321" s="311"/>
      <c r="F321" s="310"/>
      <c r="G321" s="291"/>
      <c r="H321" s="310"/>
      <c r="I321" s="310"/>
    </row>
    <row r="322" spans="1:9" ht="11.25">
      <c r="A322" s="310"/>
      <c r="B322" s="291"/>
      <c r="C322" s="310"/>
      <c r="D322" s="310"/>
      <c r="E322" s="311"/>
      <c r="F322" s="310"/>
      <c r="G322" s="291"/>
      <c r="H322" s="310"/>
      <c r="I322" s="310"/>
    </row>
    <row r="323" spans="1:9" ht="11.25">
      <c r="A323" s="310"/>
      <c r="B323" s="291"/>
      <c r="C323" s="310"/>
      <c r="D323" s="310"/>
      <c r="E323" s="311"/>
      <c r="F323" s="310"/>
      <c r="G323" s="291"/>
      <c r="H323" s="310"/>
      <c r="I323" s="310"/>
    </row>
    <row r="324" spans="1:9" ht="11.25">
      <c r="A324" s="310"/>
      <c r="B324" s="291"/>
      <c r="C324" s="310"/>
      <c r="D324" s="310"/>
      <c r="E324" s="311"/>
      <c r="F324" s="310"/>
      <c r="G324" s="291"/>
      <c r="H324" s="310"/>
      <c r="I324" s="310"/>
    </row>
    <row r="325" spans="1:9" ht="11.25">
      <c r="A325" s="310"/>
      <c r="B325" s="291"/>
      <c r="C325" s="310"/>
      <c r="D325" s="310"/>
      <c r="E325" s="311"/>
      <c r="F325" s="310"/>
      <c r="G325" s="291"/>
      <c r="H325" s="310"/>
      <c r="I325" s="310"/>
    </row>
    <row r="326" spans="1:9" ht="11.25">
      <c r="A326" s="310"/>
      <c r="B326" s="291"/>
      <c r="C326" s="310"/>
      <c r="D326" s="310"/>
      <c r="E326" s="311"/>
      <c r="F326" s="310"/>
      <c r="G326" s="291"/>
      <c r="H326" s="310"/>
      <c r="I326" s="310"/>
    </row>
    <row r="327" spans="1:9" ht="11.25">
      <c r="A327" s="310"/>
      <c r="B327" s="291"/>
      <c r="C327" s="310"/>
      <c r="D327" s="310"/>
      <c r="E327" s="311"/>
      <c r="F327" s="310"/>
      <c r="G327" s="291"/>
      <c r="H327" s="310"/>
      <c r="I327" s="310"/>
    </row>
    <row r="328" spans="1:9" ht="11.25">
      <c r="A328" s="310"/>
      <c r="B328" s="291"/>
      <c r="C328" s="310"/>
      <c r="D328" s="310"/>
      <c r="E328" s="311"/>
      <c r="F328" s="310"/>
      <c r="G328" s="291"/>
      <c r="H328" s="310"/>
      <c r="I328" s="310"/>
    </row>
    <row r="329" spans="1:9" ht="11.25">
      <c r="A329" s="310"/>
      <c r="B329" s="291"/>
      <c r="C329" s="310"/>
      <c r="D329" s="310"/>
      <c r="E329" s="311"/>
      <c r="F329" s="310"/>
      <c r="G329" s="291"/>
      <c r="H329" s="310"/>
      <c r="I329" s="310"/>
    </row>
    <row r="330" spans="1:9" ht="11.25">
      <c r="A330" s="310"/>
      <c r="B330" s="291"/>
      <c r="C330" s="310"/>
      <c r="D330" s="310"/>
      <c r="E330" s="311"/>
      <c r="F330" s="310"/>
      <c r="G330" s="291"/>
      <c r="H330" s="310"/>
      <c r="I330" s="310"/>
    </row>
    <row r="331" spans="1:9" ht="11.25">
      <c r="A331" s="310"/>
      <c r="B331" s="291"/>
      <c r="C331" s="310"/>
      <c r="D331" s="310"/>
      <c r="E331" s="311"/>
      <c r="F331" s="310"/>
      <c r="G331" s="291"/>
      <c r="H331" s="310"/>
      <c r="I331" s="310"/>
    </row>
    <row r="332" spans="1:9" ht="11.25">
      <c r="A332" s="310"/>
      <c r="B332" s="291"/>
      <c r="C332" s="310"/>
      <c r="D332" s="310"/>
      <c r="E332" s="311"/>
      <c r="F332" s="310"/>
      <c r="G332" s="291"/>
      <c r="H332" s="310"/>
      <c r="I332" s="310"/>
    </row>
    <row r="333" spans="1:9" ht="11.25">
      <c r="A333" s="310"/>
      <c r="B333" s="291"/>
      <c r="C333" s="310"/>
      <c r="D333" s="310"/>
      <c r="E333" s="311"/>
      <c r="F333" s="310"/>
      <c r="G333" s="291"/>
      <c r="H333" s="310"/>
      <c r="I333" s="310"/>
    </row>
    <row r="334" spans="1:9" ht="11.25">
      <c r="A334" s="310"/>
      <c r="B334" s="291"/>
      <c r="C334" s="310"/>
      <c r="D334" s="310"/>
      <c r="E334" s="311"/>
      <c r="F334" s="310"/>
      <c r="G334" s="291"/>
      <c r="H334" s="310"/>
      <c r="I334" s="310"/>
    </row>
    <row r="335" spans="1:9" ht="11.25">
      <c r="A335" s="310"/>
      <c r="B335" s="291"/>
      <c r="C335" s="310"/>
      <c r="D335" s="310"/>
      <c r="E335" s="311"/>
      <c r="F335" s="310"/>
      <c r="G335" s="291"/>
      <c r="H335" s="310"/>
      <c r="I335" s="310"/>
    </row>
    <row r="336" spans="1:9" ht="11.25">
      <c r="A336" s="310"/>
      <c r="B336" s="291"/>
      <c r="C336" s="310"/>
      <c r="D336" s="310"/>
      <c r="E336" s="311"/>
      <c r="F336" s="310"/>
      <c r="G336" s="291"/>
      <c r="H336" s="310"/>
      <c r="I336" s="310"/>
    </row>
    <row r="337" spans="1:9" ht="11.25">
      <c r="A337" s="310"/>
      <c r="B337" s="291"/>
      <c r="C337" s="310"/>
      <c r="D337" s="310"/>
      <c r="E337" s="311"/>
      <c r="F337" s="310"/>
      <c r="G337" s="291"/>
      <c r="H337" s="310"/>
      <c r="I337" s="310"/>
    </row>
    <row r="338" spans="1:9" ht="11.25">
      <c r="A338" s="310"/>
      <c r="B338" s="291"/>
      <c r="C338" s="310"/>
      <c r="D338" s="310"/>
      <c r="E338" s="311"/>
      <c r="F338" s="310"/>
      <c r="G338" s="291"/>
      <c r="H338" s="310"/>
      <c r="I338" s="310"/>
    </row>
    <row r="339" spans="1:9" ht="11.25">
      <c r="A339" s="310"/>
      <c r="B339" s="291"/>
      <c r="C339" s="310"/>
      <c r="D339" s="310"/>
      <c r="E339" s="311"/>
      <c r="F339" s="310"/>
      <c r="G339" s="291"/>
      <c r="H339" s="310"/>
      <c r="I339" s="310"/>
    </row>
    <row r="340" spans="1:9" ht="11.25">
      <c r="A340" s="310"/>
      <c r="B340" s="291"/>
      <c r="C340" s="310"/>
      <c r="D340" s="310"/>
      <c r="E340" s="311"/>
      <c r="F340" s="310"/>
      <c r="G340" s="291"/>
      <c r="H340" s="310"/>
      <c r="I340" s="310"/>
    </row>
    <row r="341" spans="1:9" ht="11.25">
      <c r="A341" s="310"/>
      <c r="B341" s="291"/>
      <c r="C341" s="310"/>
      <c r="D341" s="310"/>
      <c r="E341" s="311"/>
      <c r="F341" s="310"/>
      <c r="G341" s="291"/>
      <c r="H341" s="310"/>
      <c r="I341" s="310"/>
    </row>
    <row r="342" spans="1:9" ht="11.25">
      <c r="A342" s="310"/>
      <c r="B342" s="291"/>
      <c r="C342" s="310"/>
      <c r="D342" s="310"/>
      <c r="E342" s="311"/>
      <c r="F342" s="310"/>
      <c r="G342" s="291"/>
      <c r="H342" s="310"/>
      <c r="I342" s="310"/>
    </row>
    <row r="343" spans="1:9" ht="11.25">
      <c r="A343" s="310"/>
      <c r="B343" s="291"/>
      <c r="C343" s="310"/>
      <c r="D343" s="310"/>
      <c r="E343" s="311"/>
      <c r="F343" s="310"/>
      <c r="G343" s="291"/>
      <c r="H343" s="310"/>
      <c r="I343" s="310"/>
    </row>
    <row r="344" spans="1:9" ht="11.25">
      <c r="A344" s="310"/>
      <c r="B344" s="291"/>
      <c r="C344" s="310"/>
      <c r="D344" s="310"/>
      <c r="E344" s="311"/>
      <c r="F344" s="310"/>
      <c r="G344" s="291"/>
      <c r="H344" s="310"/>
      <c r="I344" s="310"/>
    </row>
    <row r="345" spans="1:9" ht="11.25">
      <c r="A345" s="310"/>
      <c r="B345" s="291"/>
      <c r="C345" s="310"/>
      <c r="D345" s="310"/>
      <c r="E345" s="311"/>
      <c r="F345" s="310"/>
      <c r="G345" s="291"/>
      <c r="H345" s="310"/>
      <c r="I345" s="310"/>
    </row>
    <row r="346" spans="1:9" ht="11.25">
      <c r="A346" s="310"/>
      <c r="B346" s="291"/>
      <c r="C346" s="310"/>
      <c r="D346" s="310"/>
      <c r="E346" s="311"/>
      <c r="F346" s="310"/>
      <c r="G346" s="291"/>
      <c r="H346" s="310"/>
      <c r="I346" s="310"/>
    </row>
    <row r="347" spans="1:9" ht="11.25">
      <c r="A347" s="310"/>
      <c r="B347" s="291"/>
      <c r="C347" s="310"/>
      <c r="D347" s="310"/>
      <c r="E347" s="311"/>
      <c r="F347" s="310"/>
      <c r="G347" s="291"/>
      <c r="H347" s="310"/>
      <c r="I347" s="310"/>
    </row>
    <row r="348" spans="1:9" ht="11.25">
      <c r="A348" s="310"/>
      <c r="B348" s="291"/>
      <c r="C348" s="310"/>
      <c r="D348" s="310"/>
      <c r="E348" s="311"/>
      <c r="F348" s="310"/>
      <c r="G348" s="291"/>
      <c r="H348" s="310"/>
      <c r="I348" s="310"/>
    </row>
    <row r="349" spans="1:9" ht="11.25">
      <c r="A349" s="310"/>
      <c r="B349" s="291"/>
      <c r="C349" s="310"/>
      <c r="D349" s="310"/>
      <c r="E349" s="311"/>
      <c r="F349" s="310"/>
      <c r="G349" s="291"/>
      <c r="H349" s="310"/>
      <c r="I349" s="310"/>
    </row>
    <row r="350" spans="1:9" ht="11.25">
      <c r="A350" s="310"/>
      <c r="B350" s="291"/>
      <c r="C350" s="310"/>
      <c r="D350" s="310"/>
      <c r="E350" s="311"/>
      <c r="F350" s="310"/>
      <c r="G350" s="291"/>
      <c r="H350" s="310"/>
      <c r="I350" s="310"/>
    </row>
    <row r="351" spans="1:9" ht="11.25">
      <c r="A351" s="310"/>
      <c r="B351" s="291"/>
      <c r="C351" s="310"/>
      <c r="D351" s="310"/>
      <c r="E351" s="311"/>
      <c r="F351" s="310"/>
      <c r="G351" s="291"/>
      <c r="H351" s="310"/>
      <c r="I351" s="310"/>
    </row>
    <row r="352" spans="1:9" ht="11.25">
      <c r="A352" s="310"/>
      <c r="B352" s="291"/>
      <c r="C352" s="310"/>
      <c r="D352" s="310"/>
      <c r="E352" s="311"/>
      <c r="F352" s="310"/>
      <c r="G352" s="291"/>
      <c r="H352" s="310"/>
      <c r="I352" s="310"/>
    </row>
    <row r="353" spans="1:9" ht="11.25">
      <c r="A353" s="310"/>
      <c r="B353" s="291"/>
      <c r="C353" s="310"/>
      <c r="D353" s="310"/>
      <c r="E353" s="311"/>
      <c r="F353" s="310"/>
      <c r="G353" s="291"/>
      <c r="H353" s="310"/>
      <c r="I353" s="310"/>
    </row>
    <row r="354" spans="1:9" ht="11.25">
      <c r="A354" s="310"/>
      <c r="B354" s="291"/>
      <c r="C354" s="310"/>
      <c r="D354" s="310"/>
      <c r="E354" s="311"/>
      <c r="F354" s="310"/>
      <c r="G354" s="291"/>
      <c r="H354" s="310"/>
      <c r="I354" s="310"/>
    </row>
    <row r="355" spans="1:9" ht="11.25">
      <c r="A355" s="310"/>
      <c r="B355" s="291"/>
      <c r="C355" s="310"/>
      <c r="D355" s="310"/>
      <c r="E355" s="311"/>
      <c r="F355" s="310"/>
      <c r="G355" s="291"/>
      <c r="H355" s="310"/>
      <c r="I355" s="310"/>
    </row>
    <row r="356" spans="1:9" ht="11.25">
      <c r="A356" s="310"/>
      <c r="B356" s="291"/>
      <c r="C356" s="310"/>
      <c r="D356" s="310"/>
      <c r="E356" s="311"/>
      <c r="F356" s="310"/>
      <c r="G356" s="291"/>
      <c r="H356" s="310"/>
      <c r="I356" s="310"/>
    </row>
    <row r="357" spans="1:9" ht="11.25">
      <c r="A357" s="310"/>
      <c r="B357" s="291"/>
      <c r="C357" s="310"/>
      <c r="D357" s="310"/>
      <c r="E357" s="311"/>
      <c r="F357" s="310"/>
      <c r="G357" s="291"/>
      <c r="H357" s="310"/>
      <c r="I357" s="310"/>
    </row>
    <row r="358" spans="1:9" ht="11.25">
      <c r="A358" s="310"/>
      <c r="B358" s="291"/>
      <c r="C358" s="310"/>
      <c r="D358" s="310"/>
      <c r="E358" s="311"/>
      <c r="F358" s="310"/>
      <c r="G358" s="291"/>
      <c r="H358" s="310"/>
      <c r="I358" s="310"/>
    </row>
    <row r="359" spans="1:9" ht="11.25">
      <c r="A359" s="310"/>
      <c r="B359" s="291"/>
      <c r="C359" s="310"/>
      <c r="D359" s="310"/>
      <c r="E359" s="311"/>
      <c r="F359" s="310"/>
      <c r="G359" s="291"/>
      <c r="H359" s="310"/>
      <c r="I359" s="310"/>
    </row>
    <row r="360" spans="1:9" ht="11.25">
      <c r="A360" s="310"/>
      <c r="B360" s="291"/>
      <c r="C360" s="310"/>
      <c r="D360" s="310"/>
      <c r="E360" s="311"/>
      <c r="F360" s="310"/>
      <c r="G360" s="291"/>
      <c r="H360" s="310"/>
      <c r="I360" s="310"/>
    </row>
    <row r="361" spans="1:9" ht="11.25">
      <c r="A361" s="310"/>
      <c r="B361" s="291"/>
      <c r="C361" s="310"/>
      <c r="D361" s="310"/>
      <c r="E361" s="311"/>
      <c r="F361" s="310"/>
      <c r="G361" s="291"/>
      <c r="H361" s="310"/>
      <c r="I361" s="310"/>
    </row>
    <row r="362" spans="1:9" ht="11.25">
      <c r="A362" s="310"/>
      <c r="B362" s="291"/>
      <c r="C362" s="310"/>
      <c r="D362" s="310"/>
      <c r="E362" s="311"/>
      <c r="F362" s="310"/>
      <c r="G362" s="291"/>
      <c r="H362" s="310"/>
      <c r="I362" s="310"/>
    </row>
    <row r="363" spans="1:9" ht="11.25">
      <c r="A363" s="310"/>
      <c r="B363" s="291"/>
      <c r="C363" s="310"/>
      <c r="D363" s="310"/>
      <c r="E363" s="311"/>
      <c r="F363" s="310"/>
      <c r="G363" s="291"/>
      <c r="H363" s="310"/>
      <c r="I363" s="310"/>
    </row>
    <row r="364" spans="1:9" ht="11.25">
      <c r="A364" s="310"/>
      <c r="B364" s="291"/>
      <c r="C364" s="310"/>
      <c r="D364" s="310"/>
      <c r="E364" s="311"/>
      <c r="F364" s="310"/>
      <c r="G364" s="291"/>
      <c r="H364" s="310"/>
      <c r="I364" s="310"/>
    </row>
    <row r="365" spans="1:9" ht="11.25">
      <c r="A365" s="310"/>
      <c r="B365" s="291"/>
      <c r="C365" s="310"/>
      <c r="D365" s="310"/>
      <c r="E365" s="311"/>
      <c r="F365" s="310"/>
      <c r="G365" s="291"/>
      <c r="H365" s="310"/>
      <c r="I365" s="310"/>
    </row>
    <row r="366" spans="1:9" ht="11.25">
      <c r="A366" s="310"/>
      <c r="B366" s="291"/>
      <c r="C366" s="310"/>
      <c r="D366" s="310"/>
      <c r="E366" s="311"/>
      <c r="F366" s="310"/>
      <c r="G366" s="291"/>
      <c r="H366" s="310"/>
      <c r="I366" s="310"/>
    </row>
    <row r="367" spans="1:9" ht="11.25">
      <c r="A367" s="310"/>
      <c r="B367" s="291"/>
      <c r="C367" s="310"/>
      <c r="D367" s="310"/>
      <c r="E367" s="311"/>
      <c r="F367" s="310"/>
      <c r="G367" s="291"/>
      <c r="H367" s="310"/>
      <c r="I367" s="310"/>
    </row>
    <row r="368" spans="1:9" ht="11.25">
      <c r="A368" s="310"/>
      <c r="B368" s="291"/>
      <c r="C368" s="310"/>
      <c r="D368" s="310"/>
      <c r="E368" s="311"/>
      <c r="F368" s="310"/>
      <c r="G368" s="291"/>
      <c r="H368" s="310"/>
      <c r="I368" s="310"/>
    </row>
    <row r="369" spans="1:9" ht="11.25">
      <c r="A369" s="310"/>
      <c r="B369" s="291"/>
      <c r="C369" s="310"/>
      <c r="D369" s="310"/>
      <c r="E369" s="311"/>
      <c r="F369" s="310"/>
      <c r="G369" s="291"/>
      <c r="H369" s="310"/>
      <c r="I369" s="310"/>
    </row>
    <row r="370" spans="1:9" ht="11.25">
      <c r="A370" s="310"/>
      <c r="B370" s="291"/>
      <c r="C370" s="310"/>
      <c r="D370" s="310"/>
      <c r="E370" s="311"/>
      <c r="F370" s="310"/>
      <c r="G370" s="291"/>
      <c r="H370" s="310"/>
      <c r="I370" s="310"/>
    </row>
    <row r="371" spans="1:9" ht="11.25">
      <c r="A371" s="310"/>
      <c r="B371" s="291"/>
      <c r="C371" s="310"/>
      <c r="D371" s="310"/>
      <c r="E371" s="311"/>
      <c r="F371" s="310"/>
      <c r="G371" s="291"/>
      <c r="H371" s="310"/>
      <c r="I371" s="310"/>
    </row>
    <row r="372" spans="1:9" ht="11.25">
      <c r="A372" s="310"/>
      <c r="B372" s="291"/>
      <c r="C372" s="310"/>
      <c r="D372" s="310"/>
      <c r="E372" s="311"/>
      <c r="F372" s="310"/>
      <c r="G372" s="291"/>
      <c r="H372" s="310"/>
      <c r="I372" s="310"/>
    </row>
    <row r="373" spans="1:9" ht="11.25">
      <c r="A373" s="310"/>
      <c r="B373" s="291"/>
      <c r="C373" s="310"/>
      <c r="D373" s="310"/>
      <c r="E373" s="311"/>
      <c r="F373" s="310"/>
      <c r="G373" s="291"/>
      <c r="H373" s="310"/>
      <c r="I373" s="310"/>
    </row>
    <row r="374" spans="1:9" ht="11.25">
      <c r="A374" s="310"/>
      <c r="B374" s="291"/>
      <c r="C374" s="310"/>
      <c r="D374" s="310"/>
      <c r="E374" s="311"/>
      <c r="F374" s="310"/>
      <c r="G374" s="291"/>
      <c r="H374" s="310"/>
      <c r="I374" s="310"/>
    </row>
    <row r="375" spans="1:9" ht="11.25">
      <c r="A375" s="310"/>
      <c r="B375" s="291"/>
      <c r="C375" s="310"/>
      <c r="D375" s="310"/>
      <c r="E375" s="311"/>
      <c r="F375" s="310"/>
      <c r="G375" s="291"/>
      <c r="H375" s="310"/>
      <c r="I375" s="310"/>
    </row>
    <row r="376" spans="1:9" ht="11.25">
      <c r="A376" s="310"/>
      <c r="B376" s="291"/>
      <c r="C376" s="310"/>
      <c r="D376" s="310"/>
      <c r="E376" s="311"/>
      <c r="F376" s="310"/>
      <c r="G376" s="291"/>
      <c r="H376" s="310"/>
      <c r="I376" s="310"/>
    </row>
    <row r="377" spans="1:9" ht="11.25">
      <c r="A377" s="310"/>
      <c r="B377" s="291"/>
      <c r="C377" s="310"/>
      <c r="D377" s="310"/>
      <c r="E377" s="311"/>
      <c r="F377" s="310"/>
      <c r="G377" s="291"/>
      <c r="H377" s="310"/>
      <c r="I377" s="310"/>
    </row>
    <row r="378" spans="1:9" ht="11.25">
      <c r="A378" s="310"/>
      <c r="B378" s="291"/>
      <c r="C378" s="310"/>
      <c r="D378" s="310"/>
      <c r="E378" s="311"/>
      <c r="F378" s="310"/>
      <c r="G378" s="291"/>
      <c r="H378" s="310"/>
      <c r="I378" s="310"/>
    </row>
    <row r="379" spans="1:9" ht="11.25">
      <c r="A379" s="310"/>
      <c r="B379" s="291"/>
      <c r="C379" s="310"/>
      <c r="D379" s="310"/>
      <c r="E379" s="311"/>
      <c r="F379" s="310"/>
      <c r="G379" s="291"/>
      <c r="H379" s="310"/>
      <c r="I379" s="310"/>
    </row>
    <row r="380" spans="1:9" ht="11.25">
      <c r="A380" s="310"/>
      <c r="B380" s="291"/>
      <c r="C380" s="310"/>
      <c r="D380" s="310"/>
      <c r="E380" s="311"/>
      <c r="F380" s="310"/>
      <c r="G380" s="291"/>
      <c r="H380" s="310"/>
      <c r="I380" s="310"/>
    </row>
    <row r="381" spans="1:9" ht="11.25">
      <c r="A381" s="310"/>
      <c r="B381" s="291"/>
      <c r="C381" s="310"/>
      <c r="D381" s="310"/>
      <c r="E381" s="311"/>
      <c r="F381" s="310"/>
      <c r="G381" s="291"/>
      <c r="H381" s="310"/>
      <c r="I381" s="310"/>
    </row>
    <row r="382" spans="1:9" ht="11.25">
      <c r="A382" s="310"/>
      <c r="B382" s="291"/>
      <c r="C382" s="310"/>
      <c r="D382" s="310"/>
      <c r="E382" s="311"/>
      <c r="F382" s="310"/>
      <c r="G382" s="291"/>
      <c r="H382" s="310"/>
      <c r="I382" s="310"/>
    </row>
    <row r="383" spans="1:9" ht="11.25">
      <c r="A383" s="310"/>
      <c r="B383" s="291"/>
      <c r="C383" s="310"/>
      <c r="D383" s="310"/>
      <c r="E383" s="311"/>
      <c r="F383" s="310"/>
      <c r="G383" s="291"/>
      <c r="H383" s="310"/>
      <c r="I383" s="310"/>
    </row>
    <row r="384" spans="1:9" ht="11.25">
      <c r="A384" s="310"/>
      <c r="B384" s="291"/>
      <c r="C384" s="310"/>
      <c r="D384" s="310"/>
      <c r="E384" s="311"/>
      <c r="F384" s="310"/>
      <c r="G384" s="291"/>
      <c r="H384" s="310"/>
      <c r="I384" s="310"/>
    </row>
    <row r="385" spans="1:9" ht="11.25">
      <c r="A385" s="310"/>
      <c r="B385" s="291"/>
      <c r="C385" s="310"/>
      <c r="D385" s="310"/>
      <c r="E385" s="311"/>
      <c r="F385" s="310"/>
      <c r="G385" s="291"/>
      <c r="H385" s="310"/>
      <c r="I385" s="310"/>
    </row>
    <row r="386" spans="1:9" ht="11.25">
      <c r="A386" s="310"/>
      <c r="B386" s="291"/>
      <c r="C386" s="310"/>
      <c r="D386" s="310"/>
      <c r="E386" s="311"/>
      <c r="F386" s="310"/>
      <c r="G386" s="291"/>
      <c r="H386" s="310"/>
      <c r="I386" s="310"/>
    </row>
    <row r="387" spans="1:9" ht="11.25">
      <c r="A387" s="310"/>
      <c r="B387" s="291"/>
      <c r="C387" s="310"/>
      <c r="D387" s="310"/>
      <c r="E387" s="311"/>
      <c r="F387" s="310"/>
      <c r="G387" s="291"/>
      <c r="H387" s="310"/>
      <c r="I387" s="310"/>
    </row>
    <row r="388" spans="1:9" ht="11.25">
      <c r="A388" s="310"/>
      <c r="B388" s="291"/>
      <c r="C388" s="310"/>
      <c r="D388" s="310"/>
      <c r="E388" s="311"/>
      <c r="F388" s="310"/>
      <c r="G388" s="291"/>
      <c r="H388" s="310"/>
      <c r="I388" s="310"/>
    </row>
    <row r="389" spans="1:9" ht="11.25">
      <c r="A389" s="310"/>
      <c r="B389" s="291"/>
      <c r="C389" s="310"/>
      <c r="D389" s="310"/>
      <c r="E389" s="311"/>
      <c r="F389" s="310"/>
      <c r="G389" s="291"/>
      <c r="H389" s="310"/>
      <c r="I389" s="310"/>
    </row>
    <row r="390" spans="1:9" ht="11.25">
      <c r="A390" s="310"/>
      <c r="B390" s="291"/>
      <c r="C390" s="310"/>
      <c r="D390" s="310"/>
      <c r="E390" s="311"/>
      <c r="F390" s="310"/>
      <c r="G390" s="291"/>
      <c r="H390" s="310"/>
      <c r="I390" s="310"/>
    </row>
    <row r="391" spans="1:9" ht="11.25">
      <c r="A391" s="310"/>
      <c r="B391" s="291"/>
      <c r="C391" s="310"/>
      <c r="D391" s="310"/>
      <c r="E391" s="311"/>
      <c r="F391" s="310"/>
      <c r="G391" s="291"/>
      <c r="H391" s="310"/>
      <c r="I391" s="310"/>
    </row>
    <row r="392" spans="1:9" ht="11.25">
      <c r="A392" s="310"/>
      <c r="B392" s="291"/>
      <c r="C392" s="310"/>
      <c r="D392" s="310"/>
      <c r="E392" s="311"/>
      <c r="F392" s="310"/>
      <c r="G392" s="291"/>
      <c r="H392" s="310"/>
      <c r="I392" s="310"/>
    </row>
    <row r="393" spans="1:9" ht="11.25">
      <c r="A393" s="310"/>
      <c r="B393" s="291"/>
      <c r="C393" s="310"/>
      <c r="D393" s="310"/>
      <c r="E393" s="311"/>
      <c r="F393" s="310"/>
      <c r="G393" s="291"/>
      <c r="H393" s="310"/>
      <c r="I393" s="310"/>
    </row>
    <row r="394" spans="1:9" ht="11.25">
      <c r="A394" s="310"/>
      <c r="B394" s="291"/>
      <c r="C394" s="310"/>
      <c r="D394" s="310"/>
      <c r="E394" s="311"/>
      <c r="F394" s="310"/>
      <c r="G394" s="291"/>
      <c r="H394" s="310"/>
      <c r="I394" s="310"/>
    </row>
    <row r="395" spans="1:9" ht="11.25">
      <c r="A395" s="310"/>
      <c r="B395" s="291"/>
      <c r="C395" s="310"/>
      <c r="D395" s="310"/>
      <c r="E395" s="311"/>
      <c r="F395" s="310"/>
      <c r="G395" s="291"/>
      <c r="H395" s="310"/>
      <c r="I395" s="310"/>
    </row>
    <row r="396" spans="1:9" ht="11.25">
      <c r="A396" s="310"/>
      <c r="B396" s="291"/>
      <c r="C396" s="310"/>
      <c r="D396" s="310"/>
      <c r="E396" s="311"/>
      <c r="F396" s="310"/>
      <c r="G396" s="291"/>
      <c r="H396" s="310"/>
      <c r="I396" s="310"/>
    </row>
    <row r="397" spans="1:9" ht="11.25">
      <c r="A397" s="310"/>
      <c r="B397" s="291"/>
      <c r="C397" s="310"/>
      <c r="D397" s="310"/>
      <c r="E397" s="311"/>
      <c r="F397" s="310"/>
      <c r="G397" s="291"/>
      <c r="H397" s="310"/>
      <c r="I397" s="310"/>
    </row>
    <row r="398" spans="1:9" ht="11.25">
      <c r="A398" s="310"/>
      <c r="B398" s="291"/>
      <c r="C398" s="310"/>
      <c r="D398" s="310"/>
      <c r="E398" s="311"/>
      <c r="F398" s="310"/>
      <c r="G398" s="291"/>
      <c r="H398" s="310"/>
      <c r="I398" s="310"/>
    </row>
    <row r="399" spans="1:9" ht="11.25">
      <c r="A399" s="310"/>
      <c r="B399" s="291"/>
      <c r="C399" s="310"/>
      <c r="D399" s="310"/>
      <c r="E399" s="311"/>
      <c r="F399" s="310"/>
      <c r="G399" s="291"/>
      <c r="H399" s="310"/>
      <c r="I399" s="310"/>
    </row>
    <row r="400" spans="1:9" ht="11.25">
      <c r="A400" s="310"/>
      <c r="B400" s="291"/>
      <c r="C400" s="310"/>
      <c r="D400" s="310"/>
      <c r="E400" s="311"/>
      <c r="F400" s="310"/>
      <c r="G400" s="291"/>
      <c r="H400" s="310"/>
      <c r="I400" s="310"/>
    </row>
    <row r="401" spans="1:9" ht="11.25">
      <c r="A401" s="310"/>
      <c r="B401" s="291"/>
      <c r="C401" s="310"/>
      <c r="D401" s="310"/>
      <c r="E401" s="311"/>
      <c r="F401" s="310"/>
      <c r="G401" s="291"/>
      <c r="H401" s="310"/>
      <c r="I401" s="310"/>
    </row>
    <row r="402" spans="1:9" ht="11.25">
      <c r="A402" s="310"/>
      <c r="B402" s="291"/>
      <c r="C402" s="310"/>
      <c r="D402" s="310"/>
      <c r="E402" s="311"/>
      <c r="F402" s="310"/>
      <c r="G402" s="291"/>
      <c r="H402" s="310"/>
      <c r="I402" s="310"/>
    </row>
    <row r="403" spans="1:9" ht="11.25">
      <c r="A403" s="310"/>
      <c r="B403" s="291"/>
      <c r="C403" s="310"/>
      <c r="D403" s="310"/>
      <c r="E403" s="311"/>
      <c r="F403" s="310"/>
      <c r="G403" s="291"/>
      <c r="H403" s="310"/>
      <c r="I403" s="310"/>
    </row>
    <row r="404" spans="1:9" ht="11.25">
      <c r="A404" s="310"/>
      <c r="B404" s="291"/>
      <c r="C404" s="310"/>
      <c r="D404" s="310"/>
      <c r="E404" s="311"/>
      <c r="F404" s="310"/>
      <c r="G404" s="291"/>
      <c r="H404" s="310"/>
      <c r="I404" s="310"/>
    </row>
    <row r="405" spans="1:9" ht="11.25">
      <c r="A405" s="310"/>
      <c r="B405" s="291"/>
      <c r="C405" s="310"/>
      <c r="D405" s="310"/>
      <c r="E405" s="311"/>
      <c r="F405" s="310"/>
      <c r="G405" s="291"/>
      <c r="H405" s="310"/>
      <c r="I405" s="310"/>
    </row>
    <row r="406" spans="1:9" ht="11.25">
      <c r="A406" s="310"/>
      <c r="B406" s="291"/>
      <c r="C406" s="310"/>
      <c r="D406" s="310"/>
      <c r="E406" s="311"/>
      <c r="F406" s="310"/>
      <c r="G406" s="291"/>
      <c r="H406" s="310"/>
      <c r="I406" s="310"/>
    </row>
    <row r="407" spans="1:9" ht="11.25">
      <c r="A407" s="310"/>
      <c r="B407" s="291"/>
      <c r="C407" s="310"/>
      <c r="D407" s="310"/>
      <c r="E407" s="311"/>
      <c r="F407" s="310"/>
      <c r="G407" s="291"/>
      <c r="H407" s="310"/>
      <c r="I407" s="310"/>
    </row>
    <row r="408" spans="1:9" ht="11.25">
      <c r="A408" s="310"/>
      <c r="B408" s="291"/>
      <c r="C408" s="310"/>
      <c r="D408" s="310"/>
      <c r="E408" s="311"/>
      <c r="F408" s="310"/>
      <c r="G408" s="291"/>
      <c r="H408" s="310"/>
      <c r="I408" s="310"/>
    </row>
    <row r="409" spans="1:9" ht="11.25">
      <c r="A409" s="310"/>
      <c r="B409" s="291"/>
      <c r="C409" s="310"/>
      <c r="D409" s="310"/>
      <c r="E409" s="311"/>
      <c r="F409" s="310"/>
      <c r="G409" s="291"/>
      <c r="H409" s="310"/>
      <c r="I409" s="310"/>
    </row>
    <row r="410" spans="1:9" ht="11.25">
      <c r="A410" s="310"/>
      <c r="B410" s="291"/>
      <c r="C410" s="310"/>
      <c r="D410" s="310"/>
      <c r="E410" s="311"/>
      <c r="F410" s="310"/>
      <c r="G410" s="291"/>
      <c r="H410" s="310"/>
      <c r="I410" s="310"/>
    </row>
    <row r="411" spans="1:9" ht="11.25">
      <c r="A411" s="310"/>
      <c r="B411" s="291"/>
      <c r="C411" s="310"/>
      <c r="D411" s="310"/>
      <c r="E411" s="311"/>
      <c r="F411" s="310"/>
      <c r="G411" s="291"/>
      <c r="H411" s="310"/>
      <c r="I411" s="310"/>
    </row>
    <row r="412" spans="1:9" ht="11.25">
      <c r="A412" s="310"/>
      <c r="B412" s="291"/>
      <c r="C412" s="310"/>
      <c r="D412" s="310"/>
      <c r="E412" s="311"/>
      <c r="F412" s="310"/>
      <c r="G412" s="291"/>
      <c r="H412" s="310"/>
      <c r="I412" s="310"/>
    </row>
    <row r="413" spans="1:9" ht="11.25">
      <c r="A413" s="310"/>
      <c r="B413" s="291"/>
      <c r="C413" s="310"/>
      <c r="D413" s="310"/>
      <c r="E413" s="311"/>
      <c r="F413" s="310"/>
      <c r="G413" s="291"/>
      <c r="H413" s="310"/>
      <c r="I413" s="310"/>
    </row>
    <row r="414" spans="1:9" ht="11.25">
      <c r="A414" s="310"/>
      <c r="B414" s="291"/>
      <c r="C414" s="310"/>
      <c r="D414" s="310"/>
      <c r="E414" s="311"/>
      <c r="F414" s="310"/>
      <c r="G414" s="291"/>
      <c r="H414" s="310"/>
      <c r="I414" s="310"/>
    </row>
    <row r="415" spans="1:9" ht="11.25">
      <c r="A415" s="310"/>
      <c r="B415" s="291"/>
      <c r="C415" s="310"/>
      <c r="D415" s="310"/>
      <c r="E415" s="311"/>
      <c r="F415" s="310"/>
      <c r="G415" s="291"/>
      <c r="H415" s="310"/>
      <c r="I415" s="310"/>
    </row>
    <row r="416" spans="1:9" ht="11.25">
      <c r="A416" s="310"/>
      <c r="B416" s="291"/>
      <c r="C416" s="310"/>
      <c r="D416" s="310"/>
      <c r="E416" s="311"/>
      <c r="F416" s="310"/>
      <c r="G416" s="291"/>
      <c r="H416" s="310"/>
      <c r="I416" s="310"/>
    </row>
    <row r="417" spans="1:9" ht="11.25">
      <c r="A417" s="310"/>
      <c r="B417" s="291"/>
      <c r="C417" s="310"/>
      <c r="D417" s="310"/>
      <c r="E417" s="311"/>
      <c r="F417" s="310"/>
      <c r="G417" s="291"/>
      <c r="H417" s="310"/>
      <c r="I417" s="310"/>
    </row>
    <row r="418" spans="1:9" ht="11.25">
      <c r="A418" s="310"/>
      <c r="B418" s="291"/>
      <c r="C418" s="310"/>
      <c r="D418" s="310"/>
      <c r="E418" s="311"/>
      <c r="F418" s="310"/>
      <c r="G418" s="291"/>
      <c r="H418" s="310"/>
      <c r="I418" s="310"/>
    </row>
    <row r="419" spans="1:9" ht="11.25">
      <c r="A419" s="310"/>
      <c r="B419" s="291"/>
      <c r="C419" s="310"/>
      <c r="D419" s="310"/>
      <c r="E419" s="311"/>
      <c r="F419" s="310"/>
      <c r="G419" s="291"/>
      <c r="H419" s="310"/>
      <c r="I419" s="310"/>
    </row>
    <row r="420" spans="1:9" ht="11.25">
      <c r="A420" s="310"/>
      <c r="B420" s="291"/>
      <c r="C420" s="310"/>
      <c r="D420" s="310"/>
      <c r="E420" s="311"/>
      <c r="F420" s="310"/>
      <c r="G420" s="291"/>
      <c r="H420" s="310"/>
      <c r="I420" s="310"/>
    </row>
    <row r="421" spans="1:9" ht="11.25">
      <c r="A421" s="310"/>
      <c r="B421" s="291"/>
      <c r="C421" s="310"/>
      <c r="D421" s="310"/>
      <c r="E421" s="311"/>
      <c r="F421" s="310"/>
      <c r="G421" s="291"/>
      <c r="H421" s="310"/>
      <c r="I421" s="310"/>
    </row>
    <row r="422" spans="1:9" ht="11.25">
      <c r="A422" s="310"/>
      <c r="B422" s="291"/>
      <c r="C422" s="310"/>
      <c r="D422" s="310"/>
      <c r="E422" s="311"/>
      <c r="F422" s="310"/>
      <c r="G422" s="291"/>
      <c r="H422" s="310"/>
      <c r="I422" s="310"/>
    </row>
    <row r="423" spans="1:9" ht="11.25">
      <c r="A423" s="310"/>
      <c r="B423" s="291"/>
      <c r="C423" s="310"/>
      <c r="D423" s="310"/>
      <c r="E423" s="311"/>
      <c r="F423" s="310"/>
      <c r="G423" s="291"/>
      <c r="H423" s="310"/>
      <c r="I423" s="310"/>
    </row>
    <row r="424" spans="1:9" ht="11.25">
      <c r="A424" s="310"/>
      <c r="B424" s="291"/>
      <c r="C424" s="310"/>
      <c r="D424" s="310"/>
      <c r="E424" s="311"/>
      <c r="F424" s="310"/>
      <c r="G424" s="291"/>
      <c r="H424" s="310"/>
      <c r="I424" s="310"/>
    </row>
    <row r="425" spans="1:9" ht="11.25">
      <c r="A425" s="310"/>
      <c r="B425" s="291"/>
      <c r="C425" s="310"/>
      <c r="D425" s="310"/>
      <c r="E425" s="311"/>
      <c r="F425" s="310"/>
      <c r="G425" s="291"/>
      <c r="H425" s="310"/>
      <c r="I425" s="310"/>
    </row>
    <row r="426" spans="1:9" ht="11.25">
      <c r="A426" s="310"/>
      <c r="B426" s="291"/>
      <c r="C426" s="310"/>
      <c r="D426" s="310"/>
      <c r="E426" s="311"/>
      <c r="F426" s="310"/>
      <c r="G426" s="291"/>
      <c r="H426" s="310"/>
      <c r="I426" s="310"/>
    </row>
    <row r="427" spans="1:9" ht="11.25">
      <c r="A427" s="310"/>
      <c r="B427" s="291"/>
      <c r="C427" s="310"/>
      <c r="D427" s="310"/>
      <c r="E427" s="311"/>
      <c r="F427" s="310"/>
      <c r="G427" s="291"/>
      <c r="H427" s="310"/>
      <c r="I427" s="310"/>
    </row>
    <row r="428" spans="1:9" ht="11.25">
      <c r="A428" s="310"/>
      <c r="B428" s="291"/>
      <c r="C428" s="310"/>
      <c r="D428" s="310"/>
      <c r="E428" s="311"/>
      <c r="F428" s="310"/>
      <c r="G428" s="291"/>
      <c r="H428" s="310"/>
      <c r="I428" s="310"/>
    </row>
    <row r="429" spans="1:9" ht="11.25">
      <c r="A429" s="310"/>
      <c r="B429" s="291"/>
      <c r="C429" s="310"/>
      <c r="D429" s="310"/>
      <c r="E429" s="311"/>
      <c r="F429" s="310"/>
      <c r="G429" s="291"/>
      <c r="H429" s="310"/>
      <c r="I429" s="310"/>
    </row>
    <row r="430" spans="1:9" ht="11.25">
      <c r="A430" s="310"/>
      <c r="B430" s="291"/>
      <c r="C430" s="310"/>
      <c r="D430" s="310"/>
      <c r="E430" s="311"/>
      <c r="F430" s="310"/>
      <c r="G430" s="291"/>
      <c r="H430" s="310"/>
      <c r="I430" s="310"/>
    </row>
    <row r="431" spans="1:9" ht="11.25">
      <c r="A431" s="310"/>
      <c r="B431" s="291"/>
      <c r="C431" s="310"/>
      <c r="D431" s="310"/>
      <c r="E431" s="311"/>
      <c r="F431" s="310"/>
      <c r="G431" s="291"/>
      <c r="H431" s="310"/>
      <c r="I431" s="310"/>
    </row>
    <row r="432" spans="1:9" ht="11.25">
      <c r="A432" s="310"/>
      <c r="B432" s="291"/>
      <c r="C432" s="310"/>
      <c r="D432" s="310"/>
      <c r="E432" s="311"/>
      <c r="F432" s="310"/>
      <c r="G432" s="291"/>
      <c r="H432" s="310"/>
      <c r="I432" s="310"/>
    </row>
    <row r="433" spans="1:9" ht="11.25">
      <c r="A433" s="310"/>
      <c r="B433" s="291"/>
      <c r="C433" s="310"/>
      <c r="D433" s="310"/>
      <c r="E433" s="311"/>
      <c r="F433" s="310"/>
      <c r="G433" s="291"/>
      <c r="H433" s="310"/>
      <c r="I433" s="310"/>
    </row>
    <row r="434" spans="1:9" ht="11.25">
      <c r="A434" s="310"/>
      <c r="B434" s="291"/>
      <c r="C434" s="310"/>
      <c r="D434" s="310"/>
      <c r="E434" s="311"/>
      <c r="F434" s="310"/>
      <c r="G434" s="291"/>
      <c r="H434" s="310"/>
      <c r="I434" s="310"/>
    </row>
    <row r="435" spans="1:9" ht="11.25">
      <c r="A435" s="310"/>
      <c r="B435" s="291"/>
      <c r="C435" s="310"/>
      <c r="D435" s="310"/>
      <c r="E435" s="311"/>
      <c r="F435" s="310"/>
      <c r="G435" s="291"/>
      <c r="H435" s="310"/>
      <c r="I435" s="310"/>
    </row>
    <row r="436" spans="1:9" ht="11.25">
      <c r="A436" s="310"/>
      <c r="B436" s="291"/>
      <c r="C436" s="310"/>
      <c r="D436" s="310"/>
      <c r="E436" s="311"/>
      <c r="F436" s="310"/>
      <c r="G436" s="291"/>
      <c r="H436" s="310"/>
      <c r="I436" s="310"/>
    </row>
    <row r="437" spans="1:9" ht="11.25">
      <c r="A437" s="310"/>
      <c r="B437" s="291"/>
      <c r="C437" s="310"/>
      <c r="D437" s="310"/>
      <c r="E437" s="311"/>
      <c r="F437" s="310"/>
      <c r="G437" s="291"/>
      <c r="H437" s="310"/>
      <c r="I437" s="310"/>
    </row>
    <row r="438" spans="1:9" ht="11.25">
      <c r="A438" s="310"/>
      <c r="B438" s="291"/>
      <c r="C438" s="310"/>
      <c r="D438" s="310"/>
      <c r="E438" s="311"/>
      <c r="F438" s="310"/>
      <c r="G438" s="291"/>
      <c r="H438" s="310"/>
      <c r="I438" s="310"/>
    </row>
    <row r="439" spans="1:9" ht="11.25">
      <c r="A439" s="310"/>
      <c r="B439" s="291"/>
      <c r="C439" s="310"/>
      <c r="D439" s="310"/>
      <c r="E439" s="311"/>
      <c r="F439" s="310"/>
      <c r="G439" s="291"/>
      <c r="H439" s="310"/>
      <c r="I439" s="310"/>
    </row>
    <row r="440" spans="1:9" ht="11.25">
      <c r="A440" s="310"/>
      <c r="B440" s="291"/>
      <c r="C440" s="310"/>
      <c r="D440" s="310"/>
      <c r="E440" s="311"/>
      <c r="F440" s="310"/>
      <c r="G440" s="291"/>
      <c r="H440" s="310"/>
      <c r="I440" s="310"/>
    </row>
    <row r="441" spans="1:9" ht="11.25">
      <c r="A441" s="310"/>
      <c r="B441" s="291"/>
      <c r="C441" s="310"/>
      <c r="D441" s="310"/>
      <c r="E441" s="311"/>
      <c r="F441" s="310"/>
      <c r="G441" s="291"/>
      <c r="H441" s="310"/>
      <c r="I441" s="310"/>
    </row>
    <row r="442" spans="1:9" ht="11.25">
      <c r="A442" s="310"/>
      <c r="B442" s="291"/>
      <c r="C442" s="310"/>
      <c r="D442" s="310"/>
      <c r="E442" s="311"/>
      <c r="F442" s="310"/>
      <c r="G442" s="291"/>
      <c r="H442" s="310"/>
      <c r="I442" s="310"/>
    </row>
    <row r="443" spans="1:9" ht="11.25">
      <c r="A443" s="310"/>
      <c r="B443" s="291"/>
      <c r="C443" s="310"/>
      <c r="D443" s="310"/>
      <c r="E443" s="311"/>
      <c r="F443" s="310"/>
      <c r="G443" s="291"/>
      <c r="H443" s="310"/>
      <c r="I443" s="310"/>
    </row>
    <row r="444" spans="1:9" ht="11.25">
      <c r="A444" s="310"/>
      <c r="B444" s="291"/>
      <c r="C444" s="310"/>
      <c r="D444" s="310"/>
      <c r="E444" s="311"/>
      <c r="F444" s="310"/>
      <c r="G444" s="291"/>
      <c r="H444" s="310"/>
      <c r="I444" s="310"/>
    </row>
    <row r="445" spans="1:9" ht="11.25">
      <c r="A445" s="310"/>
      <c r="B445" s="291"/>
      <c r="C445" s="310"/>
      <c r="D445" s="310"/>
      <c r="E445" s="311"/>
      <c r="F445" s="310"/>
      <c r="G445" s="291"/>
      <c r="H445" s="310"/>
      <c r="I445" s="310"/>
    </row>
    <row r="446" spans="1:9" ht="11.25">
      <c r="A446" s="310"/>
      <c r="B446" s="291"/>
      <c r="C446" s="310"/>
      <c r="D446" s="310"/>
      <c r="E446" s="311"/>
      <c r="F446" s="310"/>
      <c r="G446" s="291"/>
      <c r="H446" s="310"/>
      <c r="I446" s="310"/>
    </row>
    <row r="447" spans="1:9" ht="11.25">
      <c r="A447" s="310"/>
      <c r="B447" s="291"/>
      <c r="C447" s="310"/>
      <c r="D447" s="310"/>
      <c r="E447" s="311"/>
      <c r="F447" s="310"/>
      <c r="G447" s="291"/>
      <c r="H447" s="310"/>
      <c r="I447" s="310"/>
    </row>
    <row r="448" spans="1:9" ht="11.25">
      <c r="A448" s="310"/>
      <c r="B448" s="291"/>
      <c r="C448" s="310"/>
      <c r="D448" s="310"/>
      <c r="E448" s="311"/>
      <c r="F448" s="310"/>
      <c r="G448" s="291"/>
      <c r="H448" s="310"/>
      <c r="I448" s="310"/>
    </row>
    <row r="449" spans="1:9" ht="11.25">
      <c r="A449" s="310"/>
      <c r="B449" s="291"/>
      <c r="C449" s="310"/>
      <c r="D449" s="310"/>
      <c r="E449" s="311"/>
      <c r="F449" s="310"/>
      <c r="G449" s="291"/>
      <c r="H449" s="310"/>
      <c r="I449" s="310"/>
    </row>
    <row r="450" spans="1:9" ht="11.25">
      <c r="A450" s="310"/>
      <c r="B450" s="291"/>
      <c r="C450" s="310"/>
      <c r="D450" s="310"/>
      <c r="E450" s="311"/>
      <c r="F450" s="310"/>
      <c r="G450" s="291"/>
      <c r="H450" s="310"/>
      <c r="I450" s="310"/>
    </row>
    <row r="451" spans="1:9" ht="11.25">
      <c r="A451" s="310"/>
      <c r="B451" s="291"/>
      <c r="C451" s="310"/>
      <c r="D451" s="310"/>
      <c r="E451" s="311"/>
      <c r="F451" s="310"/>
      <c r="G451" s="291"/>
      <c r="H451" s="310"/>
      <c r="I451" s="310"/>
    </row>
    <row r="452" spans="1:9" ht="11.25">
      <c r="A452" s="310"/>
      <c r="B452" s="291"/>
      <c r="C452" s="310"/>
      <c r="D452" s="310"/>
      <c r="E452" s="311"/>
      <c r="F452" s="310"/>
      <c r="G452" s="291"/>
      <c r="H452" s="310"/>
      <c r="I452" s="310"/>
    </row>
    <row r="453" spans="1:9" ht="11.25">
      <c r="A453" s="310"/>
      <c r="B453" s="291"/>
      <c r="C453" s="310"/>
      <c r="D453" s="310"/>
      <c r="E453" s="311"/>
      <c r="F453" s="310"/>
      <c r="G453" s="291"/>
      <c r="H453" s="310"/>
      <c r="I453" s="310"/>
    </row>
    <row r="454" spans="1:9" ht="11.25">
      <c r="A454" s="310"/>
      <c r="B454" s="291"/>
      <c r="C454" s="310"/>
      <c r="D454" s="310"/>
      <c r="E454" s="311"/>
      <c r="F454" s="310"/>
      <c r="G454" s="291"/>
      <c r="H454" s="310"/>
      <c r="I454" s="310"/>
    </row>
    <row r="455" spans="1:9" ht="11.25">
      <c r="A455" s="310"/>
      <c r="B455" s="291"/>
      <c r="C455" s="310"/>
      <c r="D455" s="310"/>
      <c r="E455" s="311"/>
      <c r="F455" s="310"/>
      <c r="G455" s="291"/>
      <c r="H455" s="310"/>
      <c r="I455" s="310"/>
    </row>
    <row r="456" spans="1:9" ht="11.25">
      <c r="A456" s="310"/>
      <c r="B456" s="291"/>
      <c r="C456" s="310"/>
      <c r="D456" s="310"/>
      <c r="E456" s="311"/>
      <c r="F456" s="310"/>
      <c r="G456" s="291"/>
      <c r="H456" s="310"/>
      <c r="I456" s="310"/>
    </row>
    <row r="457" spans="1:9" ht="11.25">
      <c r="A457" s="310"/>
      <c r="B457" s="291"/>
      <c r="C457" s="310"/>
      <c r="D457" s="310"/>
      <c r="E457" s="311"/>
      <c r="F457" s="310"/>
      <c r="G457" s="291"/>
      <c r="H457" s="310"/>
      <c r="I457" s="310"/>
    </row>
    <row r="458" spans="1:9" ht="11.25">
      <c r="A458" s="310"/>
      <c r="B458" s="291"/>
      <c r="C458" s="310"/>
      <c r="D458" s="310"/>
      <c r="E458" s="311"/>
      <c r="F458" s="310"/>
      <c r="G458" s="291"/>
      <c r="H458" s="310"/>
      <c r="I458" s="310"/>
    </row>
    <row r="459" spans="1:9" ht="11.25">
      <c r="A459" s="310"/>
      <c r="B459" s="291"/>
      <c r="C459" s="310"/>
      <c r="D459" s="310"/>
      <c r="E459" s="311"/>
      <c r="F459" s="310"/>
      <c r="G459" s="291"/>
      <c r="H459" s="310"/>
      <c r="I459" s="310"/>
    </row>
    <row r="460" spans="1:9" ht="11.25">
      <c r="A460" s="310"/>
      <c r="B460" s="291"/>
      <c r="C460" s="310"/>
      <c r="D460" s="310"/>
      <c r="E460" s="311"/>
      <c r="F460" s="310"/>
      <c r="G460" s="291"/>
      <c r="H460" s="310"/>
      <c r="I460" s="310"/>
    </row>
    <row r="461" spans="1:9" ht="11.25">
      <c r="A461" s="310"/>
      <c r="B461" s="291"/>
      <c r="C461" s="310"/>
      <c r="D461" s="310"/>
      <c r="E461" s="311"/>
      <c r="F461" s="310"/>
      <c r="G461" s="291"/>
      <c r="H461" s="310"/>
      <c r="I461" s="310"/>
    </row>
    <row r="462" spans="1:9" ht="11.25">
      <c r="A462" s="310"/>
      <c r="B462" s="291"/>
      <c r="C462" s="310"/>
      <c r="D462" s="310"/>
      <c r="E462" s="311"/>
      <c r="F462" s="310"/>
      <c r="G462" s="291"/>
      <c r="H462" s="310"/>
      <c r="I462" s="310"/>
    </row>
    <row r="463" spans="1:9" ht="11.25">
      <c r="A463" s="310"/>
      <c r="B463" s="291"/>
      <c r="C463" s="310"/>
      <c r="D463" s="310"/>
      <c r="E463" s="311"/>
      <c r="F463" s="310"/>
      <c r="G463" s="291"/>
      <c r="H463" s="310"/>
      <c r="I463" s="310"/>
    </row>
    <row r="464" spans="1:9" ht="11.25">
      <c r="A464" s="310"/>
      <c r="B464" s="291"/>
      <c r="C464" s="310"/>
      <c r="D464" s="310"/>
      <c r="E464" s="311"/>
      <c r="F464" s="310"/>
      <c r="G464" s="291"/>
      <c r="H464" s="310"/>
      <c r="I464" s="310"/>
    </row>
    <row r="465" spans="1:9" ht="11.25">
      <c r="A465" s="310"/>
      <c r="B465" s="291"/>
      <c r="C465" s="310"/>
      <c r="D465" s="310"/>
      <c r="E465" s="311"/>
      <c r="F465" s="310"/>
      <c r="G465" s="291"/>
      <c r="H465" s="310"/>
      <c r="I465" s="310"/>
    </row>
    <row r="466" spans="1:9" ht="11.25">
      <c r="A466" s="310"/>
      <c r="B466" s="291"/>
      <c r="C466" s="310"/>
      <c r="D466" s="310"/>
      <c r="E466" s="311"/>
      <c r="F466" s="310"/>
      <c r="G466" s="291"/>
      <c r="H466" s="310"/>
      <c r="I466" s="310"/>
    </row>
    <row r="467" spans="1:9" ht="11.25">
      <c r="A467" s="310"/>
      <c r="B467" s="291"/>
      <c r="C467" s="310"/>
      <c r="D467" s="310"/>
      <c r="E467" s="311"/>
      <c r="F467" s="310"/>
      <c r="G467" s="291"/>
      <c r="H467" s="310"/>
      <c r="I467" s="310"/>
    </row>
    <row r="468" spans="1:9" ht="11.25">
      <c r="A468" s="310"/>
      <c r="B468" s="291"/>
      <c r="C468" s="310"/>
      <c r="D468" s="310"/>
      <c r="E468" s="311"/>
      <c r="F468" s="310"/>
      <c r="G468" s="291"/>
      <c r="H468" s="310"/>
      <c r="I468" s="310"/>
    </row>
    <row r="469" spans="1:9" ht="11.25">
      <c r="A469" s="310"/>
      <c r="B469" s="291"/>
      <c r="C469" s="310"/>
      <c r="D469" s="310"/>
      <c r="E469" s="311"/>
      <c r="F469" s="310"/>
      <c r="G469" s="291"/>
      <c r="H469" s="310"/>
      <c r="I469" s="310"/>
    </row>
    <row r="470" spans="1:9" ht="11.25">
      <c r="A470" s="310"/>
      <c r="B470" s="291"/>
      <c r="C470" s="310"/>
      <c r="D470" s="310"/>
      <c r="E470" s="311"/>
      <c r="F470" s="310"/>
      <c r="G470" s="291"/>
      <c r="H470" s="310"/>
      <c r="I470" s="310"/>
    </row>
    <row r="471" spans="1:9" ht="11.25">
      <c r="A471" s="310"/>
      <c r="B471" s="291"/>
      <c r="C471" s="310"/>
      <c r="D471" s="310"/>
      <c r="E471" s="311"/>
      <c r="F471" s="310"/>
      <c r="G471" s="291"/>
      <c r="H471" s="310"/>
      <c r="I471" s="310"/>
    </row>
    <row r="472" spans="1:9" ht="11.25">
      <c r="A472" s="310"/>
      <c r="B472" s="291"/>
      <c r="C472" s="310"/>
      <c r="D472" s="310"/>
      <c r="E472" s="311"/>
      <c r="F472" s="310"/>
      <c r="G472" s="291"/>
      <c r="H472" s="310"/>
      <c r="I472" s="310"/>
    </row>
    <row r="473" spans="1:9" ht="11.25">
      <c r="A473" s="310"/>
      <c r="B473" s="291"/>
      <c r="C473" s="310"/>
      <c r="D473" s="310"/>
      <c r="E473" s="311"/>
      <c r="F473" s="310"/>
      <c r="G473" s="291"/>
      <c r="H473" s="310"/>
      <c r="I473" s="310"/>
    </row>
    <row r="474" spans="1:9" ht="11.25">
      <c r="A474" s="310"/>
      <c r="B474" s="291"/>
      <c r="C474" s="310"/>
      <c r="D474" s="310"/>
      <c r="E474" s="311"/>
      <c r="F474" s="310"/>
      <c r="G474" s="291"/>
      <c r="H474" s="310"/>
      <c r="I474" s="310"/>
    </row>
    <row r="475" spans="1:9" ht="11.25">
      <c r="A475" s="310"/>
      <c r="B475" s="291"/>
      <c r="C475" s="310"/>
      <c r="D475" s="310"/>
      <c r="E475" s="311"/>
      <c r="F475" s="310"/>
      <c r="G475" s="291"/>
      <c r="H475" s="310"/>
      <c r="I475" s="310"/>
    </row>
    <row r="476" spans="1:9" ht="11.25">
      <c r="A476" s="310"/>
      <c r="B476" s="291"/>
      <c r="C476" s="310"/>
      <c r="D476" s="310"/>
      <c r="E476" s="311"/>
      <c r="F476" s="310"/>
      <c r="G476" s="291"/>
      <c r="H476" s="310"/>
      <c r="I476" s="310"/>
    </row>
    <row r="477" spans="1:9" ht="11.25">
      <c r="A477" s="310"/>
      <c r="B477" s="291"/>
      <c r="C477" s="310"/>
      <c r="D477" s="310"/>
      <c r="E477" s="311"/>
      <c r="F477" s="310"/>
      <c r="G477" s="291"/>
      <c r="H477" s="310"/>
      <c r="I477" s="310"/>
    </row>
    <row r="478" spans="1:9" ht="11.25">
      <c r="A478" s="310"/>
      <c r="B478" s="291"/>
      <c r="C478" s="310"/>
      <c r="D478" s="310"/>
      <c r="E478" s="311"/>
      <c r="F478" s="310"/>
      <c r="G478" s="291"/>
      <c r="H478" s="310"/>
      <c r="I478" s="310"/>
    </row>
    <row r="479" spans="1:9" ht="11.25">
      <c r="A479" s="310"/>
      <c r="B479" s="291"/>
      <c r="C479" s="310"/>
      <c r="D479" s="310"/>
      <c r="E479" s="311"/>
      <c r="F479" s="310"/>
      <c r="G479" s="291"/>
      <c r="H479" s="310"/>
      <c r="I479" s="310"/>
    </row>
    <row r="480" spans="1:9" ht="11.25">
      <c r="A480" s="310"/>
      <c r="B480" s="291"/>
      <c r="C480" s="310"/>
      <c r="D480" s="310"/>
      <c r="E480" s="311"/>
      <c r="F480" s="310"/>
      <c r="G480" s="291"/>
      <c r="H480" s="310"/>
      <c r="I480" s="310"/>
    </row>
    <row r="481" spans="1:9" ht="11.25">
      <c r="A481" s="310"/>
      <c r="B481" s="291"/>
      <c r="C481" s="310"/>
      <c r="D481" s="310"/>
      <c r="E481" s="311"/>
      <c r="F481" s="310"/>
      <c r="G481" s="291"/>
      <c r="H481" s="310"/>
      <c r="I481" s="310"/>
    </row>
    <row r="482" spans="1:9" ht="11.25">
      <c r="A482" s="310"/>
      <c r="B482" s="291"/>
      <c r="C482" s="310"/>
      <c r="D482" s="310"/>
      <c r="E482" s="311"/>
      <c r="F482" s="310"/>
      <c r="G482" s="291"/>
      <c r="H482" s="310"/>
      <c r="I482" s="310"/>
    </row>
    <row r="483" spans="1:9" ht="11.25">
      <c r="A483" s="310"/>
      <c r="B483" s="291"/>
      <c r="C483" s="310"/>
      <c r="D483" s="310"/>
      <c r="E483" s="311"/>
      <c r="F483" s="310"/>
      <c r="G483" s="291"/>
      <c r="H483" s="310"/>
      <c r="I483" s="310"/>
    </row>
    <row r="484" spans="1:9" ht="11.25">
      <c r="A484" s="310"/>
      <c r="B484" s="291"/>
      <c r="C484" s="310"/>
      <c r="D484" s="310"/>
      <c r="E484" s="311"/>
      <c r="F484" s="310"/>
      <c r="G484" s="291"/>
      <c r="H484" s="310"/>
      <c r="I484" s="310"/>
    </row>
    <row r="485" spans="1:9" ht="11.25">
      <c r="A485" s="310"/>
      <c r="B485" s="291"/>
      <c r="C485" s="310"/>
      <c r="D485" s="310"/>
      <c r="E485" s="311"/>
      <c r="F485" s="310"/>
      <c r="G485" s="291"/>
      <c r="H485" s="310"/>
      <c r="I485" s="310"/>
    </row>
    <row r="486" spans="1:9" ht="11.25">
      <c r="A486" s="310"/>
      <c r="B486" s="291"/>
      <c r="C486" s="310"/>
      <c r="D486" s="310"/>
      <c r="E486" s="311"/>
      <c r="F486" s="310"/>
      <c r="G486" s="291"/>
      <c r="H486" s="310"/>
      <c r="I486" s="310"/>
    </row>
    <row r="487" spans="1:9" ht="11.25">
      <c r="A487" s="310"/>
      <c r="B487" s="291"/>
      <c r="C487" s="310"/>
      <c r="D487" s="310"/>
      <c r="E487" s="311"/>
      <c r="F487" s="310"/>
      <c r="G487" s="291"/>
      <c r="H487" s="310"/>
      <c r="I487" s="310"/>
    </row>
    <row r="488" spans="1:9" ht="11.25">
      <c r="A488" s="310"/>
      <c r="B488" s="291"/>
      <c r="C488" s="310"/>
      <c r="D488" s="310"/>
      <c r="E488" s="311"/>
      <c r="F488" s="310"/>
      <c r="G488" s="291"/>
      <c r="H488" s="310"/>
      <c r="I488" s="310"/>
    </row>
    <row r="489" spans="1:9" ht="11.25">
      <c r="A489" s="310"/>
      <c r="B489" s="291"/>
      <c r="C489" s="310"/>
      <c r="D489" s="310"/>
      <c r="E489" s="311"/>
      <c r="F489" s="310"/>
      <c r="G489" s="291"/>
      <c r="H489" s="310"/>
      <c r="I489" s="310"/>
    </row>
    <row r="490" spans="1:9" ht="11.25">
      <c r="A490" s="310"/>
      <c r="B490" s="291"/>
      <c r="C490" s="310"/>
      <c r="D490" s="310"/>
      <c r="E490" s="311"/>
      <c r="F490" s="310"/>
      <c r="G490" s="291"/>
      <c r="H490" s="310"/>
      <c r="I490" s="310"/>
    </row>
    <row r="491" spans="1:9" ht="11.25">
      <c r="A491" s="310"/>
      <c r="B491" s="291"/>
      <c r="C491" s="310"/>
      <c r="D491" s="310"/>
      <c r="E491" s="311"/>
      <c r="F491" s="310"/>
      <c r="G491" s="291"/>
      <c r="H491" s="310"/>
      <c r="I491" s="310"/>
    </row>
    <row r="492" spans="1:9" ht="11.25">
      <c r="A492" s="310"/>
      <c r="B492" s="291"/>
      <c r="C492" s="310"/>
      <c r="D492" s="310"/>
      <c r="E492" s="311"/>
      <c r="F492" s="310"/>
      <c r="G492" s="291"/>
      <c r="H492" s="310"/>
      <c r="I492" s="310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P282"/>
  <sheetViews>
    <sheetView workbookViewId="0" topLeftCell="A1">
      <selection activeCell="D12" sqref="D12"/>
    </sheetView>
  </sheetViews>
  <sheetFormatPr defaultColWidth="9.140625" defaultRowHeight="12.75"/>
  <cols>
    <col min="1" max="1" width="22.28125" style="293" customWidth="1"/>
    <col min="2" max="2" width="12.7109375" style="292" customWidth="1"/>
    <col min="3" max="3" width="18.28125" style="293" customWidth="1"/>
    <col min="4" max="4" width="16.28125" style="293" customWidth="1"/>
    <col min="5" max="5" width="13.28125" style="318" customWidth="1"/>
    <col min="6" max="6" width="17.140625" style="293" customWidth="1"/>
    <col min="7" max="7" width="12.00390625" style="292" customWidth="1"/>
    <col min="8" max="8" width="9.00390625" style="293" customWidth="1"/>
    <col min="9" max="9" width="10.7109375" style="293" customWidth="1"/>
    <col min="10" max="22" width="9.140625" style="291" customWidth="1"/>
    <col min="23" max="16384" width="9.140625" style="292" customWidth="1"/>
  </cols>
  <sheetData>
    <row r="1" spans="1:9" ht="19.5" customHeight="1">
      <c r="A1" s="289" t="s">
        <v>785</v>
      </c>
      <c r="B1" s="289"/>
      <c r="C1" s="289"/>
      <c r="D1" s="289"/>
      <c r="E1" s="290"/>
      <c r="F1" s="289"/>
      <c r="G1" s="289"/>
      <c r="H1" s="289"/>
      <c r="I1" s="289"/>
    </row>
    <row r="2" spans="1:9" ht="19.5" customHeight="1">
      <c r="A2" s="289"/>
      <c r="B2" s="289"/>
      <c r="C2" s="289"/>
      <c r="D2" s="289"/>
      <c r="E2" s="290"/>
      <c r="F2" s="289"/>
      <c r="G2" s="289"/>
      <c r="H2" s="289"/>
      <c r="I2" s="289"/>
    </row>
    <row r="3" spans="2:9" ht="11.25">
      <c r="B3" s="294"/>
      <c r="C3" s="295"/>
      <c r="D3" s="296"/>
      <c r="E3" s="295"/>
      <c r="G3" s="297"/>
      <c r="H3" s="296"/>
      <c r="I3" s="319" t="s">
        <v>736</v>
      </c>
    </row>
    <row r="4" spans="1:9" ht="11.25">
      <c r="A4" s="321"/>
      <c r="B4" s="322" t="s">
        <v>408</v>
      </c>
      <c r="C4" s="322" t="s">
        <v>409</v>
      </c>
      <c r="D4" s="322" t="s">
        <v>409</v>
      </c>
      <c r="E4" s="322" t="s">
        <v>409</v>
      </c>
      <c r="F4" s="321" t="s">
        <v>410</v>
      </c>
      <c r="G4" s="298" t="s">
        <v>410</v>
      </c>
      <c r="H4" s="298"/>
      <c r="I4" s="298" t="s">
        <v>411</v>
      </c>
    </row>
    <row r="5" spans="1:9" ht="11.25">
      <c r="A5" s="323" t="s">
        <v>412</v>
      </c>
      <c r="B5" s="324" t="s">
        <v>413</v>
      </c>
      <c r="C5" s="324" t="s">
        <v>414</v>
      </c>
      <c r="D5" s="299" t="s">
        <v>421</v>
      </c>
      <c r="E5" s="324" t="s">
        <v>416</v>
      </c>
      <c r="F5" s="323" t="s">
        <v>417</v>
      </c>
      <c r="G5" s="299" t="s">
        <v>418</v>
      </c>
      <c r="H5" s="299" t="s">
        <v>419</v>
      </c>
      <c r="I5" s="299" t="s">
        <v>420</v>
      </c>
    </row>
    <row r="6" spans="1:9" ht="11.25">
      <c r="A6" s="325"/>
      <c r="B6" s="326"/>
      <c r="C6" s="326"/>
      <c r="D6" s="300"/>
      <c r="E6" s="326" t="s">
        <v>422</v>
      </c>
      <c r="F6" s="325"/>
      <c r="G6" s="300" t="s">
        <v>423</v>
      </c>
      <c r="H6" s="300"/>
      <c r="I6" s="300" t="s">
        <v>413</v>
      </c>
    </row>
    <row r="7" spans="1:9" ht="11.25">
      <c r="A7" s="301"/>
      <c r="B7" s="301"/>
      <c r="C7" s="301"/>
      <c r="D7" s="301"/>
      <c r="E7" s="301"/>
      <c r="F7" s="301"/>
      <c r="G7" s="301"/>
      <c r="H7" s="301"/>
      <c r="I7" s="301"/>
    </row>
    <row r="8" spans="1:9" ht="11.25">
      <c r="A8" s="302" t="s">
        <v>786</v>
      </c>
      <c r="B8" s="302" t="s">
        <v>787</v>
      </c>
      <c r="C8" s="302" t="s">
        <v>788</v>
      </c>
      <c r="D8" s="302" t="s">
        <v>789</v>
      </c>
      <c r="E8" s="327">
        <v>3.44</v>
      </c>
      <c r="F8" s="307" t="s">
        <v>790</v>
      </c>
      <c r="G8" s="302" t="s">
        <v>791</v>
      </c>
      <c r="H8" s="307" t="s">
        <v>430</v>
      </c>
      <c r="I8" s="307" t="s">
        <v>439</v>
      </c>
    </row>
    <row r="9" spans="1:9" ht="11.25">
      <c r="A9" s="302" t="s">
        <v>792</v>
      </c>
      <c r="B9" s="302" t="s">
        <v>441</v>
      </c>
      <c r="C9" s="302" t="s">
        <v>731</v>
      </c>
      <c r="D9" s="302"/>
      <c r="E9" s="302" t="s">
        <v>472</v>
      </c>
      <c r="F9" s="302"/>
      <c r="G9" s="302" t="s">
        <v>793</v>
      </c>
      <c r="H9" s="302"/>
      <c r="I9" s="302" t="s">
        <v>793</v>
      </c>
    </row>
    <row r="10" spans="1:9" ht="11.25">
      <c r="A10" s="303"/>
      <c r="B10" s="303"/>
      <c r="C10" s="303"/>
      <c r="D10" s="303"/>
      <c r="E10" s="303"/>
      <c r="F10" s="303"/>
      <c r="G10" s="303"/>
      <c r="H10" s="303"/>
      <c r="I10" s="303"/>
    </row>
    <row r="11" spans="1:9" ht="11.25">
      <c r="A11" s="301"/>
      <c r="B11" s="301"/>
      <c r="C11" s="301"/>
      <c r="D11" s="301"/>
      <c r="E11" s="301"/>
      <c r="F11" s="301"/>
      <c r="G11" s="301"/>
      <c r="H11" s="301"/>
      <c r="I11" s="301"/>
    </row>
    <row r="12" spans="1:9" ht="11.25">
      <c r="A12" s="302" t="s">
        <v>794</v>
      </c>
      <c r="B12" s="307" t="s">
        <v>795</v>
      </c>
      <c r="C12" s="302" t="s">
        <v>788</v>
      </c>
      <c r="D12" s="302" t="s">
        <v>796</v>
      </c>
      <c r="E12" s="327">
        <v>4.37373</v>
      </c>
      <c r="F12" s="307" t="s">
        <v>797</v>
      </c>
      <c r="G12" s="302" t="s">
        <v>738</v>
      </c>
      <c r="H12" s="307" t="s">
        <v>430</v>
      </c>
      <c r="I12" s="307" t="s">
        <v>451</v>
      </c>
    </row>
    <row r="13" spans="1:9" ht="11.25">
      <c r="A13" s="302" t="s">
        <v>798</v>
      </c>
      <c r="B13" s="328" t="s">
        <v>441</v>
      </c>
      <c r="C13" s="302" t="s">
        <v>731</v>
      </c>
      <c r="D13" s="302" t="s">
        <v>799</v>
      </c>
      <c r="E13" s="302" t="s">
        <v>472</v>
      </c>
      <c r="F13" s="302"/>
      <c r="G13" s="302" t="s">
        <v>453</v>
      </c>
      <c r="H13" s="302"/>
      <c r="I13" s="302" t="s">
        <v>738</v>
      </c>
    </row>
    <row r="14" spans="1:9" ht="11.25">
      <c r="A14" s="303"/>
      <c r="B14" s="303"/>
      <c r="C14" s="303"/>
      <c r="D14" s="303"/>
      <c r="E14" s="303"/>
      <c r="F14" s="303"/>
      <c r="G14" s="303"/>
      <c r="H14" s="303"/>
      <c r="I14" s="303"/>
    </row>
    <row r="15" spans="1:9" ht="11.25">
      <c r="A15" s="301"/>
      <c r="B15" s="301"/>
      <c r="C15" s="301"/>
      <c r="D15" s="301"/>
      <c r="E15" s="301"/>
      <c r="F15" s="301"/>
      <c r="G15" s="301"/>
      <c r="H15" s="301"/>
      <c r="I15" s="301"/>
    </row>
    <row r="16" spans="1:9" ht="11.25">
      <c r="A16" s="302" t="s">
        <v>800</v>
      </c>
      <c r="B16" s="307" t="s">
        <v>801</v>
      </c>
      <c r="C16" s="302" t="s">
        <v>802</v>
      </c>
      <c r="D16" s="329" t="s">
        <v>803</v>
      </c>
      <c r="E16" s="327">
        <v>3.4</v>
      </c>
      <c r="F16" s="307" t="s">
        <v>804</v>
      </c>
      <c r="G16" s="302" t="s">
        <v>533</v>
      </c>
      <c r="H16" s="307" t="s">
        <v>430</v>
      </c>
      <c r="I16" s="307" t="s">
        <v>451</v>
      </c>
    </row>
    <row r="17" spans="1:9" ht="11.25">
      <c r="A17" s="302" t="s">
        <v>805</v>
      </c>
      <c r="B17" s="302" t="s">
        <v>503</v>
      </c>
      <c r="C17" s="302" t="s">
        <v>731</v>
      </c>
      <c r="D17" s="302"/>
      <c r="E17" s="302" t="s">
        <v>472</v>
      </c>
      <c r="F17" s="307" t="s">
        <v>806</v>
      </c>
      <c r="G17" s="302" t="s">
        <v>494</v>
      </c>
      <c r="H17" s="302"/>
      <c r="I17" s="302" t="s">
        <v>549</v>
      </c>
    </row>
    <row r="18" spans="1:9" ht="11.25">
      <c r="A18" s="303"/>
      <c r="B18" s="303"/>
      <c r="C18" s="303"/>
      <c r="D18" s="303"/>
      <c r="E18" s="303"/>
      <c r="F18" s="303"/>
      <c r="G18" s="303"/>
      <c r="H18" s="303"/>
      <c r="I18" s="303"/>
    </row>
    <row r="19" spans="1:9" ht="11.25">
      <c r="A19" s="301"/>
      <c r="B19" s="301"/>
      <c r="C19" s="301"/>
      <c r="D19" s="301"/>
      <c r="E19" s="301"/>
      <c r="F19" s="301"/>
      <c r="G19" s="301"/>
      <c r="H19" s="301"/>
      <c r="I19" s="301"/>
    </row>
    <row r="20" spans="1:9" ht="11.25">
      <c r="A20" s="330" t="s">
        <v>807</v>
      </c>
      <c r="B20" s="302" t="s">
        <v>808</v>
      </c>
      <c r="C20" s="302" t="s">
        <v>788</v>
      </c>
      <c r="D20" s="302" t="s">
        <v>809</v>
      </c>
      <c r="E20" s="327">
        <v>941.933237</v>
      </c>
      <c r="F20" s="307" t="s">
        <v>810</v>
      </c>
      <c r="G20" s="302" t="s">
        <v>811</v>
      </c>
      <c r="H20" s="307" t="s">
        <v>812</v>
      </c>
      <c r="I20" s="307" t="s">
        <v>451</v>
      </c>
    </row>
    <row r="21" spans="1:9" ht="11.25">
      <c r="A21" s="302" t="s">
        <v>813</v>
      </c>
      <c r="B21" s="302" t="s">
        <v>441</v>
      </c>
      <c r="C21" s="302" t="s">
        <v>731</v>
      </c>
      <c r="D21" s="302" t="s">
        <v>814</v>
      </c>
      <c r="E21" s="302" t="s">
        <v>616</v>
      </c>
      <c r="F21" s="302"/>
      <c r="G21" s="302" t="s">
        <v>815</v>
      </c>
      <c r="H21" s="302" t="s">
        <v>816</v>
      </c>
      <c r="I21" s="302" t="s">
        <v>815</v>
      </c>
    </row>
    <row r="22" spans="1:9" ht="11.25">
      <c r="A22" s="303"/>
      <c r="B22" s="303"/>
      <c r="C22" s="303"/>
      <c r="D22" s="303"/>
      <c r="E22" s="303"/>
      <c r="F22" s="303"/>
      <c r="G22" s="303"/>
      <c r="H22" s="303"/>
      <c r="I22" s="303"/>
    </row>
    <row r="23" spans="1:9" ht="11.25">
      <c r="A23" s="301"/>
      <c r="B23" s="301"/>
      <c r="C23" s="301"/>
      <c r="D23" s="301"/>
      <c r="E23" s="301"/>
      <c r="F23" s="301"/>
      <c r="G23" s="301"/>
      <c r="H23" s="301"/>
      <c r="I23" s="301"/>
    </row>
    <row r="24" spans="1:9" ht="11.25">
      <c r="A24" s="302" t="s">
        <v>817</v>
      </c>
      <c r="B24" s="302" t="s">
        <v>818</v>
      </c>
      <c r="C24" s="302" t="s">
        <v>819</v>
      </c>
      <c r="D24" s="302" t="s">
        <v>820</v>
      </c>
      <c r="E24" s="327">
        <v>12</v>
      </c>
      <c r="F24" s="307" t="s">
        <v>821</v>
      </c>
      <c r="G24" s="302" t="s">
        <v>822</v>
      </c>
      <c r="H24" s="331" t="s">
        <v>430</v>
      </c>
      <c r="I24" s="307" t="s">
        <v>481</v>
      </c>
    </row>
    <row r="25" spans="1:9" ht="11.25">
      <c r="A25" s="302" t="s">
        <v>823</v>
      </c>
      <c r="B25" s="302" t="s">
        <v>483</v>
      </c>
      <c r="C25" s="302" t="s">
        <v>670</v>
      </c>
      <c r="D25" s="302" t="s">
        <v>824</v>
      </c>
      <c r="E25" s="302" t="s">
        <v>461</v>
      </c>
      <c r="F25" s="302"/>
      <c r="G25" s="302" t="s">
        <v>825</v>
      </c>
      <c r="H25" s="302"/>
      <c r="I25" s="302" t="s">
        <v>548</v>
      </c>
    </row>
    <row r="26" spans="1:9" ht="11.25">
      <c r="A26" s="303"/>
      <c r="B26" s="303"/>
      <c r="C26" s="303"/>
      <c r="D26" s="303"/>
      <c r="E26" s="303"/>
      <c r="F26" s="303"/>
      <c r="G26" s="303"/>
      <c r="H26" s="303"/>
      <c r="I26" s="303"/>
    </row>
    <row r="27" spans="1:9" ht="11.25">
      <c r="A27" s="301"/>
      <c r="B27" s="301"/>
      <c r="C27" s="301"/>
      <c r="D27" s="301"/>
      <c r="E27" s="301"/>
      <c r="F27" s="301"/>
      <c r="G27" s="301"/>
      <c r="H27" s="301"/>
      <c r="I27" s="301"/>
    </row>
    <row r="28" spans="1:9" ht="11.25">
      <c r="A28" s="302" t="s">
        <v>826</v>
      </c>
      <c r="B28" s="302" t="s">
        <v>827</v>
      </c>
      <c r="C28" s="302" t="s">
        <v>828</v>
      </c>
      <c r="D28" s="302" t="s">
        <v>829</v>
      </c>
      <c r="E28" s="327">
        <v>0.4</v>
      </c>
      <c r="F28" s="302" t="s">
        <v>830</v>
      </c>
      <c r="G28" s="302" t="s">
        <v>822</v>
      </c>
      <c r="H28" s="307" t="s">
        <v>430</v>
      </c>
      <c r="I28" s="302" t="s">
        <v>831</v>
      </c>
    </row>
    <row r="29" spans="1:9" ht="11.25">
      <c r="A29" s="302"/>
      <c r="B29" s="302" t="s">
        <v>515</v>
      </c>
      <c r="C29" s="302" t="s">
        <v>832</v>
      </c>
      <c r="D29" s="302" t="s">
        <v>833</v>
      </c>
      <c r="E29" s="302" t="s">
        <v>834</v>
      </c>
      <c r="F29" s="302"/>
      <c r="G29" s="302" t="s">
        <v>825</v>
      </c>
      <c r="H29" s="302"/>
      <c r="I29" s="302" t="s">
        <v>835</v>
      </c>
    </row>
    <row r="30" spans="1:9" ht="11.25">
      <c r="A30" s="303"/>
      <c r="B30" s="303"/>
      <c r="C30" s="303" t="s">
        <v>836</v>
      </c>
      <c r="D30" s="303" t="s">
        <v>837</v>
      </c>
      <c r="E30" s="303"/>
      <c r="F30" s="303"/>
      <c r="G30" s="303"/>
      <c r="H30" s="303"/>
      <c r="I30" s="303"/>
    </row>
    <row r="31" spans="1:9" ht="11.25">
      <c r="A31" s="302"/>
      <c r="B31" s="302"/>
      <c r="C31" s="302"/>
      <c r="D31" s="302"/>
      <c r="E31" s="302"/>
      <c r="F31" s="302"/>
      <c r="G31" s="302"/>
      <c r="H31" s="302"/>
      <c r="I31" s="302"/>
    </row>
    <row r="32" spans="1:9" ht="11.25">
      <c r="A32" s="302" t="s">
        <v>838</v>
      </c>
      <c r="B32" s="302" t="s">
        <v>559</v>
      </c>
      <c r="C32" s="302" t="s">
        <v>498</v>
      </c>
      <c r="D32" s="302" t="s">
        <v>839</v>
      </c>
      <c r="E32" s="327">
        <v>5.52</v>
      </c>
      <c r="F32" s="307" t="s">
        <v>840</v>
      </c>
      <c r="G32" s="307" t="s">
        <v>841</v>
      </c>
      <c r="H32" s="331">
        <v>3</v>
      </c>
      <c r="I32" s="307" t="s">
        <v>502</v>
      </c>
    </row>
    <row r="33" spans="1:9" ht="11.25">
      <c r="A33" s="302" t="s">
        <v>842</v>
      </c>
      <c r="B33" s="302" t="s">
        <v>557</v>
      </c>
      <c r="C33" s="302" t="s">
        <v>670</v>
      </c>
      <c r="D33" s="302"/>
      <c r="E33" s="302" t="s">
        <v>461</v>
      </c>
      <c r="F33" s="302"/>
      <c r="G33" s="307" t="s">
        <v>843</v>
      </c>
      <c r="H33" s="302" t="s">
        <v>816</v>
      </c>
      <c r="I33" s="307" t="s">
        <v>841</v>
      </c>
    </row>
    <row r="34" spans="1:9" ht="11.25">
      <c r="A34" s="302" t="s">
        <v>844</v>
      </c>
      <c r="B34" s="302"/>
      <c r="C34" s="302"/>
      <c r="D34" s="302"/>
      <c r="E34" s="302"/>
      <c r="F34" s="302"/>
      <c r="G34" s="302"/>
      <c r="H34" s="302"/>
      <c r="I34" s="302"/>
    </row>
    <row r="35" spans="1:9" ht="11.25">
      <c r="A35" s="301"/>
      <c r="B35" s="301"/>
      <c r="C35" s="301"/>
      <c r="D35" s="301"/>
      <c r="E35" s="301"/>
      <c r="F35" s="301"/>
      <c r="G35" s="301" t="s">
        <v>822</v>
      </c>
      <c r="H35" s="301"/>
      <c r="I35" s="301"/>
    </row>
    <row r="36" spans="1:9" ht="11.25">
      <c r="A36" s="302" t="s">
        <v>845</v>
      </c>
      <c r="B36" s="302" t="s">
        <v>522</v>
      </c>
      <c r="C36" s="302" t="s">
        <v>498</v>
      </c>
      <c r="D36" s="302" t="s">
        <v>839</v>
      </c>
      <c r="E36" s="327">
        <v>6.137441</v>
      </c>
      <c r="F36" s="307" t="s">
        <v>846</v>
      </c>
      <c r="G36" s="302" t="s">
        <v>825</v>
      </c>
      <c r="H36" s="307" t="s">
        <v>812</v>
      </c>
      <c r="I36" s="307" t="s">
        <v>502</v>
      </c>
    </row>
    <row r="37" spans="1:9" ht="11.25">
      <c r="A37" s="302" t="s">
        <v>847</v>
      </c>
      <c r="B37" s="302" t="s">
        <v>483</v>
      </c>
      <c r="C37" s="302" t="s">
        <v>670</v>
      </c>
      <c r="D37" s="302"/>
      <c r="E37" s="302" t="s">
        <v>505</v>
      </c>
      <c r="F37" s="302" t="s">
        <v>506</v>
      </c>
      <c r="G37" s="302" t="s">
        <v>501</v>
      </c>
      <c r="H37" s="302" t="s">
        <v>848</v>
      </c>
      <c r="I37" s="307" t="s">
        <v>438</v>
      </c>
    </row>
    <row r="38" spans="1:9" ht="11.25">
      <c r="A38" s="303"/>
      <c r="B38" s="303"/>
      <c r="C38" s="303"/>
      <c r="D38" s="303"/>
      <c r="E38" s="303"/>
      <c r="F38" s="303"/>
      <c r="G38" s="303" t="s">
        <v>507</v>
      </c>
      <c r="H38" s="303"/>
      <c r="I38" s="303"/>
    </row>
    <row r="39" spans="1:9" ht="11.25">
      <c r="A39" s="302"/>
      <c r="B39" s="302"/>
      <c r="C39" s="302"/>
      <c r="D39" s="302"/>
      <c r="E39" s="302"/>
      <c r="F39" s="302"/>
      <c r="G39" s="302"/>
      <c r="H39" s="302"/>
      <c r="I39" s="302"/>
    </row>
    <row r="40" spans="1:9" ht="11.25">
      <c r="A40" s="302" t="s">
        <v>849</v>
      </c>
      <c r="B40" s="302" t="s">
        <v>850</v>
      </c>
      <c r="C40" s="302" t="s">
        <v>851</v>
      </c>
      <c r="D40" s="302" t="s">
        <v>852</v>
      </c>
      <c r="E40" s="327">
        <v>3.4732</v>
      </c>
      <c r="F40" s="307" t="s">
        <v>853</v>
      </c>
      <c r="G40" s="302" t="s">
        <v>854</v>
      </c>
      <c r="H40" s="307" t="s">
        <v>430</v>
      </c>
      <c r="I40" s="331" t="s">
        <v>525</v>
      </c>
    </row>
    <row r="41" spans="1:9" ht="11.25">
      <c r="A41" s="302"/>
      <c r="B41" s="302" t="s">
        <v>855</v>
      </c>
      <c r="C41" s="302" t="s">
        <v>856</v>
      </c>
      <c r="D41" s="302" t="s">
        <v>824</v>
      </c>
      <c r="E41" s="302" t="s">
        <v>461</v>
      </c>
      <c r="F41" s="302"/>
      <c r="G41" s="302" t="s">
        <v>857</v>
      </c>
      <c r="H41" s="302"/>
      <c r="I41" s="302" t="s">
        <v>835</v>
      </c>
    </row>
    <row r="42" spans="1:9" ht="11.25">
      <c r="A42" s="302"/>
      <c r="B42" s="302"/>
      <c r="C42" s="303" t="s">
        <v>858</v>
      </c>
      <c r="D42" s="302"/>
      <c r="E42" s="302"/>
      <c r="F42" s="302"/>
      <c r="G42" s="302"/>
      <c r="H42" s="302"/>
      <c r="I42" s="302"/>
    </row>
    <row r="43" spans="1:9" ht="11.25">
      <c r="A43" s="301"/>
      <c r="B43" s="301"/>
      <c r="C43" s="301"/>
      <c r="D43" s="301"/>
      <c r="E43" s="301"/>
      <c r="F43" s="301"/>
      <c r="G43" s="301"/>
      <c r="H43" s="301"/>
      <c r="I43" s="301"/>
    </row>
    <row r="44" spans="1:9" ht="11.25">
      <c r="A44" s="302" t="s">
        <v>859</v>
      </c>
      <c r="B44" s="302" t="s">
        <v>860</v>
      </c>
      <c r="C44" s="302" t="s">
        <v>861</v>
      </c>
      <c r="D44" s="302" t="s">
        <v>427</v>
      </c>
      <c r="E44" s="327">
        <v>3.4</v>
      </c>
      <c r="F44" s="307" t="s">
        <v>862</v>
      </c>
      <c r="G44" s="302" t="s">
        <v>783</v>
      </c>
      <c r="H44" s="307" t="s">
        <v>430</v>
      </c>
      <c r="I44" s="307" t="s">
        <v>556</v>
      </c>
    </row>
    <row r="45" spans="1:9" ht="11.25">
      <c r="A45" s="302" t="s">
        <v>863</v>
      </c>
      <c r="B45" s="302" t="s">
        <v>557</v>
      </c>
      <c r="C45" s="302" t="s">
        <v>864</v>
      </c>
      <c r="D45" s="302" t="s">
        <v>865</v>
      </c>
      <c r="E45" s="302" t="s">
        <v>472</v>
      </c>
      <c r="F45" s="302"/>
      <c r="G45" s="302" t="s">
        <v>661</v>
      </c>
      <c r="H45" s="302"/>
      <c r="I45" s="302" t="s">
        <v>661</v>
      </c>
    </row>
    <row r="46" spans="1:172" ht="11.25">
      <c r="A46" s="303" t="s">
        <v>866</v>
      </c>
      <c r="B46" s="303"/>
      <c r="C46" s="303"/>
      <c r="D46" s="303"/>
      <c r="E46" s="303"/>
      <c r="F46" s="303"/>
      <c r="G46" s="303"/>
      <c r="H46" s="303"/>
      <c r="I46" s="303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  <c r="DB46" s="291"/>
      <c r="DC46" s="291"/>
      <c r="DD46" s="291"/>
      <c r="DE46" s="291"/>
      <c r="DF46" s="291"/>
      <c r="DG46" s="291"/>
      <c r="DH46" s="291"/>
      <c r="DI46" s="291"/>
      <c r="DJ46" s="291"/>
      <c r="DK46" s="291"/>
      <c r="DL46" s="291"/>
      <c r="DM46" s="291"/>
      <c r="DN46" s="291"/>
      <c r="DO46" s="291"/>
      <c r="DP46" s="291"/>
      <c r="DQ46" s="291"/>
      <c r="DR46" s="291"/>
      <c r="DS46" s="291"/>
      <c r="DT46" s="291"/>
      <c r="DU46" s="291"/>
      <c r="DV46" s="291"/>
      <c r="DW46" s="291"/>
      <c r="DX46" s="291"/>
      <c r="DY46" s="291"/>
      <c r="DZ46" s="291"/>
      <c r="EA46" s="291"/>
      <c r="EB46" s="291"/>
      <c r="EC46" s="291"/>
      <c r="ED46" s="291"/>
      <c r="EE46" s="291"/>
      <c r="EF46" s="291"/>
      <c r="EG46" s="291"/>
      <c r="EH46" s="291"/>
      <c r="EI46" s="291"/>
      <c r="EJ46" s="291"/>
      <c r="EK46" s="291"/>
      <c r="EL46" s="291"/>
      <c r="EM46" s="291"/>
      <c r="EN46" s="291"/>
      <c r="EO46" s="291"/>
      <c r="EP46" s="291"/>
      <c r="EQ46" s="291"/>
      <c r="ER46" s="291"/>
      <c r="ES46" s="291"/>
      <c r="ET46" s="291"/>
      <c r="EU46" s="291"/>
      <c r="EV46" s="291"/>
      <c r="EW46" s="291"/>
      <c r="EX46" s="291"/>
      <c r="EY46" s="291"/>
      <c r="EZ46" s="291"/>
      <c r="FA46" s="291"/>
      <c r="FB46" s="291"/>
      <c r="FC46" s="291"/>
      <c r="FD46" s="291"/>
      <c r="FE46" s="291"/>
      <c r="FF46" s="291"/>
      <c r="FG46" s="291"/>
      <c r="FH46" s="291"/>
      <c r="FI46" s="291"/>
      <c r="FJ46" s="291"/>
      <c r="FK46" s="291"/>
      <c r="FL46" s="291"/>
      <c r="FM46" s="291"/>
      <c r="FN46" s="291"/>
      <c r="FO46" s="291"/>
      <c r="FP46" s="291"/>
    </row>
    <row r="47" spans="1:172" ht="11.25">
      <c r="A47" s="302"/>
      <c r="B47" s="302"/>
      <c r="C47" s="302"/>
      <c r="D47" s="302"/>
      <c r="E47" s="302"/>
      <c r="F47" s="302"/>
      <c r="G47" s="302"/>
      <c r="H47" s="302"/>
      <c r="I47" s="302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291"/>
      <c r="DJ47" s="291"/>
      <c r="DK47" s="291"/>
      <c r="DL47" s="291"/>
      <c r="DM47" s="291"/>
      <c r="DN47" s="291"/>
      <c r="DO47" s="291"/>
      <c r="DP47" s="291"/>
      <c r="DQ47" s="291"/>
      <c r="DR47" s="291"/>
      <c r="DS47" s="291"/>
      <c r="DT47" s="291"/>
      <c r="DU47" s="291"/>
      <c r="DV47" s="291"/>
      <c r="DW47" s="291"/>
      <c r="DX47" s="291"/>
      <c r="DY47" s="291"/>
      <c r="DZ47" s="291"/>
      <c r="EA47" s="291"/>
      <c r="EB47" s="291"/>
      <c r="EC47" s="291"/>
      <c r="ED47" s="291"/>
      <c r="EE47" s="291"/>
      <c r="EF47" s="291"/>
      <c r="EG47" s="291"/>
      <c r="EH47" s="291"/>
      <c r="EI47" s="291"/>
      <c r="EJ47" s="291"/>
      <c r="EK47" s="291"/>
      <c r="EL47" s="291"/>
      <c r="EM47" s="291"/>
      <c r="EN47" s="291"/>
      <c r="EO47" s="291"/>
      <c r="EP47" s="291"/>
      <c r="EQ47" s="291"/>
      <c r="ER47" s="291"/>
      <c r="ES47" s="291"/>
      <c r="ET47" s="291"/>
      <c r="EU47" s="291"/>
      <c r="EV47" s="291"/>
      <c r="EW47" s="291"/>
      <c r="EX47" s="291"/>
      <c r="EY47" s="291"/>
      <c r="EZ47" s="291"/>
      <c r="FA47" s="291"/>
      <c r="FB47" s="291"/>
      <c r="FC47" s="291"/>
      <c r="FD47" s="291"/>
      <c r="FE47" s="291"/>
      <c r="FF47" s="291"/>
      <c r="FG47" s="291"/>
      <c r="FH47" s="291"/>
      <c r="FI47" s="291"/>
      <c r="FJ47" s="291"/>
      <c r="FK47" s="291"/>
      <c r="FL47" s="291"/>
      <c r="FM47" s="291"/>
      <c r="FN47" s="291"/>
      <c r="FO47" s="291"/>
      <c r="FP47" s="291"/>
    </row>
    <row r="48" spans="1:172" ht="11.25">
      <c r="A48" s="302" t="s">
        <v>867</v>
      </c>
      <c r="B48" s="302" t="s">
        <v>835</v>
      </c>
      <c r="C48" s="302" t="s">
        <v>868</v>
      </c>
      <c r="D48" s="302" t="s">
        <v>427</v>
      </c>
      <c r="E48" s="302">
        <v>5</v>
      </c>
      <c r="F48" s="307" t="s">
        <v>869</v>
      </c>
      <c r="G48" s="302" t="s">
        <v>870</v>
      </c>
      <c r="H48" s="307" t="s">
        <v>430</v>
      </c>
      <c r="I48" s="302" t="s">
        <v>587</v>
      </c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1"/>
      <c r="CL48" s="291"/>
      <c r="CM48" s="291"/>
      <c r="CN48" s="291"/>
      <c r="CO48" s="291"/>
      <c r="CP48" s="291"/>
      <c r="CQ48" s="291"/>
      <c r="CR48" s="291"/>
      <c r="CS48" s="291"/>
      <c r="CT48" s="291"/>
      <c r="CU48" s="291"/>
      <c r="CV48" s="291"/>
      <c r="CW48" s="291"/>
      <c r="CX48" s="291"/>
      <c r="CY48" s="291"/>
      <c r="CZ48" s="291"/>
      <c r="DA48" s="291"/>
      <c r="DB48" s="291"/>
      <c r="DC48" s="291"/>
      <c r="DD48" s="291"/>
      <c r="DE48" s="291"/>
      <c r="DF48" s="291"/>
      <c r="DG48" s="291"/>
      <c r="DH48" s="291"/>
      <c r="DI48" s="291"/>
      <c r="DJ48" s="291"/>
      <c r="DK48" s="291"/>
      <c r="DL48" s="291"/>
      <c r="DM48" s="291"/>
      <c r="DN48" s="291"/>
      <c r="DO48" s="291"/>
      <c r="DP48" s="291"/>
      <c r="DQ48" s="291"/>
      <c r="DR48" s="291"/>
      <c r="DS48" s="291"/>
      <c r="DT48" s="291"/>
      <c r="DU48" s="291"/>
      <c r="DV48" s="291"/>
      <c r="DW48" s="291"/>
      <c r="DX48" s="291"/>
      <c r="DY48" s="291"/>
      <c r="DZ48" s="291"/>
      <c r="EA48" s="291"/>
      <c r="EB48" s="291"/>
      <c r="EC48" s="291"/>
      <c r="ED48" s="291"/>
      <c r="EE48" s="291"/>
      <c r="EF48" s="291"/>
      <c r="EG48" s="291"/>
      <c r="EH48" s="291"/>
      <c r="EI48" s="291"/>
      <c r="EJ48" s="291"/>
      <c r="EK48" s="291"/>
      <c r="EL48" s="291"/>
      <c r="EM48" s="291"/>
      <c r="EN48" s="291"/>
      <c r="EO48" s="291"/>
      <c r="EP48" s="291"/>
      <c r="EQ48" s="291"/>
      <c r="ER48" s="291"/>
      <c r="ES48" s="291"/>
      <c r="ET48" s="291"/>
      <c r="EU48" s="291"/>
      <c r="EV48" s="291"/>
      <c r="EW48" s="291"/>
      <c r="EX48" s="291"/>
      <c r="EY48" s="291"/>
      <c r="EZ48" s="291"/>
      <c r="FA48" s="291"/>
      <c r="FB48" s="291"/>
      <c r="FC48" s="291"/>
      <c r="FD48" s="291"/>
      <c r="FE48" s="291"/>
      <c r="FF48" s="291"/>
      <c r="FG48" s="291"/>
      <c r="FH48" s="291"/>
      <c r="FI48" s="291"/>
      <c r="FJ48" s="291"/>
      <c r="FK48" s="291"/>
      <c r="FL48" s="291"/>
      <c r="FM48" s="291"/>
      <c r="FN48" s="291"/>
      <c r="FO48" s="291"/>
      <c r="FP48" s="291"/>
    </row>
    <row r="49" spans="1:172" ht="11.25">
      <c r="A49" s="302" t="s">
        <v>615</v>
      </c>
      <c r="B49" s="302" t="s">
        <v>503</v>
      </c>
      <c r="C49" s="302" t="s">
        <v>836</v>
      </c>
      <c r="D49" s="302" t="s">
        <v>865</v>
      </c>
      <c r="E49" s="302" t="s">
        <v>452</v>
      </c>
      <c r="F49" s="302"/>
      <c r="G49" s="302" t="s">
        <v>551</v>
      </c>
      <c r="H49" s="302"/>
      <c r="I49" s="302" t="s">
        <v>870</v>
      </c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  <c r="DB49" s="291"/>
      <c r="DC49" s="291"/>
      <c r="DD49" s="291"/>
      <c r="DE49" s="291"/>
      <c r="DF49" s="291"/>
      <c r="DG49" s="291"/>
      <c r="DH49" s="291"/>
      <c r="DI49" s="291"/>
      <c r="DJ49" s="291"/>
      <c r="DK49" s="291"/>
      <c r="DL49" s="291"/>
      <c r="DM49" s="291"/>
      <c r="DN49" s="291"/>
      <c r="DO49" s="291"/>
      <c r="DP49" s="291"/>
      <c r="DQ49" s="291"/>
      <c r="DR49" s="291"/>
      <c r="DS49" s="291"/>
      <c r="DT49" s="291"/>
      <c r="DU49" s="291"/>
      <c r="DV49" s="291"/>
      <c r="DW49" s="291"/>
      <c r="DX49" s="291"/>
      <c r="DY49" s="291"/>
      <c r="DZ49" s="291"/>
      <c r="EA49" s="291"/>
      <c r="EB49" s="291"/>
      <c r="EC49" s="291"/>
      <c r="ED49" s="291"/>
      <c r="EE49" s="291"/>
      <c r="EF49" s="291"/>
      <c r="EG49" s="291"/>
      <c r="EH49" s="291"/>
      <c r="EI49" s="291"/>
      <c r="EJ49" s="291"/>
      <c r="EK49" s="291"/>
      <c r="EL49" s="291"/>
      <c r="EM49" s="291"/>
      <c r="EN49" s="291"/>
      <c r="EO49" s="291"/>
      <c r="EP49" s="291"/>
      <c r="EQ49" s="291"/>
      <c r="ER49" s="291"/>
      <c r="ES49" s="291"/>
      <c r="ET49" s="291"/>
      <c r="EU49" s="291"/>
      <c r="EV49" s="291"/>
      <c r="EW49" s="291"/>
      <c r="EX49" s="291"/>
      <c r="EY49" s="291"/>
      <c r="EZ49" s="291"/>
      <c r="FA49" s="291"/>
      <c r="FB49" s="291"/>
      <c r="FC49" s="291"/>
      <c r="FD49" s="291"/>
      <c r="FE49" s="291"/>
      <c r="FF49" s="291"/>
      <c r="FG49" s="291"/>
      <c r="FH49" s="291"/>
      <c r="FI49" s="291"/>
      <c r="FJ49" s="291"/>
      <c r="FK49" s="291"/>
      <c r="FL49" s="291"/>
      <c r="FM49" s="291"/>
      <c r="FN49" s="291"/>
      <c r="FO49" s="291"/>
      <c r="FP49" s="291"/>
    </row>
    <row r="50" spans="1:172" s="332" customFormat="1" ht="11.25">
      <c r="A50" s="303"/>
      <c r="B50" s="303"/>
      <c r="C50" s="303"/>
      <c r="D50" s="303"/>
      <c r="E50" s="303"/>
      <c r="F50" s="303"/>
      <c r="G50" s="303"/>
      <c r="H50" s="303"/>
      <c r="I50" s="303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1"/>
      <c r="CY50" s="291"/>
      <c r="CZ50" s="291"/>
      <c r="DA50" s="291"/>
      <c r="DB50" s="291"/>
      <c r="DC50" s="291"/>
      <c r="DD50" s="291"/>
      <c r="DE50" s="291"/>
      <c r="DF50" s="291"/>
      <c r="DG50" s="291"/>
      <c r="DH50" s="291"/>
      <c r="DI50" s="291"/>
      <c r="DJ50" s="291"/>
      <c r="DK50" s="291"/>
      <c r="DL50" s="291"/>
      <c r="DM50" s="291"/>
      <c r="DN50" s="291"/>
      <c r="DO50" s="291"/>
      <c r="DP50" s="291"/>
      <c r="DQ50" s="291"/>
      <c r="DR50" s="291"/>
      <c r="DS50" s="291"/>
      <c r="DT50" s="291"/>
      <c r="DU50" s="291"/>
      <c r="DV50" s="291"/>
      <c r="DW50" s="291"/>
      <c r="DX50" s="291"/>
      <c r="DY50" s="291"/>
      <c r="DZ50" s="291"/>
      <c r="EA50" s="291"/>
      <c r="EB50" s="291"/>
      <c r="EC50" s="291"/>
      <c r="ED50" s="291"/>
      <c r="EE50" s="291"/>
      <c r="EF50" s="291"/>
      <c r="EG50" s="291"/>
      <c r="EH50" s="291"/>
      <c r="EI50" s="291"/>
      <c r="EJ50" s="291"/>
      <c r="EK50" s="291"/>
      <c r="EL50" s="291"/>
      <c r="EM50" s="291"/>
      <c r="EN50" s="291"/>
      <c r="EO50" s="291"/>
      <c r="EP50" s="291"/>
      <c r="EQ50" s="291"/>
      <c r="ER50" s="291"/>
      <c r="ES50" s="291"/>
      <c r="ET50" s="291"/>
      <c r="EU50" s="291"/>
      <c r="EV50" s="291"/>
      <c r="EW50" s="291"/>
      <c r="EX50" s="291"/>
      <c r="EY50" s="291"/>
      <c r="EZ50" s="291"/>
      <c r="FA50" s="291"/>
      <c r="FB50" s="291"/>
      <c r="FC50" s="291"/>
      <c r="FD50" s="291"/>
      <c r="FE50" s="291"/>
      <c r="FF50" s="291"/>
      <c r="FG50" s="291"/>
      <c r="FH50" s="291"/>
      <c r="FI50" s="291"/>
      <c r="FJ50" s="291"/>
      <c r="FK50" s="291"/>
      <c r="FL50" s="291"/>
      <c r="FM50" s="291"/>
      <c r="FN50" s="291"/>
      <c r="FO50" s="291"/>
      <c r="FP50" s="291"/>
    </row>
    <row r="51" spans="1:172" ht="11.25">
      <c r="A51" s="301"/>
      <c r="B51" s="301"/>
      <c r="C51" s="301"/>
      <c r="D51" s="301"/>
      <c r="E51" s="301"/>
      <c r="F51" s="301"/>
      <c r="G51" s="301" t="s">
        <v>871</v>
      </c>
      <c r="H51" s="301"/>
      <c r="I51" s="30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291"/>
      <c r="CV51" s="291"/>
      <c r="CW51" s="291"/>
      <c r="CX51" s="291"/>
      <c r="CY51" s="291"/>
      <c r="CZ51" s="291"/>
      <c r="DA51" s="291"/>
      <c r="DB51" s="291"/>
      <c r="DC51" s="291"/>
      <c r="DD51" s="291"/>
      <c r="DE51" s="291"/>
      <c r="DF51" s="291"/>
      <c r="DG51" s="291"/>
      <c r="DH51" s="291"/>
      <c r="DI51" s="291"/>
      <c r="DJ51" s="291"/>
      <c r="DK51" s="291"/>
      <c r="DL51" s="291"/>
      <c r="DM51" s="291"/>
      <c r="DN51" s="291"/>
      <c r="DO51" s="291"/>
      <c r="DP51" s="291"/>
      <c r="DQ51" s="291"/>
      <c r="DR51" s="291"/>
      <c r="DS51" s="291"/>
      <c r="DT51" s="291"/>
      <c r="DU51" s="291"/>
      <c r="DV51" s="291"/>
      <c r="DW51" s="291"/>
      <c r="DX51" s="291"/>
      <c r="DY51" s="291"/>
      <c r="DZ51" s="291"/>
      <c r="EA51" s="291"/>
      <c r="EB51" s="291"/>
      <c r="EC51" s="291"/>
      <c r="ED51" s="291"/>
      <c r="EE51" s="291"/>
      <c r="EF51" s="291"/>
      <c r="EG51" s="291"/>
      <c r="EH51" s="291"/>
      <c r="EI51" s="291"/>
      <c r="EJ51" s="291"/>
      <c r="EK51" s="291"/>
      <c r="EL51" s="291"/>
      <c r="EM51" s="291"/>
      <c r="EN51" s="291"/>
      <c r="EO51" s="291"/>
      <c r="EP51" s="291"/>
      <c r="EQ51" s="291"/>
      <c r="ER51" s="291"/>
      <c r="ES51" s="291"/>
      <c r="ET51" s="291"/>
      <c r="EU51" s="291"/>
      <c r="EV51" s="291"/>
      <c r="EW51" s="291"/>
      <c r="EX51" s="291"/>
      <c r="EY51" s="291"/>
      <c r="EZ51" s="291"/>
      <c r="FA51" s="291"/>
      <c r="FB51" s="291"/>
      <c r="FC51" s="291"/>
      <c r="FD51" s="291"/>
      <c r="FE51" s="291"/>
      <c r="FF51" s="291"/>
      <c r="FG51" s="291"/>
      <c r="FH51" s="291"/>
      <c r="FI51" s="291"/>
      <c r="FJ51" s="291"/>
      <c r="FK51" s="291"/>
      <c r="FL51" s="291"/>
      <c r="FM51" s="291"/>
      <c r="FN51" s="291"/>
      <c r="FO51" s="291"/>
      <c r="FP51" s="291"/>
    </row>
    <row r="52" spans="1:172" ht="11.25">
      <c r="A52" s="302" t="s">
        <v>872</v>
      </c>
      <c r="B52" s="307" t="s">
        <v>873</v>
      </c>
      <c r="C52" s="302" t="s">
        <v>874</v>
      </c>
      <c r="D52" s="302" t="s">
        <v>796</v>
      </c>
      <c r="E52" s="302">
        <v>2.45</v>
      </c>
      <c r="F52" s="302" t="s">
        <v>875</v>
      </c>
      <c r="G52" s="302" t="s">
        <v>876</v>
      </c>
      <c r="H52" s="307" t="s">
        <v>430</v>
      </c>
      <c r="I52" s="302" t="s">
        <v>587</v>
      </c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291"/>
      <c r="DJ52" s="291"/>
      <c r="DK52" s="291"/>
      <c r="DL52" s="291"/>
      <c r="DM52" s="291"/>
      <c r="DN52" s="291"/>
      <c r="DO52" s="291"/>
      <c r="DP52" s="291"/>
      <c r="DQ52" s="291"/>
      <c r="DR52" s="291"/>
      <c r="DS52" s="291"/>
      <c r="DT52" s="291"/>
      <c r="DU52" s="291"/>
      <c r="DV52" s="291"/>
      <c r="DW52" s="291"/>
      <c r="DX52" s="291"/>
      <c r="DY52" s="291"/>
      <c r="DZ52" s="291"/>
      <c r="EA52" s="291"/>
      <c r="EB52" s="291"/>
      <c r="EC52" s="291"/>
      <c r="ED52" s="291"/>
      <c r="EE52" s="291"/>
      <c r="EF52" s="291"/>
      <c r="EG52" s="291"/>
      <c r="EH52" s="291"/>
      <c r="EI52" s="291"/>
      <c r="EJ52" s="291"/>
      <c r="EK52" s="291"/>
      <c r="EL52" s="291"/>
      <c r="EM52" s="291"/>
      <c r="EN52" s="291"/>
      <c r="EO52" s="291"/>
      <c r="EP52" s="291"/>
      <c r="EQ52" s="291"/>
      <c r="ER52" s="291"/>
      <c r="ES52" s="291"/>
      <c r="ET52" s="291"/>
      <c r="EU52" s="291"/>
      <c r="EV52" s="291"/>
      <c r="EW52" s="291"/>
      <c r="EX52" s="291"/>
      <c r="EY52" s="291"/>
      <c r="EZ52" s="291"/>
      <c r="FA52" s="291"/>
      <c r="FB52" s="291"/>
      <c r="FC52" s="291"/>
      <c r="FD52" s="291"/>
      <c r="FE52" s="291"/>
      <c r="FF52" s="291"/>
      <c r="FG52" s="291"/>
      <c r="FH52" s="291"/>
      <c r="FI52" s="291"/>
      <c r="FJ52" s="291"/>
      <c r="FK52" s="291"/>
      <c r="FL52" s="291"/>
      <c r="FM52" s="291"/>
      <c r="FN52" s="291"/>
      <c r="FO52" s="291"/>
      <c r="FP52" s="291"/>
    </row>
    <row r="53" spans="1:172" ht="11.25">
      <c r="A53" s="302"/>
      <c r="B53" s="302" t="s">
        <v>515</v>
      </c>
      <c r="C53" s="302" t="s">
        <v>877</v>
      </c>
      <c r="D53" s="302" t="s">
        <v>878</v>
      </c>
      <c r="E53" s="302" t="s">
        <v>461</v>
      </c>
      <c r="F53" s="302"/>
      <c r="G53" s="302" t="s">
        <v>879</v>
      </c>
      <c r="H53" s="302"/>
      <c r="I53" s="302" t="s">
        <v>536</v>
      </c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1"/>
      <c r="CL53" s="291"/>
      <c r="CM53" s="291"/>
      <c r="CN53" s="291"/>
      <c r="CO53" s="291"/>
      <c r="CP53" s="291"/>
      <c r="CQ53" s="291"/>
      <c r="CR53" s="291"/>
      <c r="CS53" s="291"/>
      <c r="CT53" s="291"/>
      <c r="CU53" s="291"/>
      <c r="CV53" s="291"/>
      <c r="CW53" s="291"/>
      <c r="CX53" s="291"/>
      <c r="CY53" s="291"/>
      <c r="CZ53" s="291"/>
      <c r="DA53" s="291"/>
      <c r="DB53" s="291"/>
      <c r="DC53" s="291"/>
      <c r="DD53" s="291"/>
      <c r="DE53" s="291"/>
      <c r="DF53" s="291"/>
      <c r="DG53" s="291"/>
      <c r="DH53" s="291"/>
      <c r="DI53" s="291"/>
      <c r="DJ53" s="291"/>
      <c r="DK53" s="291"/>
      <c r="DL53" s="291"/>
      <c r="DM53" s="291"/>
      <c r="DN53" s="291"/>
      <c r="DO53" s="291"/>
      <c r="DP53" s="291"/>
      <c r="DQ53" s="291"/>
      <c r="DR53" s="291"/>
      <c r="DS53" s="291"/>
      <c r="DT53" s="291"/>
      <c r="DU53" s="291"/>
      <c r="DV53" s="291"/>
      <c r="DW53" s="291"/>
      <c r="DX53" s="291"/>
      <c r="DY53" s="291"/>
      <c r="DZ53" s="291"/>
      <c r="EA53" s="291"/>
      <c r="EB53" s="291"/>
      <c r="EC53" s="291"/>
      <c r="ED53" s="291"/>
      <c r="EE53" s="291"/>
      <c r="EF53" s="291"/>
      <c r="EG53" s="291"/>
      <c r="EH53" s="291"/>
      <c r="EI53" s="291"/>
      <c r="EJ53" s="291"/>
      <c r="EK53" s="291"/>
      <c r="EL53" s="291"/>
      <c r="EM53" s="291"/>
      <c r="EN53" s="291"/>
      <c r="EO53" s="291"/>
      <c r="EP53" s="291"/>
      <c r="EQ53" s="291"/>
      <c r="ER53" s="291"/>
      <c r="ES53" s="291"/>
      <c r="ET53" s="291"/>
      <c r="EU53" s="291"/>
      <c r="EV53" s="291"/>
      <c r="EW53" s="291"/>
      <c r="EX53" s="291"/>
      <c r="EY53" s="291"/>
      <c r="EZ53" s="291"/>
      <c r="FA53" s="291"/>
      <c r="FB53" s="291"/>
      <c r="FC53" s="291"/>
      <c r="FD53" s="291"/>
      <c r="FE53" s="291"/>
      <c r="FF53" s="291"/>
      <c r="FG53" s="291"/>
      <c r="FH53" s="291"/>
      <c r="FI53" s="291"/>
      <c r="FJ53" s="291"/>
      <c r="FK53" s="291"/>
      <c r="FL53" s="291"/>
      <c r="FM53" s="291"/>
      <c r="FN53" s="291"/>
      <c r="FO53" s="291"/>
      <c r="FP53" s="291"/>
    </row>
    <row r="54" spans="1:172" ht="11.25">
      <c r="A54" s="303"/>
      <c r="B54" s="303"/>
      <c r="C54" s="303"/>
      <c r="D54" s="303"/>
      <c r="E54" s="303"/>
      <c r="F54" s="303"/>
      <c r="G54" s="303" t="s">
        <v>880</v>
      </c>
      <c r="H54" s="303"/>
      <c r="I54" s="303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1"/>
      <c r="CL54" s="291"/>
      <c r="CM54" s="291"/>
      <c r="CN54" s="291"/>
      <c r="CO54" s="291"/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1"/>
      <c r="DB54" s="291"/>
      <c r="DC54" s="291"/>
      <c r="DD54" s="291"/>
      <c r="DE54" s="291"/>
      <c r="DF54" s="291"/>
      <c r="DG54" s="291"/>
      <c r="DH54" s="291"/>
      <c r="DI54" s="291"/>
      <c r="DJ54" s="291"/>
      <c r="DK54" s="291"/>
      <c r="DL54" s="291"/>
      <c r="DM54" s="291"/>
      <c r="DN54" s="291"/>
      <c r="DO54" s="291"/>
      <c r="DP54" s="291"/>
      <c r="DQ54" s="291"/>
      <c r="DR54" s="291"/>
      <c r="DS54" s="291"/>
      <c r="DT54" s="291"/>
      <c r="DU54" s="291"/>
      <c r="DV54" s="291"/>
      <c r="DW54" s="291"/>
      <c r="DX54" s="291"/>
      <c r="DY54" s="291"/>
      <c r="DZ54" s="291"/>
      <c r="EA54" s="291"/>
      <c r="EB54" s="291"/>
      <c r="EC54" s="291"/>
      <c r="ED54" s="291"/>
      <c r="EE54" s="291"/>
      <c r="EF54" s="291"/>
      <c r="EG54" s="291"/>
      <c r="EH54" s="291"/>
      <c r="EI54" s="291"/>
      <c r="EJ54" s="291"/>
      <c r="EK54" s="291"/>
      <c r="EL54" s="291"/>
      <c r="EM54" s="291"/>
      <c r="EN54" s="291"/>
      <c r="EO54" s="291"/>
      <c r="EP54" s="291"/>
      <c r="EQ54" s="291"/>
      <c r="ER54" s="291"/>
      <c r="ES54" s="291"/>
      <c r="ET54" s="291"/>
      <c r="EU54" s="291"/>
      <c r="EV54" s="291"/>
      <c r="EW54" s="291"/>
      <c r="EX54" s="291"/>
      <c r="EY54" s="291"/>
      <c r="EZ54" s="291"/>
      <c r="FA54" s="291"/>
      <c r="FB54" s="291"/>
      <c r="FC54" s="291"/>
      <c r="FD54" s="291"/>
      <c r="FE54" s="291"/>
      <c r="FF54" s="291"/>
      <c r="FG54" s="291"/>
      <c r="FH54" s="291"/>
      <c r="FI54" s="291"/>
      <c r="FJ54" s="291"/>
      <c r="FK54" s="291"/>
      <c r="FL54" s="291"/>
      <c r="FM54" s="291"/>
      <c r="FN54" s="291"/>
      <c r="FO54" s="291"/>
      <c r="FP54" s="291"/>
    </row>
    <row r="55" spans="1:172" ht="11.25">
      <c r="A55" s="301"/>
      <c r="B55" s="301"/>
      <c r="C55" s="301"/>
      <c r="D55" s="301"/>
      <c r="E55" s="301"/>
      <c r="F55" s="301"/>
      <c r="G55" s="304" t="s">
        <v>881</v>
      </c>
      <c r="H55" s="301"/>
      <c r="I55" s="30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  <c r="CK55" s="291"/>
      <c r="CL55" s="291"/>
      <c r="CM55" s="291"/>
      <c r="CN55" s="291"/>
      <c r="CO55" s="291"/>
      <c r="CP55" s="291"/>
      <c r="CQ55" s="291"/>
      <c r="CR55" s="291"/>
      <c r="CS55" s="291"/>
      <c r="CT55" s="291"/>
      <c r="CU55" s="291"/>
      <c r="CV55" s="291"/>
      <c r="CW55" s="291"/>
      <c r="CX55" s="291"/>
      <c r="CY55" s="291"/>
      <c r="CZ55" s="291"/>
      <c r="DA55" s="291"/>
      <c r="DB55" s="291"/>
      <c r="DC55" s="291"/>
      <c r="DD55" s="291"/>
      <c r="DE55" s="291"/>
      <c r="DF55" s="291"/>
      <c r="DG55" s="291"/>
      <c r="DH55" s="291"/>
      <c r="DI55" s="291"/>
      <c r="DJ55" s="291"/>
      <c r="DK55" s="291"/>
      <c r="DL55" s="291"/>
      <c r="DM55" s="291"/>
      <c r="DN55" s="291"/>
      <c r="DO55" s="291"/>
      <c r="DP55" s="291"/>
      <c r="DQ55" s="291"/>
      <c r="DR55" s="291"/>
      <c r="DS55" s="291"/>
      <c r="DT55" s="291"/>
      <c r="DU55" s="291"/>
      <c r="DV55" s="291"/>
      <c r="DW55" s="291"/>
      <c r="DX55" s="291"/>
      <c r="DY55" s="291"/>
      <c r="DZ55" s="291"/>
      <c r="EA55" s="291"/>
      <c r="EB55" s="291"/>
      <c r="EC55" s="291"/>
      <c r="ED55" s="291"/>
      <c r="EE55" s="291"/>
      <c r="EF55" s="291"/>
      <c r="EG55" s="291"/>
      <c r="EH55" s="291"/>
      <c r="EI55" s="291"/>
      <c r="EJ55" s="291"/>
      <c r="EK55" s="291"/>
      <c r="EL55" s="291"/>
      <c r="EM55" s="291"/>
      <c r="EN55" s="291"/>
      <c r="EO55" s="291"/>
      <c r="EP55" s="291"/>
      <c r="EQ55" s="291"/>
      <c r="ER55" s="291"/>
      <c r="ES55" s="291"/>
      <c r="ET55" s="291"/>
      <c r="EU55" s="291"/>
      <c r="EV55" s="291"/>
      <c r="EW55" s="291"/>
      <c r="EX55" s="291"/>
      <c r="EY55" s="291"/>
      <c r="EZ55" s="291"/>
      <c r="FA55" s="291"/>
      <c r="FB55" s="291"/>
      <c r="FC55" s="291"/>
      <c r="FD55" s="291"/>
      <c r="FE55" s="291"/>
      <c r="FF55" s="291"/>
      <c r="FG55" s="291"/>
      <c r="FH55" s="291"/>
      <c r="FI55" s="291"/>
      <c r="FJ55" s="291"/>
      <c r="FK55" s="291"/>
      <c r="FL55" s="291"/>
      <c r="FM55" s="291"/>
      <c r="FN55" s="291"/>
      <c r="FO55" s="291"/>
      <c r="FP55" s="291"/>
    </row>
    <row r="56" spans="1:172" ht="11.25">
      <c r="A56" s="302" t="s">
        <v>872</v>
      </c>
      <c r="B56" s="307" t="s">
        <v>882</v>
      </c>
      <c r="C56" s="302" t="s">
        <v>874</v>
      </c>
      <c r="D56" s="302" t="s">
        <v>883</v>
      </c>
      <c r="E56" s="302">
        <v>1.27</v>
      </c>
      <c r="F56" s="302" t="s">
        <v>884</v>
      </c>
      <c r="G56" s="307" t="s">
        <v>885</v>
      </c>
      <c r="H56" s="307" t="s">
        <v>430</v>
      </c>
      <c r="I56" s="302" t="s">
        <v>587</v>
      </c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291"/>
      <c r="CI56" s="291"/>
      <c r="CJ56" s="291"/>
      <c r="CK56" s="291"/>
      <c r="CL56" s="291"/>
      <c r="CM56" s="291"/>
      <c r="CN56" s="291"/>
      <c r="CO56" s="291"/>
      <c r="CP56" s="291"/>
      <c r="CQ56" s="291"/>
      <c r="CR56" s="291"/>
      <c r="CS56" s="291"/>
      <c r="CT56" s="291"/>
      <c r="CU56" s="291"/>
      <c r="CV56" s="291"/>
      <c r="CW56" s="291"/>
      <c r="CX56" s="291"/>
      <c r="CY56" s="291"/>
      <c r="CZ56" s="291"/>
      <c r="DA56" s="291"/>
      <c r="DB56" s="291"/>
      <c r="DC56" s="291"/>
      <c r="DD56" s="291"/>
      <c r="DE56" s="291"/>
      <c r="DF56" s="291"/>
      <c r="DG56" s="291"/>
      <c r="DH56" s="291"/>
      <c r="DI56" s="291"/>
      <c r="DJ56" s="291"/>
      <c r="DK56" s="291"/>
      <c r="DL56" s="291"/>
      <c r="DM56" s="291"/>
      <c r="DN56" s="291"/>
      <c r="DO56" s="291"/>
      <c r="DP56" s="291"/>
      <c r="DQ56" s="291"/>
      <c r="DR56" s="291"/>
      <c r="DS56" s="291"/>
      <c r="DT56" s="291"/>
      <c r="DU56" s="291"/>
      <c r="DV56" s="291"/>
      <c r="DW56" s="291"/>
      <c r="DX56" s="291"/>
      <c r="DY56" s="291"/>
      <c r="DZ56" s="291"/>
      <c r="EA56" s="291"/>
      <c r="EB56" s="291"/>
      <c r="EC56" s="291"/>
      <c r="ED56" s="291"/>
      <c r="EE56" s="291"/>
      <c r="EF56" s="291"/>
      <c r="EG56" s="291"/>
      <c r="EH56" s="291"/>
      <c r="EI56" s="291"/>
      <c r="EJ56" s="291"/>
      <c r="EK56" s="291"/>
      <c r="EL56" s="291"/>
      <c r="EM56" s="291"/>
      <c r="EN56" s="291"/>
      <c r="EO56" s="291"/>
      <c r="EP56" s="291"/>
      <c r="EQ56" s="291"/>
      <c r="ER56" s="291"/>
      <c r="ES56" s="291"/>
      <c r="ET56" s="291"/>
      <c r="EU56" s="291"/>
      <c r="EV56" s="291"/>
      <c r="EW56" s="291"/>
      <c r="EX56" s="291"/>
      <c r="EY56" s="291"/>
      <c r="EZ56" s="291"/>
      <c r="FA56" s="291"/>
      <c r="FB56" s="291"/>
      <c r="FC56" s="291"/>
      <c r="FD56" s="291"/>
      <c r="FE56" s="291"/>
      <c r="FF56" s="291"/>
      <c r="FG56" s="291"/>
      <c r="FH56" s="291"/>
      <c r="FI56" s="291"/>
      <c r="FJ56" s="291"/>
      <c r="FK56" s="291"/>
      <c r="FL56" s="291"/>
      <c r="FM56" s="291"/>
      <c r="FN56" s="291"/>
      <c r="FO56" s="291"/>
      <c r="FP56" s="291"/>
    </row>
    <row r="57" spans="1:172" ht="11.25">
      <c r="A57" s="302"/>
      <c r="B57" s="302" t="s">
        <v>431</v>
      </c>
      <c r="C57" s="302" t="s">
        <v>877</v>
      </c>
      <c r="D57" s="302" t="s">
        <v>886</v>
      </c>
      <c r="E57" s="302" t="s">
        <v>461</v>
      </c>
      <c r="F57" s="302"/>
      <c r="G57" s="307" t="s">
        <v>887</v>
      </c>
      <c r="H57" s="302"/>
      <c r="I57" s="307" t="s">
        <v>888</v>
      </c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91"/>
      <c r="BQ57" s="291"/>
      <c r="BR57" s="291"/>
      <c r="BS57" s="291"/>
      <c r="BT57" s="291"/>
      <c r="BU57" s="291"/>
      <c r="BV57" s="291"/>
      <c r="BW57" s="291"/>
      <c r="BX57" s="291"/>
      <c r="BY57" s="291"/>
      <c r="BZ57" s="291"/>
      <c r="CA57" s="291"/>
      <c r="CB57" s="291"/>
      <c r="CC57" s="291"/>
      <c r="CD57" s="291"/>
      <c r="CE57" s="291"/>
      <c r="CF57" s="291"/>
      <c r="CG57" s="291"/>
      <c r="CH57" s="291"/>
      <c r="CI57" s="291"/>
      <c r="CJ57" s="291"/>
      <c r="CK57" s="291"/>
      <c r="CL57" s="291"/>
      <c r="CM57" s="291"/>
      <c r="CN57" s="291"/>
      <c r="CO57" s="291"/>
      <c r="CP57" s="291"/>
      <c r="CQ57" s="291"/>
      <c r="CR57" s="291"/>
      <c r="CS57" s="291"/>
      <c r="CT57" s="291"/>
      <c r="CU57" s="291"/>
      <c r="CV57" s="291"/>
      <c r="CW57" s="291"/>
      <c r="CX57" s="291"/>
      <c r="CY57" s="291"/>
      <c r="CZ57" s="291"/>
      <c r="DA57" s="291"/>
      <c r="DB57" s="291"/>
      <c r="DC57" s="291"/>
      <c r="DD57" s="291"/>
      <c r="DE57" s="291"/>
      <c r="DF57" s="291"/>
      <c r="DG57" s="291"/>
      <c r="DH57" s="291"/>
      <c r="DI57" s="291"/>
      <c r="DJ57" s="291"/>
      <c r="DK57" s="291"/>
      <c r="DL57" s="291"/>
      <c r="DM57" s="291"/>
      <c r="DN57" s="291"/>
      <c r="DO57" s="291"/>
      <c r="DP57" s="291"/>
      <c r="DQ57" s="291"/>
      <c r="DR57" s="291"/>
      <c r="DS57" s="291"/>
      <c r="DT57" s="291"/>
      <c r="DU57" s="291"/>
      <c r="DV57" s="291"/>
      <c r="DW57" s="291"/>
      <c r="DX57" s="291"/>
      <c r="DY57" s="291"/>
      <c r="DZ57" s="291"/>
      <c r="EA57" s="291"/>
      <c r="EB57" s="291"/>
      <c r="EC57" s="291"/>
      <c r="ED57" s="291"/>
      <c r="EE57" s="291"/>
      <c r="EF57" s="291"/>
      <c r="EG57" s="291"/>
      <c r="EH57" s="291"/>
      <c r="EI57" s="291"/>
      <c r="EJ57" s="291"/>
      <c r="EK57" s="291"/>
      <c r="EL57" s="291"/>
      <c r="EM57" s="291"/>
      <c r="EN57" s="291"/>
      <c r="EO57" s="291"/>
      <c r="EP57" s="291"/>
      <c r="EQ57" s="291"/>
      <c r="ER57" s="291"/>
      <c r="ES57" s="291"/>
      <c r="ET57" s="291"/>
      <c r="EU57" s="291"/>
      <c r="EV57" s="291"/>
      <c r="EW57" s="291"/>
      <c r="EX57" s="291"/>
      <c r="EY57" s="291"/>
      <c r="EZ57" s="291"/>
      <c r="FA57" s="291"/>
      <c r="FB57" s="291"/>
      <c r="FC57" s="291"/>
      <c r="FD57" s="291"/>
      <c r="FE57" s="291"/>
      <c r="FF57" s="291"/>
      <c r="FG57" s="291"/>
      <c r="FH57" s="291"/>
      <c r="FI57" s="291"/>
      <c r="FJ57" s="291"/>
      <c r="FK57" s="291"/>
      <c r="FL57" s="291"/>
      <c r="FM57" s="291"/>
      <c r="FN57" s="291"/>
      <c r="FO57" s="291"/>
      <c r="FP57" s="291"/>
    </row>
    <row r="58" spans="1:172" ht="11.25">
      <c r="A58" s="303"/>
      <c r="B58" s="303"/>
      <c r="C58" s="303"/>
      <c r="D58" s="303"/>
      <c r="E58" s="303"/>
      <c r="F58" s="303"/>
      <c r="G58" s="308" t="s">
        <v>889</v>
      </c>
      <c r="H58" s="303"/>
      <c r="I58" s="303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291"/>
      <c r="CI58" s="291"/>
      <c r="CJ58" s="291"/>
      <c r="CK58" s="291"/>
      <c r="CL58" s="291"/>
      <c r="CM58" s="291"/>
      <c r="CN58" s="291"/>
      <c r="CO58" s="291"/>
      <c r="CP58" s="291"/>
      <c r="CQ58" s="291"/>
      <c r="CR58" s="291"/>
      <c r="CS58" s="291"/>
      <c r="CT58" s="291"/>
      <c r="CU58" s="291"/>
      <c r="CV58" s="291"/>
      <c r="CW58" s="291"/>
      <c r="CX58" s="291"/>
      <c r="CY58" s="291"/>
      <c r="CZ58" s="291"/>
      <c r="DA58" s="291"/>
      <c r="DB58" s="291"/>
      <c r="DC58" s="291"/>
      <c r="DD58" s="291"/>
      <c r="DE58" s="291"/>
      <c r="DF58" s="291"/>
      <c r="DG58" s="291"/>
      <c r="DH58" s="291"/>
      <c r="DI58" s="291"/>
      <c r="DJ58" s="291"/>
      <c r="DK58" s="291"/>
      <c r="DL58" s="291"/>
      <c r="DM58" s="291"/>
      <c r="DN58" s="291"/>
      <c r="DO58" s="291"/>
      <c r="DP58" s="291"/>
      <c r="DQ58" s="291"/>
      <c r="DR58" s="291"/>
      <c r="DS58" s="291"/>
      <c r="DT58" s="291"/>
      <c r="DU58" s="291"/>
      <c r="DV58" s="291"/>
      <c r="DW58" s="291"/>
      <c r="DX58" s="291"/>
      <c r="DY58" s="291"/>
      <c r="DZ58" s="291"/>
      <c r="EA58" s="291"/>
      <c r="EB58" s="291"/>
      <c r="EC58" s="291"/>
      <c r="ED58" s="291"/>
      <c r="EE58" s="291"/>
      <c r="EF58" s="291"/>
      <c r="EG58" s="291"/>
      <c r="EH58" s="291"/>
      <c r="EI58" s="291"/>
      <c r="EJ58" s="291"/>
      <c r="EK58" s="291"/>
      <c r="EL58" s="291"/>
      <c r="EM58" s="291"/>
      <c r="EN58" s="291"/>
      <c r="EO58" s="291"/>
      <c r="EP58" s="291"/>
      <c r="EQ58" s="291"/>
      <c r="ER58" s="291"/>
      <c r="ES58" s="291"/>
      <c r="ET58" s="291"/>
      <c r="EU58" s="291"/>
      <c r="EV58" s="291"/>
      <c r="EW58" s="291"/>
      <c r="EX58" s="291"/>
      <c r="EY58" s="291"/>
      <c r="EZ58" s="291"/>
      <c r="FA58" s="291"/>
      <c r="FB58" s="291"/>
      <c r="FC58" s="291"/>
      <c r="FD58" s="291"/>
      <c r="FE58" s="291"/>
      <c r="FF58" s="291"/>
      <c r="FG58" s="291"/>
      <c r="FH58" s="291"/>
      <c r="FI58" s="291"/>
      <c r="FJ58" s="291"/>
      <c r="FK58" s="291"/>
      <c r="FL58" s="291"/>
      <c r="FM58" s="291"/>
      <c r="FN58" s="291"/>
      <c r="FO58" s="291"/>
      <c r="FP58" s="291"/>
    </row>
    <row r="59" spans="1:172" ht="11.25">
      <c r="A59" s="302"/>
      <c r="B59" s="328"/>
      <c r="C59" s="328"/>
      <c r="D59" s="333"/>
      <c r="E59" s="328"/>
      <c r="F59" s="302"/>
      <c r="G59" s="333"/>
      <c r="H59" s="333"/>
      <c r="I59" s="333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1"/>
      <c r="AX59" s="291"/>
      <c r="AY59" s="291"/>
      <c r="AZ59" s="291"/>
      <c r="BA59" s="291"/>
      <c r="BB59" s="291"/>
      <c r="BC59" s="291"/>
      <c r="BD59" s="291"/>
      <c r="BE59" s="291"/>
      <c r="BF59" s="291"/>
      <c r="BG59" s="291"/>
      <c r="BH59" s="291"/>
      <c r="BI59" s="291"/>
      <c r="BJ59" s="291"/>
      <c r="BK59" s="291"/>
      <c r="BL59" s="291"/>
      <c r="BM59" s="291"/>
      <c r="BN59" s="291"/>
      <c r="BO59" s="291"/>
      <c r="BP59" s="291"/>
      <c r="BQ59" s="291"/>
      <c r="BR59" s="291"/>
      <c r="BS59" s="291"/>
      <c r="BT59" s="291"/>
      <c r="BU59" s="291"/>
      <c r="BV59" s="291"/>
      <c r="BW59" s="291"/>
      <c r="BX59" s="291"/>
      <c r="BY59" s="291"/>
      <c r="BZ59" s="291"/>
      <c r="CA59" s="291"/>
      <c r="CB59" s="291"/>
      <c r="CC59" s="291"/>
      <c r="CD59" s="291"/>
      <c r="CE59" s="291"/>
      <c r="CF59" s="291"/>
      <c r="CG59" s="291"/>
      <c r="CH59" s="291"/>
      <c r="CI59" s="291"/>
      <c r="CJ59" s="291"/>
      <c r="CK59" s="291"/>
      <c r="CL59" s="291"/>
      <c r="CM59" s="291"/>
      <c r="CN59" s="291"/>
      <c r="CO59" s="291"/>
      <c r="CP59" s="291"/>
      <c r="CQ59" s="291"/>
      <c r="CR59" s="291"/>
      <c r="CS59" s="291"/>
      <c r="CT59" s="291"/>
      <c r="CU59" s="291"/>
      <c r="CV59" s="291"/>
      <c r="CW59" s="291"/>
      <c r="CX59" s="291"/>
      <c r="CY59" s="291"/>
      <c r="CZ59" s="291"/>
      <c r="DA59" s="291"/>
      <c r="DB59" s="291"/>
      <c r="DC59" s="291"/>
      <c r="DD59" s="291"/>
      <c r="DE59" s="291"/>
      <c r="DF59" s="291"/>
      <c r="DG59" s="291"/>
      <c r="DH59" s="291"/>
      <c r="DI59" s="291"/>
      <c r="DJ59" s="291"/>
      <c r="DK59" s="291"/>
      <c r="DL59" s="291"/>
      <c r="DM59" s="291"/>
      <c r="DN59" s="291"/>
      <c r="DO59" s="291"/>
      <c r="DP59" s="291"/>
      <c r="DQ59" s="291"/>
      <c r="DR59" s="291"/>
      <c r="DS59" s="291"/>
      <c r="DT59" s="291"/>
      <c r="DU59" s="291"/>
      <c r="DV59" s="291"/>
      <c r="DW59" s="291"/>
      <c r="DX59" s="291"/>
      <c r="DY59" s="291"/>
      <c r="DZ59" s="291"/>
      <c r="EA59" s="291"/>
      <c r="EB59" s="291"/>
      <c r="EC59" s="291"/>
      <c r="ED59" s="291"/>
      <c r="EE59" s="291"/>
      <c r="EF59" s="291"/>
      <c r="EG59" s="291"/>
      <c r="EH59" s="291"/>
      <c r="EI59" s="291"/>
      <c r="EJ59" s="291"/>
      <c r="EK59" s="291"/>
      <c r="EL59" s="291"/>
      <c r="EM59" s="291"/>
      <c r="EN59" s="291"/>
      <c r="EO59" s="291"/>
      <c r="EP59" s="291"/>
      <c r="EQ59" s="291"/>
      <c r="ER59" s="291"/>
      <c r="ES59" s="291"/>
      <c r="ET59" s="291"/>
      <c r="EU59" s="291"/>
      <c r="EV59" s="291"/>
      <c r="EW59" s="291"/>
      <c r="EX59" s="291"/>
      <c r="EY59" s="291"/>
      <c r="EZ59" s="291"/>
      <c r="FA59" s="291"/>
      <c r="FB59" s="291"/>
      <c r="FC59" s="291"/>
      <c r="FD59" s="291"/>
      <c r="FE59" s="291"/>
      <c r="FF59" s="291"/>
      <c r="FG59" s="291"/>
      <c r="FH59" s="291"/>
      <c r="FI59" s="291"/>
      <c r="FJ59" s="291"/>
      <c r="FK59" s="291"/>
      <c r="FL59" s="291"/>
      <c r="FM59" s="291"/>
      <c r="FN59" s="291"/>
      <c r="FO59" s="291"/>
      <c r="FP59" s="291"/>
    </row>
    <row r="60" spans="1:172" ht="11.25">
      <c r="A60" s="302" t="s">
        <v>890</v>
      </c>
      <c r="B60" s="328" t="s">
        <v>891</v>
      </c>
      <c r="C60" s="328" t="s">
        <v>892</v>
      </c>
      <c r="D60" s="333" t="s">
        <v>893</v>
      </c>
      <c r="E60" s="327">
        <v>12.1</v>
      </c>
      <c r="F60" s="307" t="s">
        <v>894</v>
      </c>
      <c r="G60" s="333" t="s">
        <v>533</v>
      </c>
      <c r="H60" s="331">
        <v>2</v>
      </c>
      <c r="I60" s="307" t="s">
        <v>594</v>
      </c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  <c r="BK60" s="291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  <c r="BV60" s="291"/>
      <c r="BW60" s="291"/>
      <c r="BX60" s="291"/>
      <c r="BY60" s="291"/>
      <c r="BZ60" s="291"/>
      <c r="CA60" s="291"/>
      <c r="CB60" s="291"/>
      <c r="CC60" s="291"/>
      <c r="CD60" s="291"/>
      <c r="CE60" s="291"/>
      <c r="CF60" s="291"/>
      <c r="CG60" s="291"/>
      <c r="CH60" s="291"/>
      <c r="CI60" s="291"/>
      <c r="CJ60" s="291"/>
      <c r="CK60" s="291"/>
      <c r="CL60" s="291"/>
      <c r="CM60" s="291"/>
      <c r="CN60" s="291"/>
      <c r="CO60" s="291"/>
      <c r="CP60" s="291"/>
      <c r="CQ60" s="291"/>
      <c r="CR60" s="291"/>
      <c r="CS60" s="291"/>
      <c r="CT60" s="291"/>
      <c r="CU60" s="291"/>
      <c r="CV60" s="291"/>
      <c r="CW60" s="291"/>
      <c r="CX60" s="291"/>
      <c r="CY60" s="291"/>
      <c r="CZ60" s="291"/>
      <c r="DA60" s="291"/>
      <c r="DB60" s="291"/>
      <c r="DC60" s="291"/>
      <c r="DD60" s="291"/>
      <c r="DE60" s="291"/>
      <c r="DF60" s="291"/>
      <c r="DG60" s="291"/>
      <c r="DH60" s="291"/>
      <c r="DI60" s="291"/>
      <c r="DJ60" s="291"/>
      <c r="DK60" s="291"/>
      <c r="DL60" s="291"/>
      <c r="DM60" s="291"/>
      <c r="DN60" s="291"/>
      <c r="DO60" s="291"/>
      <c r="DP60" s="291"/>
      <c r="DQ60" s="291"/>
      <c r="DR60" s="291"/>
      <c r="DS60" s="291"/>
      <c r="DT60" s="291"/>
      <c r="DU60" s="291"/>
      <c r="DV60" s="291"/>
      <c r="DW60" s="291"/>
      <c r="DX60" s="291"/>
      <c r="DY60" s="291"/>
      <c r="DZ60" s="291"/>
      <c r="EA60" s="291"/>
      <c r="EB60" s="291"/>
      <c r="EC60" s="291"/>
      <c r="ED60" s="291"/>
      <c r="EE60" s="291"/>
      <c r="EF60" s="291"/>
      <c r="EG60" s="291"/>
      <c r="EH60" s="291"/>
      <c r="EI60" s="291"/>
      <c r="EJ60" s="291"/>
      <c r="EK60" s="291"/>
      <c r="EL60" s="291"/>
      <c r="EM60" s="291"/>
      <c r="EN60" s="291"/>
      <c r="EO60" s="291"/>
      <c r="EP60" s="291"/>
      <c r="EQ60" s="291"/>
      <c r="ER60" s="291"/>
      <c r="ES60" s="291"/>
      <c r="ET60" s="291"/>
      <c r="EU60" s="291"/>
      <c r="EV60" s="291"/>
      <c r="EW60" s="291"/>
      <c r="EX60" s="291"/>
      <c r="EY60" s="291"/>
      <c r="EZ60" s="291"/>
      <c r="FA60" s="291"/>
      <c r="FB60" s="291"/>
      <c r="FC60" s="291"/>
      <c r="FD60" s="291"/>
      <c r="FE60" s="291"/>
      <c r="FF60" s="291"/>
      <c r="FG60" s="291"/>
      <c r="FH60" s="291"/>
      <c r="FI60" s="291"/>
      <c r="FJ60" s="291"/>
      <c r="FK60" s="291"/>
      <c r="FL60" s="291"/>
      <c r="FM60" s="291"/>
      <c r="FN60" s="291"/>
      <c r="FO60" s="291"/>
      <c r="FP60" s="291"/>
    </row>
    <row r="61" spans="1:172" ht="11.25">
      <c r="A61" s="302" t="s">
        <v>601</v>
      </c>
      <c r="B61" s="328" t="s">
        <v>441</v>
      </c>
      <c r="C61" s="328" t="s">
        <v>545</v>
      </c>
      <c r="D61" s="333" t="s">
        <v>895</v>
      </c>
      <c r="E61" s="328" t="s">
        <v>461</v>
      </c>
      <c r="F61" s="302"/>
      <c r="G61" s="333" t="s">
        <v>536</v>
      </c>
      <c r="H61" s="302" t="s">
        <v>816</v>
      </c>
      <c r="I61" s="333" t="s">
        <v>533</v>
      </c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  <c r="BD61" s="291"/>
      <c r="BE61" s="291"/>
      <c r="BF61" s="291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291"/>
      <c r="CB61" s="291"/>
      <c r="CC61" s="291"/>
      <c r="CD61" s="291"/>
      <c r="CE61" s="291"/>
      <c r="CF61" s="291"/>
      <c r="CG61" s="291"/>
      <c r="CH61" s="291"/>
      <c r="CI61" s="291"/>
      <c r="CJ61" s="291"/>
      <c r="CK61" s="291"/>
      <c r="CL61" s="291"/>
      <c r="CM61" s="291"/>
      <c r="CN61" s="291"/>
      <c r="CO61" s="291"/>
      <c r="CP61" s="291"/>
      <c r="CQ61" s="291"/>
      <c r="CR61" s="291"/>
      <c r="CS61" s="291"/>
      <c r="CT61" s="291"/>
      <c r="CU61" s="291"/>
      <c r="CV61" s="291"/>
      <c r="CW61" s="291"/>
      <c r="CX61" s="291"/>
      <c r="CY61" s="291"/>
      <c r="CZ61" s="291"/>
      <c r="DA61" s="291"/>
      <c r="DB61" s="291"/>
      <c r="DC61" s="291"/>
      <c r="DD61" s="291"/>
      <c r="DE61" s="291"/>
      <c r="DF61" s="291"/>
      <c r="DG61" s="291"/>
      <c r="DH61" s="291"/>
      <c r="DI61" s="291"/>
      <c r="DJ61" s="291"/>
      <c r="DK61" s="291"/>
      <c r="DL61" s="291"/>
      <c r="DM61" s="291"/>
      <c r="DN61" s="291"/>
      <c r="DO61" s="291"/>
      <c r="DP61" s="291"/>
      <c r="DQ61" s="291"/>
      <c r="DR61" s="291"/>
      <c r="DS61" s="291"/>
      <c r="DT61" s="291"/>
      <c r="DU61" s="291"/>
      <c r="DV61" s="291"/>
      <c r="DW61" s="291"/>
      <c r="DX61" s="291"/>
      <c r="DY61" s="291"/>
      <c r="DZ61" s="291"/>
      <c r="EA61" s="291"/>
      <c r="EB61" s="291"/>
      <c r="EC61" s="291"/>
      <c r="ED61" s="291"/>
      <c r="EE61" s="291"/>
      <c r="EF61" s="291"/>
      <c r="EG61" s="291"/>
      <c r="EH61" s="291"/>
      <c r="EI61" s="291"/>
      <c r="EJ61" s="291"/>
      <c r="EK61" s="291"/>
      <c r="EL61" s="291"/>
      <c r="EM61" s="291"/>
      <c r="EN61" s="291"/>
      <c r="EO61" s="291"/>
      <c r="EP61" s="291"/>
      <c r="EQ61" s="291"/>
      <c r="ER61" s="291"/>
      <c r="ES61" s="291"/>
      <c r="ET61" s="291"/>
      <c r="EU61" s="291"/>
      <c r="EV61" s="291"/>
      <c r="EW61" s="291"/>
      <c r="EX61" s="291"/>
      <c r="EY61" s="291"/>
      <c r="EZ61" s="291"/>
      <c r="FA61" s="291"/>
      <c r="FB61" s="291"/>
      <c r="FC61" s="291"/>
      <c r="FD61" s="291"/>
      <c r="FE61" s="291"/>
      <c r="FF61" s="291"/>
      <c r="FG61" s="291"/>
      <c r="FH61" s="291"/>
      <c r="FI61" s="291"/>
      <c r="FJ61" s="291"/>
      <c r="FK61" s="291"/>
      <c r="FL61" s="291"/>
      <c r="FM61" s="291"/>
      <c r="FN61" s="291"/>
      <c r="FO61" s="291"/>
      <c r="FP61" s="291"/>
    </row>
    <row r="62" spans="1:172" ht="11.25">
      <c r="A62" s="302"/>
      <c r="B62" s="328"/>
      <c r="C62" s="328"/>
      <c r="D62" s="333" t="s">
        <v>896</v>
      </c>
      <c r="E62" s="328"/>
      <c r="F62" s="302"/>
      <c r="G62" s="333"/>
      <c r="H62" s="333"/>
      <c r="I62" s="333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91"/>
      <c r="CI62" s="291"/>
      <c r="CJ62" s="291"/>
      <c r="CK62" s="291"/>
      <c r="CL62" s="291"/>
      <c r="CM62" s="291"/>
      <c r="CN62" s="291"/>
      <c r="CO62" s="291"/>
      <c r="CP62" s="291"/>
      <c r="CQ62" s="291"/>
      <c r="CR62" s="291"/>
      <c r="CS62" s="291"/>
      <c r="CT62" s="291"/>
      <c r="CU62" s="291"/>
      <c r="CV62" s="291"/>
      <c r="CW62" s="291"/>
      <c r="CX62" s="291"/>
      <c r="CY62" s="291"/>
      <c r="CZ62" s="291"/>
      <c r="DA62" s="291"/>
      <c r="DB62" s="291"/>
      <c r="DC62" s="291"/>
      <c r="DD62" s="291"/>
      <c r="DE62" s="291"/>
      <c r="DF62" s="291"/>
      <c r="DG62" s="291"/>
      <c r="DH62" s="291"/>
      <c r="DI62" s="291"/>
      <c r="DJ62" s="291"/>
      <c r="DK62" s="291"/>
      <c r="DL62" s="291"/>
      <c r="DM62" s="291"/>
      <c r="DN62" s="291"/>
      <c r="DO62" s="291"/>
      <c r="DP62" s="291"/>
      <c r="DQ62" s="291"/>
      <c r="DR62" s="291"/>
      <c r="DS62" s="291"/>
      <c r="DT62" s="291"/>
      <c r="DU62" s="291"/>
      <c r="DV62" s="291"/>
      <c r="DW62" s="291"/>
      <c r="DX62" s="291"/>
      <c r="DY62" s="291"/>
      <c r="DZ62" s="291"/>
      <c r="EA62" s="291"/>
      <c r="EB62" s="291"/>
      <c r="EC62" s="291"/>
      <c r="ED62" s="291"/>
      <c r="EE62" s="291"/>
      <c r="EF62" s="291"/>
      <c r="EG62" s="291"/>
      <c r="EH62" s="291"/>
      <c r="EI62" s="291"/>
      <c r="EJ62" s="291"/>
      <c r="EK62" s="291"/>
      <c r="EL62" s="291"/>
      <c r="EM62" s="291"/>
      <c r="EN62" s="291"/>
      <c r="EO62" s="291"/>
      <c r="EP62" s="291"/>
      <c r="EQ62" s="291"/>
      <c r="ER62" s="291"/>
      <c r="ES62" s="291"/>
      <c r="ET62" s="291"/>
      <c r="EU62" s="291"/>
      <c r="EV62" s="291"/>
      <c r="EW62" s="291"/>
      <c r="EX62" s="291"/>
      <c r="EY62" s="291"/>
      <c r="EZ62" s="291"/>
      <c r="FA62" s="291"/>
      <c r="FB62" s="291"/>
      <c r="FC62" s="291"/>
      <c r="FD62" s="291"/>
      <c r="FE62" s="291"/>
      <c r="FF62" s="291"/>
      <c r="FG62" s="291"/>
      <c r="FH62" s="291"/>
      <c r="FI62" s="291"/>
      <c r="FJ62" s="291"/>
      <c r="FK62" s="291"/>
      <c r="FL62" s="291"/>
      <c r="FM62" s="291"/>
      <c r="FN62" s="291"/>
      <c r="FO62" s="291"/>
      <c r="FP62" s="291"/>
    </row>
    <row r="63" spans="1:172" ht="11.25">
      <c r="A63" s="301"/>
      <c r="B63" s="301"/>
      <c r="C63" s="301"/>
      <c r="D63" s="301"/>
      <c r="E63" s="301"/>
      <c r="F63" s="301"/>
      <c r="G63" s="304"/>
      <c r="H63" s="301"/>
      <c r="I63" s="301"/>
      <c r="J63" s="292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91"/>
      <c r="AT63" s="291"/>
      <c r="AU63" s="291"/>
      <c r="AV63" s="291"/>
      <c r="AW63" s="291"/>
      <c r="AX63" s="291"/>
      <c r="AY63" s="291"/>
      <c r="AZ63" s="291"/>
      <c r="BA63" s="291"/>
      <c r="BB63" s="291"/>
      <c r="BC63" s="291"/>
      <c r="BD63" s="291"/>
      <c r="BE63" s="291"/>
      <c r="BF63" s="291"/>
      <c r="BG63" s="291"/>
      <c r="BH63" s="291"/>
      <c r="BI63" s="291"/>
      <c r="BJ63" s="291"/>
      <c r="BK63" s="291"/>
      <c r="BL63" s="291"/>
      <c r="BM63" s="291"/>
      <c r="BN63" s="291"/>
      <c r="BO63" s="291"/>
      <c r="BP63" s="291"/>
      <c r="BQ63" s="291"/>
      <c r="BR63" s="291"/>
      <c r="BS63" s="291"/>
      <c r="BT63" s="291"/>
      <c r="BU63" s="291"/>
      <c r="BV63" s="291"/>
      <c r="BW63" s="291"/>
      <c r="BX63" s="291"/>
      <c r="BY63" s="291"/>
      <c r="BZ63" s="291"/>
      <c r="CA63" s="291"/>
      <c r="CB63" s="291"/>
      <c r="CC63" s="291"/>
      <c r="CD63" s="291"/>
      <c r="CE63" s="291"/>
      <c r="CF63" s="291"/>
      <c r="CG63" s="291"/>
      <c r="CH63" s="291"/>
      <c r="CI63" s="291"/>
      <c r="CJ63" s="291"/>
      <c r="CK63" s="291"/>
      <c r="CL63" s="291"/>
      <c r="CM63" s="291"/>
      <c r="CN63" s="291"/>
      <c r="CO63" s="291"/>
      <c r="CP63" s="291"/>
      <c r="CQ63" s="291"/>
      <c r="CR63" s="291"/>
      <c r="CS63" s="291"/>
      <c r="CT63" s="291"/>
      <c r="CU63" s="291"/>
      <c r="CV63" s="291"/>
      <c r="CW63" s="291"/>
      <c r="CX63" s="291"/>
      <c r="CY63" s="291"/>
      <c r="CZ63" s="291"/>
      <c r="DA63" s="291"/>
      <c r="DB63" s="291"/>
      <c r="DC63" s="291"/>
      <c r="DD63" s="291"/>
      <c r="DE63" s="291"/>
      <c r="DF63" s="291"/>
      <c r="DG63" s="291"/>
      <c r="DH63" s="291"/>
      <c r="DI63" s="291"/>
      <c r="DJ63" s="291"/>
      <c r="DK63" s="291"/>
      <c r="DL63" s="291"/>
      <c r="DM63" s="291"/>
      <c r="DN63" s="291"/>
      <c r="DO63" s="291"/>
      <c r="DP63" s="291"/>
      <c r="DQ63" s="291"/>
      <c r="DR63" s="291"/>
      <c r="DS63" s="291"/>
      <c r="DT63" s="291"/>
      <c r="DU63" s="291"/>
      <c r="DV63" s="291"/>
      <c r="DW63" s="291"/>
      <c r="DX63" s="291"/>
      <c r="DY63" s="291"/>
      <c r="DZ63" s="291"/>
      <c r="EA63" s="291"/>
      <c r="EB63" s="291"/>
      <c r="EC63" s="291"/>
      <c r="ED63" s="291"/>
      <c r="EE63" s="291"/>
      <c r="EF63" s="291"/>
      <c r="EG63" s="291"/>
      <c r="EH63" s="291"/>
      <c r="EI63" s="291"/>
      <c r="EJ63" s="291"/>
      <c r="EK63" s="291"/>
      <c r="EL63" s="291"/>
      <c r="EM63" s="291"/>
      <c r="EN63" s="291"/>
      <c r="EO63" s="291"/>
      <c r="EP63" s="291"/>
      <c r="EQ63" s="291"/>
      <c r="ER63" s="291"/>
      <c r="ES63" s="291"/>
      <c r="ET63" s="291"/>
      <c r="EU63" s="291"/>
      <c r="EV63" s="291"/>
      <c r="EW63" s="291"/>
      <c r="EX63" s="291"/>
      <c r="EY63" s="291"/>
      <c r="EZ63" s="291"/>
      <c r="FA63" s="291"/>
      <c r="FB63" s="291"/>
      <c r="FC63" s="291"/>
      <c r="FD63" s="291"/>
      <c r="FE63" s="291"/>
      <c r="FF63" s="291"/>
      <c r="FG63" s="291"/>
      <c r="FH63" s="291"/>
      <c r="FI63" s="291"/>
      <c r="FJ63" s="291"/>
      <c r="FK63" s="291"/>
      <c r="FL63" s="291"/>
      <c r="FM63" s="291"/>
      <c r="FN63" s="291"/>
      <c r="FO63" s="291"/>
      <c r="FP63" s="291"/>
    </row>
    <row r="64" spans="1:172" ht="11.25">
      <c r="A64" s="302" t="s">
        <v>897</v>
      </c>
      <c r="B64" s="307" t="s">
        <v>808</v>
      </c>
      <c r="C64" s="302" t="s">
        <v>898</v>
      </c>
      <c r="D64" s="302" t="s">
        <v>829</v>
      </c>
      <c r="E64" s="302">
        <v>9.7</v>
      </c>
      <c r="F64" s="302" t="s">
        <v>899</v>
      </c>
      <c r="G64" s="307" t="s">
        <v>462</v>
      </c>
      <c r="H64" s="307" t="s">
        <v>812</v>
      </c>
      <c r="I64" s="302" t="s">
        <v>594</v>
      </c>
      <c r="J64" s="292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E64" s="291"/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  <c r="BV64" s="291"/>
      <c r="BW64" s="291"/>
      <c r="BX64" s="291"/>
      <c r="BY64" s="291"/>
      <c r="BZ64" s="291"/>
      <c r="CA64" s="291"/>
      <c r="CB64" s="291"/>
      <c r="CC64" s="291"/>
      <c r="CD64" s="291"/>
      <c r="CE64" s="291"/>
      <c r="CF64" s="291"/>
      <c r="CG64" s="291"/>
      <c r="CH64" s="291"/>
      <c r="CI64" s="291"/>
      <c r="CJ64" s="291"/>
      <c r="CK64" s="291"/>
      <c r="CL64" s="291"/>
      <c r="CM64" s="291"/>
      <c r="CN64" s="291"/>
      <c r="CO64" s="291"/>
      <c r="CP64" s="291"/>
      <c r="CQ64" s="291"/>
      <c r="CR64" s="291"/>
      <c r="CS64" s="291"/>
      <c r="CT64" s="291"/>
      <c r="CU64" s="291"/>
      <c r="CV64" s="291"/>
      <c r="CW64" s="291"/>
      <c r="CX64" s="291"/>
      <c r="CY64" s="291"/>
      <c r="CZ64" s="291"/>
      <c r="DA64" s="291"/>
      <c r="DB64" s="291"/>
      <c r="DC64" s="291"/>
      <c r="DD64" s="291"/>
      <c r="DE64" s="291"/>
      <c r="DF64" s="291"/>
      <c r="DG64" s="291"/>
      <c r="DH64" s="291"/>
      <c r="DI64" s="291"/>
      <c r="DJ64" s="291"/>
      <c r="DK64" s="291"/>
      <c r="DL64" s="291"/>
      <c r="DM64" s="291"/>
      <c r="DN64" s="291"/>
      <c r="DO64" s="291"/>
      <c r="DP64" s="291"/>
      <c r="DQ64" s="291"/>
      <c r="DR64" s="291"/>
      <c r="DS64" s="291"/>
      <c r="DT64" s="291"/>
      <c r="DU64" s="291"/>
      <c r="DV64" s="291"/>
      <c r="DW64" s="291"/>
      <c r="DX64" s="291"/>
      <c r="DY64" s="291"/>
      <c r="DZ64" s="291"/>
      <c r="EA64" s="291"/>
      <c r="EB64" s="291"/>
      <c r="EC64" s="291"/>
      <c r="ED64" s="291"/>
      <c r="EE64" s="291"/>
      <c r="EF64" s="291"/>
      <c r="EG64" s="291"/>
      <c r="EH64" s="291"/>
      <c r="EI64" s="291"/>
      <c r="EJ64" s="291"/>
      <c r="EK64" s="291"/>
      <c r="EL64" s="291"/>
      <c r="EM64" s="291"/>
      <c r="EN64" s="291"/>
      <c r="EO64" s="291"/>
      <c r="EP64" s="291"/>
      <c r="EQ64" s="291"/>
      <c r="ER64" s="291"/>
      <c r="ES64" s="291"/>
      <c r="ET64" s="291"/>
      <c r="EU64" s="291"/>
      <c r="EV64" s="291"/>
      <c r="EW64" s="291"/>
      <c r="EX64" s="291"/>
      <c r="EY64" s="291"/>
      <c r="EZ64" s="291"/>
      <c r="FA64" s="291"/>
      <c r="FB64" s="291"/>
      <c r="FC64" s="291"/>
      <c r="FD64" s="291"/>
      <c r="FE64" s="291"/>
      <c r="FF64" s="291"/>
      <c r="FG64" s="291"/>
      <c r="FH64" s="291"/>
      <c r="FI64" s="291"/>
      <c r="FJ64" s="291"/>
      <c r="FK64" s="291"/>
      <c r="FL64" s="291"/>
      <c r="FM64" s="291"/>
      <c r="FN64" s="291"/>
      <c r="FO64" s="291"/>
      <c r="FP64" s="291"/>
    </row>
    <row r="65" spans="1:172" ht="11.25">
      <c r="A65" s="302"/>
      <c r="B65" s="302" t="s">
        <v>431</v>
      </c>
      <c r="C65" s="302" t="s">
        <v>900</v>
      </c>
      <c r="D65" s="302" t="s">
        <v>833</v>
      </c>
      <c r="E65" s="302" t="s">
        <v>461</v>
      </c>
      <c r="F65" s="302"/>
      <c r="G65" s="307" t="s">
        <v>438</v>
      </c>
      <c r="H65" s="302" t="s">
        <v>816</v>
      </c>
      <c r="I65" s="307" t="s">
        <v>438</v>
      </c>
      <c r="J65" s="292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1"/>
      <c r="BI65" s="291"/>
      <c r="BJ65" s="291"/>
      <c r="BK65" s="291"/>
      <c r="BL65" s="291"/>
      <c r="BM65" s="291"/>
      <c r="BN65" s="291"/>
      <c r="BO65" s="291"/>
      <c r="BP65" s="291"/>
      <c r="BQ65" s="291"/>
      <c r="BR65" s="291"/>
      <c r="BS65" s="291"/>
      <c r="BT65" s="291"/>
      <c r="BU65" s="291"/>
      <c r="BV65" s="291"/>
      <c r="BW65" s="291"/>
      <c r="BX65" s="291"/>
      <c r="BY65" s="291"/>
      <c r="BZ65" s="291"/>
      <c r="CA65" s="291"/>
      <c r="CB65" s="291"/>
      <c r="CC65" s="291"/>
      <c r="CD65" s="291"/>
      <c r="CE65" s="291"/>
      <c r="CF65" s="291"/>
      <c r="CG65" s="291"/>
      <c r="CH65" s="291"/>
      <c r="CI65" s="291"/>
      <c r="CJ65" s="291"/>
      <c r="CK65" s="291"/>
      <c r="CL65" s="291"/>
      <c r="CM65" s="291"/>
      <c r="CN65" s="291"/>
      <c r="CO65" s="291"/>
      <c r="CP65" s="291"/>
      <c r="CQ65" s="291"/>
      <c r="CR65" s="291"/>
      <c r="CS65" s="291"/>
      <c r="CT65" s="291"/>
      <c r="CU65" s="291"/>
      <c r="CV65" s="291"/>
      <c r="CW65" s="291"/>
      <c r="CX65" s="291"/>
      <c r="CY65" s="291"/>
      <c r="CZ65" s="291"/>
      <c r="DA65" s="291"/>
      <c r="DB65" s="291"/>
      <c r="DC65" s="291"/>
      <c r="DD65" s="291"/>
      <c r="DE65" s="291"/>
      <c r="DF65" s="291"/>
      <c r="DG65" s="291"/>
      <c r="DH65" s="291"/>
      <c r="DI65" s="291"/>
      <c r="DJ65" s="291"/>
      <c r="DK65" s="291"/>
      <c r="DL65" s="291"/>
      <c r="DM65" s="291"/>
      <c r="DN65" s="291"/>
      <c r="DO65" s="291"/>
      <c r="DP65" s="291"/>
      <c r="DQ65" s="291"/>
      <c r="DR65" s="291"/>
      <c r="DS65" s="291"/>
      <c r="DT65" s="291"/>
      <c r="DU65" s="291"/>
      <c r="DV65" s="291"/>
      <c r="DW65" s="291"/>
      <c r="DX65" s="291"/>
      <c r="DY65" s="291"/>
      <c r="DZ65" s="291"/>
      <c r="EA65" s="291"/>
      <c r="EB65" s="291"/>
      <c r="EC65" s="291"/>
      <c r="ED65" s="291"/>
      <c r="EE65" s="291"/>
      <c r="EF65" s="291"/>
      <c r="EG65" s="291"/>
      <c r="EH65" s="291"/>
      <c r="EI65" s="291"/>
      <c r="EJ65" s="291"/>
      <c r="EK65" s="291"/>
      <c r="EL65" s="291"/>
      <c r="EM65" s="291"/>
      <c r="EN65" s="291"/>
      <c r="EO65" s="291"/>
      <c r="EP65" s="291"/>
      <c r="EQ65" s="291"/>
      <c r="ER65" s="291"/>
      <c r="ES65" s="291"/>
      <c r="ET65" s="291"/>
      <c r="EU65" s="291"/>
      <c r="EV65" s="291"/>
      <c r="EW65" s="291"/>
      <c r="EX65" s="291"/>
      <c r="EY65" s="291"/>
      <c r="EZ65" s="291"/>
      <c r="FA65" s="291"/>
      <c r="FB65" s="291"/>
      <c r="FC65" s="291"/>
      <c r="FD65" s="291"/>
      <c r="FE65" s="291"/>
      <c r="FF65" s="291"/>
      <c r="FG65" s="291"/>
      <c r="FH65" s="291"/>
      <c r="FI65" s="291"/>
      <c r="FJ65" s="291"/>
      <c r="FK65" s="291"/>
      <c r="FL65" s="291"/>
      <c r="FM65" s="291"/>
      <c r="FN65" s="291"/>
      <c r="FO65" s="291"/>
      <c r="FP65" s="291"/>
    </row>
    <row r="66" spans="1:172" ht="11.25">
      <c r="A66" s="303"/>
      <c r="B66" s="303"/>
      <c r="C66" s="302" t="s">
        <v>901</v>
      </c>
      <c r="D66" s="303" t="s">
        <v>837</v>
      </c>
      <c r="E66" s="303"/>
      <c r="F66" s="303"/>
      <c r="G66" s="308"/>
      <c r="H66" s="303"/>
      <c r="I66" s="303"/>
      <c r="J66" s="292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91"/>
      <c r="AY66" s="291"/>
      <c r="AZ66" s="291"/>
      <c r="BA66" s="291"/>
      <c r="BB66" s="291"/>
      <c r="BC66" s="291"/>
      <c r="BD66" s="291"/>
      <c r="BE66" s="291"/>
      <c r="BF66" s="291"/>
      <c r="BG66" s="291"/>
      <c r="BH66" s="291"/>
      <c r="BI66" s="291"/>
      <c r="BJ66" s="291"/>
      <c r="BK66" s="291"/>
      <c r="BL66" s="291"/>
      <c r="BM66" s="291"/>
      <c r="BN66" s="291"/>
      <c r="BO66" s="291"/>
      <c r="BP66" s="291"/>
      <c r="BQ66" s="291"/>
      <c r="BR66" s="291"/>
      <c r="BS66" s="291"/>
      <c r="BT66" s="291"/>
      <c r="BU66" s="291"/>
      <c r="BV66" s="291"/>
      <c r="BW66" s="291"/>
      <c r="BX66" s="291"/>
      <c r="BY66" s="291"/>
      <c r="BZ66" s="291"/>
      <c r="CA66" s="291"/>
      <c r="CB66" s="291"/>
      <c r="CC66" s="291"/>
      <c r="CD66" s="291"/>
      <c r="CE66" s="291"/>
      <c r="CF66" s="291"/>
      <c r="CG66" s="291"/>
      <c r="CH66" s="291"/>
      <c r="CI66" s="291"/>
      <c r="CJ66" s="291"/>
      <c r="CK66" s="291"/>
      <c r="CL66" s="291"/>
      <c r="CM66" s="291"/>
      <c r="CN66" s="291"/>
      <c r="CO66" s="291"/>
      <c r="CP66" s="291"/>
      <c r="CQ66" s="291"/>
      <c r="CR66" s="291"/>
      <c r="CS66" s="291"/>
      <c r="CT66" s="291"/>
      <c r="CU66" s="291"/>
      <c r="CV66" s="291"/>
      <c r="CW66" s="291"/>
      <c r="CX66" s="291"/>
      <c r="CY66" s="291"/>
      <c r="CZ66" s="291"/>
      <c r="DA66" s="291"/>
      <c r="DB66" s="291"/>
      <c r="DC66" s="291"/>
      <c r="DD66" s="291"/>
      <c r="DE66" s="291"/>
      <c r="DF66" s="291"/>
      <c r="DG66" s="291"/>
      <c r="DH66" s="291"/>
      <c r="DI66" s="291"/>
      <c r="DJ66" s="291"/>
      <c r="DK66" s="291"/>
      <c r="DL66" s="291"/>
      <c r="DM66" s="291"/>
      <c r="DN66" s="291"/>
      <c r="DO66" s="291"/>
      <c r="DP66" s="291"/>
      <c r="DQ66" s="291"/>
      <c r="DR66" s="291"/>
      <c r="DS66" s="291"/>
      <c r="DT66" s="291"/>
      <c r="DU66" s="291"/>
      <c r="DV66" s="291"/>
      <c r="DW66" s="291"/>
      <c r="DX66" s="291"/>
      <c r="DY66" s="291"/>
      <c r="DZ66" s="291"/>
      <c r="EA66" s="291"/>
      <c r="EB66" s="291"/>
      <c r="EC66" s="291"/>
      <c r="ED66" s="291"/>
      <c r="EE66" s="291"/>
      <c r="EF66" s="291"/>
      <c r="EG66" s="291"/>
      <c r="EH66" s="291"/>
      <c r="EI66" s="291"/>
      <c r="EJ66" s="291"/>
      <c r="EK66" s="291"/>
      <c r="EL66" s="291"/>
      <c r="EM66" s="291"/>
      <c r="EN66" s="291"/>
      <c r="EO66" s="291"/>
      <c r="EP66" s="291"/>
      <c r="EQ66" s="291"/>
      <c r="ER66" s="291"/>
      <c r="ES66" s="291"/>
      <c r="ET66" s="291"/>
      <c r="EU66" s="291"/>
      <c r="EV66" s="291"/>
      <c r="EW66" s="291"/>
      <c r="EX66" s="291"/>
      <c r="EY66" s="291"/>
      <c r="EZ66" s="291"/>
      <c r="FA66" s="291"/>
      <c r="FB66" s="291"/>
      <c r="FC66" s="291"/>
      <c r="FD66" s="291"/>
      <c r="FE66" s="291"/>
      <c r="FF66" s="291"/>
      <c r="FG66" s="291"/>
      <c r="FH66" s="291"/>
      <c r="FI66" s="291"/>
      <c r="FJ66" s="291"/>
      <c r="FK66" s="291"/>
      <c r="FL66" s="291"/>
      <c r="FM66" s="291"/>
      <c r="FN66" s="291"/>
      <c r="FO66" s="291"/>
      <c r="FP66" s="291"/>
    </row>
    <row r="67" spans="1:172" ht="11.25">
      <c r="A67" s="301"/>
      <c r="B67" s="301"/>
      <c r="C67" s="301" t="s">
        <v>902</v>
      </c>
      <c r="D67" s="301"/>
      <c r="E67" s="301"/>
      <c r="F67" s="301"/>
      <c r="G67" s="304" t="s">
        <v>554</v>
      </c>
      <c r="H67" s="301"/>
      <c r="I67" s="30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O67" s="291"/>
      <c r="AP67" s="291"/>
      <c r="AQ67" s="291"/>
      <c r="AR67" s="291"/>
      <c r="AS67" s="291"/>
      <c r="AT67" s="291"/>
      <c r="AU67" s="291"/>
      <c r="AV67" s="291"/>
      <c r="AW67" s="291"/>
      <c r="AX67" s="291"/>
      <c r="AY67" s="291"/>
      <c r="AZ67" s="291"/>
      <c r="BA67" s="291"/>
      <c r="BB67" s="291"/>
      <c r="BC67" s="291"/>
      <c r="BD67" s="291"/>
      <c r="BE67" s="291"/>
      <c r="BF67" s="291"/>
      <c r="BG67" s="291"/>
      <c r="BH67" s="291"/>
      <c r="BI67" s="291"/>
      <c r="BJ67" s="291"/>
      <c r="BK67" s="291"/>
      <c r="BL67" s="291"/>
      <c r="BM67" s="291"/>
      <c r="BN67" s="291"/>
      <c r="BO67" s="291"/>
      <c r="BP67" s="291"/>
      <c r="BQ67" s="291"/>
      <c r="BR67" s="291"/>
      <c r="BS67" s="291"/>
      <c r="BT67" s="291"/>
      <c r="BU67" s="291"/>
      <c r="BV67" s="291"/>
      <c r="BW67" s="291"/>
      <c r="BX67" s="291"/>
      <c r="BY67" s="291"/>
      <c r="BZ67" s="291"/>
      <c r="CA67" s="291"/>
      <c r="CB67" s="291"/>
      <c r="CC67" s="291"/>
      <c r="CD67" s="291"/>
      <c r="CE67" s="291"/>
      <c r="CF67" s="291"/>
      <c r="CG67" s="291"/>
      <c r="CH67" s="291"/>
      <c r="CI67" s="291"/>
      <c r="CJ67" s="291"/>
      <c r="CK67" s="291"/>
      <c r="CL67" s="291"/>
      <c r="CM67" s="291"/>
      <c r="CN67" s="291"/>
      <c r="CO67" s="291"/>
      <c r="CP67" s="291"/>
      <c r="CQ67" s="291"/>
      <c r="CR67" s="291"/>
      <c r="CS67" s="291"/>
      <c r="CT67" s="291"/>
      <c r="CU67" s="291"/>
      <c r="CV67" s="291"/>
      <c r="CW67" s="291"/>
      <c r="CX67" s="291"/>
      <c r="CY67" s="291"/>
      <c r="CZ67" s="291"/>
      <c r="DA67" s="291"/>
      <c r="DB67" s="291"/>
      <c r="DC67" s="291"/>
      <c r="DD67" s="291"/>
      <c r="DE67" s="291"/>
      <c r="DF67" s="291"/>
      <c r="DG67" s="291"/>
      <c r="DH67" s="291"/>
      <c r="DI67" s="291"/>
      <c r="DJ67" s="291"/>
      <c r="DK67" s="291"/>
      <c r="DL67" s="291"/>
      <c r="DM67" s="291"/>
      <c r="DN67" s="291"/>
      <c r="DO67" s="291"/>
      <c r="DP67" s="291"/>
      <c r="DQ67" s="291"/>
      <c r="DR67" s="291"/>
      <c r="DS67" s="291"/>
      <c r="DT67" s="291"/>
      <c r="DU67" s="291"/>
      <c r="DV67" s="291"/>
      <c r="DW67" s="291"/>
      <c r="DX67" s="291"/>
      <c r="DY67" s="291"/>
      <c r="DZ67" s="291"/>
      <c r="EA67" s="291"/>
      <c r="EB67" s="291"/>
      <c r="EC67" s="291"/>
      <c r="ED67" s="291"/>
      <c r="EE67" s="291"/>
      <c r="EF67" s="291"/>
      <c r="EG67" s="291"/>
      <c r="EH67" s="291"/>
      <c r="EI67" s="291"/>
      <c r="EJ67" s="291"/>
      <c r="EK67" s="291"/>
      <c r="EL67" s="291"/>
      <c r="EM67" s="291"/>
      <c r="EN67" s="291"/>
      <c r="EO67" s="291"/>
      <c r="EP67" s="291"/>
      <c r="EQ67" s="291"/>
      <c r="ER67" s="291"/>
      <c r="ES67" s="291"/>
      <c r="ET67" s="291"/>
      <c r="EU67" s="291"/>
      <c r="EV67" s="291"/>
      <c r="EW67" s="291"/>
      <c r="EX67" s="291"/>
      <c r="EY67" s="291"/>
      <c r="EZ67" s="291"/>
      <c r="FA67" s="291"/>
      <c r="FB67" s="291"/>
      <c r="FC67" s="291"/>
      <c r="FD67" s="291"/>
      <c r="FE67" s="291"/>
      <c r="FF67" s="291"/>
      <c r="FG67" s="291"/>
      <c r="FH67" s="291"/>
      <c r="FI67" s="291"/>
      <c r="FJ67" s="291"/>
      <c r="FK67" s="291"/>
      <c r="FL67" s="291"/>
      <c r="FM67" s="291"/>
      <c r="FN67" s="291"/>
      <c r="FO67" s="291"/>
      <c r="FP67" s="291"/>
    </row>
    <row r="68" spans="1:172" ht="11.25">
      <c r="A68" s="302" t="s">
        <v>897</v>
      </c>
      <c r="B68" s="307" t="s">
        <v>889</v>
      </c>
      <c r="C68" s="302" t="s">
        <v>903</v>
      </c>
      <c r="D68" s="302" t="s">
        <v>904</v>
      </c>
      <c r="E68" s="302">
        <v>6.7</v>
      </c>
      <c r="F68" s="302" t="s">
        <v>884</v>
      </c>
      <c r="G68" s="307" t="s">
        <v>791</v>
      </c>
      <c r="H68" s="307" t="s">
        <v>812</v>
      </c>
      <c r="I68" s="302" t="s">
        <v>594</v>
      </c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91"/>
      <c r="AQ68" s="291"/>
      <c r="AR68" s="291"/>
      <c r="AS68" s="291"/>
      <c r="AT68" s="291"/>
      <c r="AU68" s="291"/>
      <c r="AV68" s="291"/>
      <c r="AW68" s="291"/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I68" s="291"/>
      <c r="BJ68" s="291"/>
      <c r="BK68" s="291"/>
      <c r="BL68" s="291"/>
      <c r="BM68" s="291"/>
      <c r="BN68" s="291"/>
      <c r="BO68" s="291"/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1"/>
      <c r="CC68" s="291"/>
      <c r="CD68" s="291"/>
      <c r="CE68" s="291"/>
      <c r="CF68" s="291"/>
      <c r="CG68" s="291"/>
      <c r="CH68" s="291"/>
      <c r="CI68" s="291"/>
      <c r="CJ68" s="291"/>
      <c r="CK68" s="291"/>
      <c r="CL68" s="291"/>
      <c r="CM68" s="291"/>
      <c r="CN68" s="291"/>
      <c r="CO68" s="291"/>
      <c r="CP68" s="291"/>
      <c r="CQ68" s="291"/>
      <c r="CR68" s="291"/>
      <c r="CS68" s="291"/>
      <c r="CT68" s="291"/>
      <c r="CU68" s="291"/>
      <c r="CV68" s="291"/>
      <c r="CW68" s="291"/>
      <c r="CX68" s="291"/>
      <c r="CY68" s="291"/>
      <c r="CZ68" s="291"/>
      <c r="DA68" s="291"/>
      <c r="DB68" s="291"/>
      <c r="DC68" s="291"/>
      <c r="DD68" s="291"/>
      <c r="DE68" s="291"/>
      <c r="DF68" s="291"/>
      <c r="DG68" s="291"/>
      <c r="DH68" s="291"/>
      <c r="DI68" s="291"/>
      <c r="DJ68" s="291"/>
      <c r="DK68" s="291"/>
      <c r="DL68" s="291"/>
      <c r="DM68" s="291"/>
      <c r="DN68" s="291"/>
      <c r="DO68" s="291"/>
      <c r="DP68" s="291"/>
      <c r="DQ68" s="291"/>
      <c r="DR68" s="291"/>
      <c r="DS68" s="291"/>
      <c r="DT68" s="291"/>
      <c r="DU68" s="291"/>
      <c r="DV68" s="291"/>
      <c r="DW68" s="291"/>
      <c r="DX68" s="291"/>
      <c r="DY68" s="291"/>
      <c r="DZ68" s="291"/>
      <c r="EA68" s="291"/>
      <c r="EB68" s="291"/>
      <c r="EC68" s="291"/>
      <c r="ED68" s="291"/>
      <c r="EE68" s="291"/>
      <c r="EF68" s="291"/>
      <c r="EG68" s="291"/>
      <c r="EH68" s="291"/>
      <c r="EI68" s="291"/>
      <c r="EJ68" s="291"/>
      <c r="EK68" s="291"/>
      <c r="EL68" s="291"/>
      <c r="EM68" s="291"/>
      <c r="EN68" s="291"/>
      <c r="EO68" s="291"/>
      <c r="EP68" s="291"/>
      <c r="EQ68" s="291"/>
      <c r="ER68" s="291"/>
      <c r="ES68" s="291"/>
      <c r="ET68" s="291"/>
      <c r="EU68" s="291"/>
      <c r="EV68" s="291"/>
      <c r="EW68" s="291"/>
      <c r="EX68" s="291"/>
      <c r="EY68" s="291"/>
      <c r="EZ68" s="291"/>
      <c r="FA68" s="291"/>
      <c r="FB68" s="291"/>
      <c r="FC68" s="291"/>
      <c r="FD68" s="291"/>
      <c r="FE68" s="291"/>
      <c r="FF68" s="291"/>
      <c r="FG68" s="291"/>
      <c r="FH68" s="291"/>
      <c r="FI68" s="291"/>
      <c r="FJ68" s="291"/>
      <c r="FK68" s="291"/>
      <c r="FL68" s="291"/>
      <c r="FM68" s="291"/>
      <c r="FN68" s="291"/>
      <c r="FO68" s="291"/>
      <c r="FP68" s="291"/>
    </row>
    <row r="69" spans="1:172" ht="11.25">
      <c r="A69" s="302"/>
      <c r="B69" s="302" t="s">
        <v>431</v>
      </c>
      <c r="C69" s="302" t="s">
        <v>905</v>
      </c>
      <c r="D69" s="302" t="s">
        <v>906</v>
      </c>
      <c r="E69" s="302" t="s">
        <v>461</v>
      </c>
      <c r="F69" s="302"/>
      <c r="G69" s="307" t="s">
        <v>453</v>
      </c>
      <c r="H69" s="302" t="s">
        <v>816</v>
      </c>
      <c r="I69" s="307" t="s">
        <v>548</v>
      </c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1"/>
      <c r="BC69" s="291"/>
      <c r="BD69" s="291"/>
      <c r="BE69" s="291"/>
      <c r="BF69" s="291"/>
      <c r="BG69" s="291"/>
      <c r="BH69" s="291"/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1"/>
      <c r="CA69" s="291"/>
      <c r="CB69" s="291"/>
      <c r="CC69" s="291"/>
      <c r="CD69" s="291"/>
      <c r="CE69" s="291"/>
      <c r="CF69" s="291"/>
      <c r="CG69" s="291"/>
      <c r="CH69" s="291"/>
      <c r="CI69" s="291"/>
      <c r="CJ69" s="291"/>
      <c r="CK69" s="291"/>
      <c r="CL69" s="291"/>
      <c r="CM69" s="291"/>
      <c r="CN69" s="291"/>
      <c r="CO69" s="291"/>
      <c r="CP69" s="291"/>
      <c r="CQ69" s="291"/>
      <c r="CR69" s="291"/>
      <c r="CS69" s="291"/>
      <c r="CT69" s="291"/>
      <c r="CU69" s="291"/>
      <c r="CV69" s="291"/>
      <c r="CW69" s="291"/>
      <c r="CX69" s="291"/>
      <c r="CY69" s="291"/>
      <c r="CZ69" s="291"/>
      <c r="DA69" s="291"/>
      <c r="DB69" s="291"/>
      <c r="DC69" s="291"/>
      <c r="DD69" s="291"/>
      <c r="DE69" s="291"/>
      <c r="DF69" s="291"/>
      <c r="DG69" s="291"/>
      <c r="DH69" s="291"/>
      <c r="DI69" s="291"/>
      <c r="DJ69" s="291"/>
      <c r="DK69" s="291"/>
      <c r="DL69" s="291"/>
      <c r="DM69" s="291"/>
      <c r="DN69" s="291"/>
      <c r="DO69" s="291"/>
      <c r="DP69" s="291"/>
      <c r="DQ69" s="291"/>
      <c r="DR69" s="291"/>
      <c r="DS69" s="291"/>
      <c r="DT69" s="291"/>
      <c r="DU69" s="291"/>
      <c r="DV69" s="291"/>
      <c r="DW69" s="291"/>
      <c r="DX69" s="291"/>
      <c r="DY69" s="291"/>
      <c r="DZ69" s="291"/>
      <c r="EA69" s="291"/>
      <c r="EB69" s="291"/>
      <c r="EC69" s="291"/>
      <c r="ED69" s="291"/>
      <c r="EE69" s="291"/>
      <c r="EF69" s="291"/>
      <c r="EG69" s="291"/>
      <c r="EH69" s="291"/>
      <c r="EI69" s="291"/>
      <c r="EJ69" s="291"/>
      <c r="EK69" s="291"/>
      <c r="EL69" s="291"/>
      <c r="EM69" s="291"/>
      <c r="EN69" s="291"/>
      <c r="EO69" s="291"/>
      <c r="EP69" s="291"/>
      <c r="EQ69" s="291"/>
      <c r="ER69" s="291"/>
      <c r="ES69" s="291"/>
      <c r="ET69" s="291"/>
      <c r="EU69" s="291"/>
      <c r="EV69" s="291"/>
      <c r="EW69" s="291"/>
      <c r="EX69" s="291"/>
      <c r="EY69" s="291"/>
      <c r="EZ69" s="291"/>
      <c r="FA69" s="291"/>
      <c r="FB69" s="291"/>
      <c r="FC69" s="291"/>
      <c r="FD69" s="291"/>
      <c r="FE69" s="291"/>
      <c r="FF69" s="291"/>
      <c r="FG69" s="291"/>
      <c r="FH69" s="291"/>
      <c r="FI69" s="291"/>
      <c r="FJ69" s="291"/>
      <c r="FK69" s="291"/>
      <c r="FL69" s="291"/>
      <c r="FM69" s="291"/>
      <c r="FN69" s="291"/>
      <c r="FO69" s="291"/>
      <c r="FP69" s="291"/>
    </row>
    <row r="70" spans="1:172" ht="11.25">
      <c r="A70" s="303"/>
      <c r="B70" s="303"/>
      <c r="C70" s="303" t="s">
        <v>630</v>
      </c>
      <c r="D70" s="303"/>
      <c r="E70" s="303"/>
      <c r="F70" s="303"/>
      <c r="G70" s="308" t="s">
        <v>548</v>
      </c>
      <c r="H70" s="303"/>
      <c r="I70" s="303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1"/>
      <c r="BC70" s="291"/>
      <c r="BD70" s="291"/>
      <c r="BE70" s="291"/>
      <c r="BF70" s="291"/>
      <c r="BG70" s="291"/>
      <c r="BH70" s="291"/>
      <c r="BI70" s="291"/>
      <c r="BJ70" s="291"/>
      <c r="BK70" s="291"/>
      <c r="BL70" s="291"/>
      <c r="BM70" s="291"/>
      <c r="BN70" s="291"/>
      <c r="BO70" s="291"/>
      <c r="BP70" s="291"/>
      <c r="BQ70" s="291"/>
      <c r="BR70" s="291"/>
      <c r="BS70" s="291"/>
      <c r="BT70" s="291"/>
      <c r="BU70" s="291"/>
      <c r="BV70" s="291"/>
      <c r="BW70" s="291"/>
      <c r="BX70" s="291"/>
      <c r="BY70" s="291"/>
      <c r="BZ70" s="291"/>
      <c r="CA70" s="291"/>
      <c r="CB70" s="291"/>
      <c r="CC70" s="291"/>
      <c r="CD70" s="291"/>
      <c r="CE70" s="291"/>
      <c r="CF70" s="291"/>
      <c r="CG70" s="291"/>
      <c r="CH70" s="291"/>
      <c r="CI70" s="291"/>
      <c r="CJ70" s="291"/>
      <c r="CK70" s="291"/>
      <c r="CL70" s="291"/>
      <c r="CM70" s="291"/>
      <c r="CN70" s="291"/>
      <c r="CO70" s="291"/>
      <c r="CP70" s="291"/>
      <c r="CQ70" s="291"/>
      <c r="CR70" s="291"/>
      <c r="CS70" s="291"/>
      <c r="CT70" s="291"/>
      <c r="CU70" s="291"/>
      <c r="CV70" s="291"/>
      <c r="CW70" s="291"/>
      <c r="CX70" s="291"/>
      <c r="CY70" s="291"/>
      <c r="CZ70" s="291"/>
      <c r="DA70" s="291"/>
      <c r="DB70" s="291"/>
      <c r="DC70" s="291"/>
      <c r="DD70" s="291"/>
      <c r="DE70" s="291"/>
      <c r="DF70" s="291"/>
      <c r="DG70" s="291"/>
      <c r="DH70" s="291"/>
      <c r="DI70" s="291"/>
      <c r="DJ70" s="291"/>
      <c r="DK70" s="291"/>
      <c r="DL70" s="291"/>
      <c r="DM70" s="291"/>
      <c r="DN70" s="291"/>
      <c r="DO70" s="291"/>
      <c r="DP70" s="291"/>
      <c r="DQ70" s="291"/>
      <c r="DR70" s="291"/>
      <c r="DS70" s="291"/>
      <c r="DT70" s="291"/>
      <c r="DU70" s="291"/>
      <c r="DV70" s="291"/>
      <c r="DW70" s="291"/>
      <c r="DX70" s="291"/>
      <c r="DY70" s="291"/>
      <c r="DZ70" s="291"/>
      <c r="EA70" s="291"/>
      <c r="EB70" s="291"/>
      <c r="EC70" s="291"/>
      <c r="ED70" s="291"/>
      <c r="EE70" s="291"/>
      <c r="EF70" s="291"/>
      <c r="EG70" s="291"/>
      <c r="EH70" s="291"/>
      <c r="EI70" s="291"/>
      <c r="EJ70" s="291"/>
      <c r="EK70" s="291"/>
      <c r="EL70" s="291"/>
      <c r="EM70" s="291"/>
      <c r="EN70" s="291"/>
      <c r="EO70" s="291"/>
      <c r="EP70" s="291"/>
      <c r="EQ70" s="291"/>
      <c r="ER70" s="291"/>
      <c r="ES70" s="291"/>
      <c r="ET70" s="291"/>
      <c r="EU70" s="291"/>
      <c r="EV70" s="291"/>
      <c r="EW70" s="291"/>
      <c r="EX70" s="291"/>
      <c r="EY70" s="291"/>
      <c r="EZ70" s="291"/>
      <c r="FA70" s="291"/>
      <c r="FB70" s="291"/>
      <c r="FC70" s="291"/>
      <c r="FD70" s="291"/>
      <c r="FE70" s="291"/>
      <c r="FF70" s="291"/>
      <c r="FG70" s="291"/>
      <c r="FH70" s="291"/>
      <c r="FI70" s="291"/>
      <c r="FJ70" s="291"/>
      <c r="FK70" s="291"/>
      <c r="FL70" s="291"/>
      <c r="FM70" s="291"/>
      <c r="FN70" s="291"/>
      <c r="FO70" s="291"/>
      <c r="FP70" s="291"/>
    </row>
    <row r="71" spans="1:172" ht="11.25">
      <c r="A71" s="301"/>
      <c r="B71" s="301"/>
      <c r="C71" s="301"/>
      <c r="D71" s="301"/>
      <c r="E71" s="301"/>
      <c r="F71" s="301"/>
      <c r="G71" s="301"/>
      <c r="H71" s="301"/>
      <c r="I71" s="30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  <c r="AR71" s="291"/>
      <c r="AS71" s="291"/>
      <c r="AT71" s="291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E71" s="291"/>
      <c r="BF71" s="291"/>
      <c r="BG71" s="291"/>
      <c r="BH71" s="291"/>
      <c r="BI71" s="291"/>
      <c r="BJ71" s="291"/>
      <c r="BK71" s="291"/>
      <c r="BL71" s="291"/>
      <c r="BM71" s="291"/>
      <c r="BN71" s="291"/>
      <c r="BO71" s="291"/>
      <c r="BP71" s="291"/>
      <c r="BQ71" s="291"/>
      <c r="BR71" s="291"/>
      <c r="BS71" s="291"/>
      <c r="BT71" s="291"/>
      <c r="BU71" s="291"/>
      <c r="BV71" s="291"/>
      <c r="BW71" s="291"/>
      <c r="BX71" s="291"/>
      <c r="BY71" s="291"/>
      <c r="BZ71" s="291"/>
      <c r="CA71" s="291"/>
      <c r="CB71" s="291"/>
      <c r="CC71" s="291"/>
      <c r="CD71" s="291"/>
      <c r="CE71" s="291"/>
      <c r="CF71" s="291"/>
      <c r="CG71" s="291"/>
      <c r="CH71" s="291"/>
      <c r="CI71" s="291"/>
      <c r="CJ71" s="291"/>
      <c r="CK71" s="291"/>
      <c r="CL71" s="291"/>
      <c r="CM71" s="291"/>
      <c r="CN71" s="291"/>
      <c r="CO71" s="291"/>
      <c r="CP71" s="291"/>
      <c r="CQ71" s="291"/>
      <c r="CR71" s="291"/>
      <c r="CS71" s="291"/>
      <c r="CT71" s="291"/>
      <c r="CU71" s="291"/>
      <c r="CV71" s="291"/>
      <c r="CW71" s="291"/>
      <c r="CX71" s="291"/>
      <c r="CY71" s="291"/>
      <c r="CZ71" s="291"/>
      <c r="DA71" s="291"/>
      <c r="DB71" s="291"/>
      <c r="DC71" s="291"/>
      <c r="DD71" s="291"/>
      <c r="DE71" s="291"/>
      <c r="DF71" s="291"/>
      <c r="DG71" s="291"/>
      <c r="DH71" s="291"/>
      <c r="DI71" s="291"/>
      <c r="DJ71" s="291"/>
      <c r="DK71" s="291"/>
      <c r="DL71" s="291"/>
      <c r="DM71" s="291"/>
      <c r="DN71" s="291"/>
      <c r="DO71" s="291"/>
      <c r="DP71" s="291"/>
      <c r="DQ71" s="291"/>
      <c r="DR71" s="291"/>
      <c r="DS71" s="291"/>
      <c r="DT71" s="291"/>
      <c r="DU71" s="291"/>
      <c r="DV71" s="291"/>
      <c r="DW71" s="291"/>
      <c r="DX71" s="291"/>
      <c r="DY71" s="291"/>
      <c r="DZ71" s="291"/>
      <c r="EA71" s="291"/>
      <c r="EB71" s="291"/>
      <c r="EC71" s="291"/>
      <c r="ED71" s="291"/>
      <c r="EE71" s="291"/>
      <c r="EF71" s="291"/>
      <c r="EG71" s="291"/>
      <c r="EH71" s="291"/>
      <c r="EI71" s="291"/>
      <c r="EJ71" s="291"/>
      <c r="EK71" s="291"/>
      <c r="EL71" s="291"/>
      <c r="EM71" s="291"/>
      <c r="EN71" s="291"/>
      <c r="EO71" s="291"/>
      <c r="EP71" s="291"/>
      <c r="EQ71" s="291"/>
      <c r="ER71" s="291"/>
      <c r="ES71" s="291"/>
      <c r="ET71" s="291"/>
      <c r="EU71" s="291"/>
      <c r="EV71" s="291"/>
      <c r="EW71" s="291"/>
      <c r="EX71" s="291"/>
      <c r="EY71" s="291"/>
      <c r="EZ71" s="291"/>
      <c r="FA71" s="291"/>
      <c r="FB71" s="291"/>
      <c r="FC71" s="291"/>
      <c r="FD71" s="291"/>
      <c r="FE71" s="291"/>
      <c r="FF71" s="291"/>
      <c r="FG71" s="291"/>
      <c r="FH71" s="291"/>
      <c r="FI71" s="291"/>
      <c r="FJ71" s="291"/>
      <c r="FK71" s="291"/>
      <c r="FL71" s="291"/>
      <c r="FM71" s="291"/>
      <c r="FN71" s="291"/>
      <c r="FO71" s="291"/>
      <c r="FP71" s="291"/>
    </row>
    <row r="72" spans="1:9" ht="11.25">
      <c r="A72" s="302" t="s">
        <v>890</v>
      </c>
      <c r="B72" s="302" t="s">
        <v>479</v>
      </c>
      <c r="C72" s="302" t="s">
        <v>498</v>
      </c>
      <c r="D72" s="302" t="s">
        <v>839</v>
      </c>
      <c r="E72" s="327">
        <v>34.1</v>
      </c>
      <c r="F72" s="307" t="s">
        <v>907</v>
      </c>
      <c r="G72" s="302" t="s">
        <v>621</v>
      </c>
      <c r="H72" s="331">
        <v>4</v>
      </c>
      <c r="I72" s="302" t="s">
        <v>600</v>
      </c>
    </row>
    <row r="73" spans="1:9" ht="11.25">
      <c r="A73" s="302" t="s">
        <v>601</v>
      </c>
      <c r="B73" s="302" t="s">
        <v>483</v>
      </c>
      <c r="C73" s="302" t="s">
        <v>670</v>
      </c>
      <c r="D73" s="302"/>
      <c r="E73" s="302" t="s">
        <v>461</v>
      </c>
      <c r="F73" s="302"/>
      <c r="G73" s="302" t="s">
        <v>623</v>
      </c>
      <c r="H73" s="302" t="s">
        <v>816</v>
      </c>
      <c r="I73" s="302" t="s">
        <v>623</v>
      </c>
    </row>
    <row r="74" spans="1:9" ht="11.25">
      <c r="A74" s="303"/>
      <c r="B74" s="303"/>
      <c r="C74" s="303"/>
      <c r="D74" s="303"/>
      <c r="E74" s="303"/>
      <c r="F74" s="303"/>
      <c r="G74" s="303"/>
      <c r="H74" s="303"/>
      <c r="I74" s="303"/>
    </row>
    <row r="75" spans="1:9" ht="11.25">
      <c r="A75" s="301"/>
      <c r="B75" s="301"/>
      <c r="C75" s="301"/>
      <c r="D75" s="301"/>
      <c r="E75" s="301"/>
      <c r="F75" s="301"/>
      <c r="G75" s="301"/>
      <c r="H75" s="301"/>
      <c r="I75" s="301"/>
    </row>
    <row r="76" spans="1:9" ht="11.25">
      <c r="A76" s="302" t="s">
        <v>509</v>
      </c>
      <c r="B76" s="302" t="s">
        <v>462</v>
      </c>
      <c r="C76" s="302" t="s">
        <v>498</v>
      </c>
      <c r="D76" s="302" t="s">
        <v>839</v>
      </c>
      <c r="E76" s="327">
        <v>51.427185</v>
      </c>
      <c r="F76" s="307" t="s">
        <v>908</v>
      </c>
      <c r="G76" s="307" t="s">
        <v>909</v>
      </c>
      <c r="H76" s="307" t="s">
        <v>910</v>
      </c>
      <c r="I76" s="331" t="s">
        <v>911</v>
      </c>
    </row>
    <row r="77" spans="1:9" ht="11.25">
      <c r="A77" s="302" t="s">
        <v>482</v>
      </c>
      <c r="B77" s="302" t="s">
        <v>515</v>
      </c>
      <c r="C77" s="302" t="s">
        <v>670</v>
      </c>
      <c r="D77" s="302"/>
      <c r="E77" s="302" t="s">
        <v>912</v>
      </c>
      <c r="F77" s="302"/>
      <c r="G77" s="307" t="s">
        <v>527</v>
      </c>
      <c r="H77" s="302" t="s">
        <v>816</v>
      </c>
      <c r="I77" s="307" t="s">
        <v>527</v>
      </c>
    </row>
    <row r="78" spans="1:9" ht="11.25">
      <c r="A78" s="303"/>
      <c r="B78" s="303"/>
      <c r="C78" s="303"/>
      <c r="D78" s="303"/>
      <c r="E78" s="303"/>
      <c r="F78" s="303"/>
      <c r="G78" s="303"/>
      <c r="H78" s="303"/>
      <c r="I78" s="303"/>
    </row>
    <row r="79" spans="1:9" ht="11.25">
      <c r="A79" s="301"/>
      <c r="B79" s="301"/>
      <c r="C79" s="301"/>
      <c r="D79" s="301"/>
      <c r="E79" s="301"/>
      <c r="F79" s="301"/>
      <c r="G79" s="301"/>
      <c r="H79" s="301"/>
      <c r="I79" s="301"/>
    </row>
    <row r="80" spans="1:9" ht="11.25">
      <c r="A80" s="302" t="s">
        <v>890</v>
      </c>
      <c r="B80" s="302" t="s">
        <v>913</v>
      </c>
      <c r="C80" s="302" t="s">
        <v>914</v>
      </c>
      <c r="D80" s="302" t="s">
        <v>902</v>
      </c>
      <c r="E80" s="327">
        <v>22.5</v>
      </c>
      <c r="F80" s="302" t="s">
        <v>915</v>
      </c>
      <c r="G80" s="302" t="s">
        <v>916</v>
      </c>
      <c r="H80" s="331">
        <v>5</v>
      </c>
      <c r="I80" s="302" t="s">
        <v>629</v>
      </c>
    </row>
    <row r="81" spans="1:9" ht="11.25">
      <c r="A81" s="302" t="s">
        <v>601</v>
      </c>
      <c r="B81" s="302" t="s">
        <v>483</v>
      </c>
      <c r="C81" s="302" t="s">
        <v>659</v>
      </c>
      <c r="D81" s="302" t="s">
        <v>917</v>
      </c>
      <c r="E81" s="302" t="s">
        <v>461</v>
      </c>
      <c r="F81" s="302"/>
      <c r="G81" s="302" t="s">
        <v>918</v>
      </c>
      <c r="H81" s="302" t="s">
        <v>816</v>
      </c>
      <c r="I81" s="302" t="s">
        <v>918</v>
      </c>
    </row>
    <row r="82" spans="1:9" ht="11.25">
      <c r="A82" s="303"/>
      <c r="B82" s="303"/>
      <c r="C82" s="303"/>
      <c r="D82" s="303"/>
      <c r="E82" s="303"/>
      <c r="F82" s="303"/>
      <c r="G82" s="303"/>
      <c r="H82" s="303"/>
      <c r="I82" s="303"/>
    </row>
    <row r="83" spans="1:9" ht="11.25">
      <c r="A83" s="301"/>
      <c r="B83" s="301"/>
      <c r="C83" s="301"/>
      <c r="D83" s="301"/>
      <c r="E83" s="301"/>
      <c r="F83" s="301"/>
      <c r="G83" s="301"/>
      <c r="H83" s="301"/>
      <c r="I83" s="301"/>
    </row>
    <row r="84" spans="1:9" ht="11.25">
      <c r="A84" s="302" t="s">
        <v>919</v>
      </c>
      <c r="B84" s="302" t="s">
        <v>920</v>
      </c>
      <c r="C84" s="302" t="s">
        <v>828</v>
      </c>
      <c r="D84" s="302" t="s">
        <v>820</v>
      </c>
      <c r="E84" s="327">
        <v>23.5</v>
      </c>
      <c r="F84" s="307" t="s">
        <v>907</v>
      </c>
      <c r="G84" s="302" t="s">
        <v>921</v>
      </c>
      <c r="H84" s="307" t="s">
        <v>910</v>
      </c>
      <c r="I84" s="307" t="s">
        <v>629</v>
      </c>
    </row>
    <row r="85" spans="1:9" ht="11.25">
      <c r="A85" s="302" t="s">
        <v>615</v>
      </c>
      <c r="B85" s="302" t="s">
        <v>515</v>
      </c>
      <c r="C85" s="302" t="s">
        <v>832</v>
      </c>
      <c r="D85" s="302" t="s">
        <v>824</v>
      </c>
      <c r="E85" s="302" t="s">
        <v>461</v>
      </c>
      <c r="F85" s="302"/>
      <c r="G85" s="302" t="s">
        <v>787</v>
      </c>
      <c r="H85" s="302" t="s">
        <v>816</v>
      </c>
      <c r="I85" s="302" t="s">
        <v>787</v>
      </c>
    </row>
    <row r="86" spans="1:9" ht="11.25">
      <c r="A86" s="303"/>
      <c r="B86" s="303"/>
      <c r="C86" s="303" t="s">
        <v>836</v>
      </c>
      <c r="D86" s="303"/>
      <c r="E86" s="303"/>
      <c r="F86" s="303"/>
      <c r="G86" s="303"/>
      <c r="H86" s="303"/>
      <c r="I86" s="303"/>
    </row>
    <row r="87" spans="1:9" ht="11.25">
      <c r="A87" s="301"/>
      <c r="B87" s="301"/>
      <c r="C87" s="301"/>
      <c r="D87" s="301"/>
      <c r="E87" s="301"/>
      <c r="F87" s="301"/>
      <c r="G87" s="304"/>
      <c r="H87" s="301"/>
      <c r="I87" s="301"/>
    </row>
    <row r="88" spans="1:9" ht="11.25">
      <c r="A88" s="302" t="s">
        <v>922</v>
      </c>
      <c r="B88" s="307" t="s">
        <v>787</v>
      </c>
      <c r="C88" s="302" t="s">
        <v>923</v>
      </c>
      <c r="D88" s="302" t="s">
        <v>924</v>
      </c>
      <c r="E88" s="302">
        <v>20.5</v>
      </c>
      <c r="F88" s="302" t="s">
        <v>915</v>
      </c>
      <c r="G88" s="307" t="s">
        <v>925</v>
      </c>
      <c r="H88" s="307" t="s">
        <v>910</v>
      </c>
      <c r="I88" s="302" t="s">
        <v>926</v>
      </c>
    </row>
    <row r="89" spans="1:9" ht="11.25">
      <c r="A89" s="302" t="s">
        <v>927</v>
      </c>
      <c r="B89" s="302" t="s">
        <v>431</v>
      </c>
      <c r="C89" s="302" t="s">
        <v>928</v>
      </c>
      <c r="D89" s="302" t="s">
        <v>929</v>
      </c>
      <c r="E89" s="302" t="s">
        <v>461</v>
      </c>
      <c r="F89" s="302"/>
      <c r="G89" s="307" t="s">
        <v>930</v>
      </c>
      <c r="H89" s="302" t="s">
        <v>816</v>
      </c>
      <c r="I89" s="307" t="s">
        <v>930</v>
      </c>
    </row>
    <row r="90" spans="1:9" ht="11.25">
      <c r="A90" s="303"/>
      <c r="B90" s="303"/>
      <c r="C90" s="303"/>
      <c r="D90" s="303"/>
      <c r="E90" s="303"/>
      <c r="F90" s="303"/>
      <c r="G90" s="308"/>
      <c r="H90" s="303"/>
      <c r="I90" s="303"/>
    </row>
    <row r="91" spans="1:9" ht="11.25">
      <c r="A91" s="301"/>
      <c r="B91" s="301"/>
      <c r="C91" s="301"/>
      <c r="D91" s="301"/>
      <c r="E91" s="301"/>
      <c r="F91" s="301"/>
      <c r="G91" s="301"/>
      <c r="H91" s="301"/>
      <c r="I91" s="301"/>
    </row>
    <row r="92" spans="1:9" ht="11.25">
      <c r="A92" s="302" t="s">
        <v>931</v>
      </c>
      <c r="B92" s="302" t="s">
        <v>913</v>
      </c>
      <c r="C92" s="302" t="s">
        <v>914</v>
      </c>
      <c r="D92" s="302" t="s">
        <v>902</v>
      </c>
      <c r="E92" s="327">
        <v>15</v>
      </c>
      <c r="F92" s="302" t="s">
        <v>932</v>
      </c>
      <c r="G92" s="302" t="s">
        <v>783</v>
      </c>
      <c r="H92" s="331">
        <v>5</v>
      </c>
      <c r="I92" s="302" t="s">
        <v>933</v>
      </c>
    </row>
    <row r="93" spans="1:9" ht="11.25">
      <c r="A93" s="302" t="s">
        <v>934</v>
      </c>
      <c r="B93" s="302" t="s">
        <v>483</v>
      </c>
      <c r="C93" s="302" t="s">
        <v>659</v>
      </c>
      <c r="D93" s="302" t="s">
        <v>917</v>
      </c>
      <c r="E93" s="302" t="s">
        <v>452</v>
      </c>
      <c r="F93" s="302"/>
      <c r="G93" s="302" t="s">
        <v>661</v>
      </c>
      <c r="H93" s="302" t="s">
        <v>816</v>
      </c>
      <c r="I93" s="302" t="s">
        <v>783</v>
      </c>
    </row>
    <row r="94" spans="1:9" ht="11.25">
      <c r="A94" s="303"/>
      <c r="B94" s="303"/>
      <c r="C94" s="303"/>
      <c r="D94" s="303"/>
      <c r="E94" s="303"/>
      <c r="F94" s="303"/>
      <c r="G94" s="303"/>
      <c r="H94" s="303"/>
      <c r="I94" s="303"/>
    </row>
    <row r="95" spans="1:9" ht="11.25">
      <c r="A95" s="302"/>
      <c r="B95" s="302"/>
      <c r="C95" s="302"/>
      <c r="D95" s="302"/>
      <c r="E95" s="302"/>
      <c r="F95" s="302"/>
      <c r="G95" s="302"/>
      <c r="H95" s="302"/>
      <c r="I95" s="302"/>
    </row>
    <row r="96" spans="1:9" ht="11.25">
      <c r="A96" s="302" t="s">
        <v>931</v>
      </c>
      <c r="B96" s="302" t="s">
        <v>935</v>
      </c>
      <c r="C96" s="302" t="s">
        <v>498</v>
      </c>
      <c r="D96" s="302" t="s">
        <v>839</v>
      </c>
      <c r="E96" s="327">
        <v>6</v>
      </c>
      <c r="F96" s="302" t="s">
        <v>932</v>
      </c>
      <c r="G96" s="302" t="s">
        <v>783</v>
      </c>
      <c r="H96" s="331">
        <v>5</v>
      </c>
      <c r="I96" s="307" t="s">
        <v>933</v>
      </c>
    </row>
    <row r="97" spans="1:9" ht="11.25">
      <c r="A97" s="302" t="s">
        <v>934</v>
      </c>
      <c r="B97" s="302" t="s">
        <v>483</v>
      </c>
      <c r="C97" s="302" t="s">
        <v>670</v>
      </c>
      <c r="D97" s="302"/>
      <c r="E97" s="302" t="s">
        <v>452</v>
      </c>
      <c r="F97" s="302"/>
      <c r="G97" s="302" t="s">
        <v>661</v>
      </c>
      <c r="H97" s="302" t="s">
        <v>816</v>
      </c>
      <c r="I97" s="302" t="s">
        <v>783</v>
      </c>
    </row>
    <row r="98" spans="1:9" ht="11.25">
      <c r="A98" s="303"/>
      <c r="B98" s="303"/>
      <c r="C98" s="303"/>
      <c r="D98" s="303"/>
      <c r="E98" s="303"/>
      <c r="F98" s="303"/>
      <c r="G98" s="303"/>
      <c r="H98" s="303"/>
      <c r="I98" s="303"/>
    </row>
    <row r="99" spans="1:9" ht="11.25">
      <c r="A99" s="301"/>
      <c r="B99" s="301"/>
      <c r="C99" s="301"/>
      <c r="D99" s="301"/>
      <c r="E99" s="301"/>
      <c r="F99" s="301"/>
      <c r="G99" s="304"/>
      <c r="H99" s="301"/>
      <c r="I99" s="301"/>
    </row>
    <row r="100" spans="1:9" ht="11.25">
      <c r="A100" s="302" t="s">
        <v>936</v>
      </c>
      <c r="B100" s="307" t="s">
        <v>787</v>
      </c>
      <c r="C100" s="302" t="s">
        <v>937</v>
      </c>
      <c r="D100" s="302" t="s">
        <v>924</v>
      </c>
      <c r="E100" s="302">
        <v>34</v>
      </c>
      <c r="F100" s="302" t="s">
        <v>938</v>
      </c>
      <c r="G100" s="307" t="s">
        <v>775</v>
      </c>
      <c r="H100" s="307" t="s">
        <v>939</v>
      </c>
      <c r="I100" s="302" t="s">
        <v>940</v>
      </c>
    </row>
    <row r="101" spans="1:9" ht="11.25">
      <c r="A101" s="302"/>
      <c r="B101" s="302" t="s">
        <v>431</v>
      </c>
      <c r="C101" s="302" t="s">
        <v>941</v>
      </c>
      <c r="D101" s="302" t="s">
        <v>929</v>
      </c>
      <c r="E101" s="302" t="s">
        <v>452</v>
      </c>
      <c r="F101" s="302" t="s">
        <v>942</v>
      </c>
      <c r="G101" s="307" t="s">
        <v>943</v>
      </c>
      <c r="H101" s="302" t="s">
        <v>816</v>
      </c>
      <c r="I101" s="307" t="s">
        <v>943</v>
      </c>
    </row>
    <row r="102" spans="1:9" ht="11.25">
      <c r="A102" s="303"/>
      <c r="B102" s="303"/>
      <c r="C102" s="303"/>
      <c r="D102" s="303"/>
      <c r="E102" s="303"/>
      <c r="F102" s="303" t="s">
        <v>944</v>
      </c>
      <c r="G102" s="308"/>
      <c r="H102" s="303"/>
      <c r="I102" s="303"/>
    </row>
    <row r="103" spans="1:9" ht="12.75">
      <c r="A103" s="296"/>
      <c r="B103" s="296"/>
      <c r="C103" s="296"/>
      <c r="D103" s="296"/>
      <c r="E103" s="296"/>
      <c r="F103" s="296"/>
      <c r="G103" s="35"/>
      <c r="H103" s="296"/>
      <c r="I103" s="296"/>
    </row>
    <row r="104" spans="1:9" ht="11.25">
      <c r="A104" s="310"/>
      <c r="B104" s="291"/>
      <c r="C104" s="310"/>
      <c r="D104" s="310"/>
      <c r="E104" s="311"/>
      <c r="F104" s="310"/>
      <c r="G104" s="291"/>
      <c r="H104" s="310"/>
      <c r="I104" s="310"/>
    </row>
    <row r="105" s="35" customFormat="1" ht="12.75"/>
    <row r="106" spans="1:9" ht="11.25">
      <c r="A106" s="310"/>
      <c r="B106" s="291"/>
      <c r="C106" s="310"/>
      <c r="D106" s="310"/>
      <c r="E106" s="311"/>
      <c r="F106" s="310"/>
      <c r="G106" s="291"/>
      <c r="H106" s="310"/>
      <c r="I106" s="310"/>
    </row>
    <row r="107" spans="1:22" s="317" customFormat="1" ht="12.75">
      <c r="A107" s="312" t="s">
        <v>734</v>
      </c>
      <c r="B107" s="313"/>
      <c r="C107" s="314" t="s">
        <v>150</v>
      </c>
      <c r="D107" s="35"/>
      <c r="E107" s="315" t="s">
        <v>42</v>
      </c>
      <c r="F107" s="316"/>
      <c r="G107" s="313"/>
      <c r="H107" s="316"/>
      <c r="I107" s="316" t="s">
        <v>151</v>
      </c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</row>
    <row r="108" spans="1:9" ht="11.25">
      <c r="A108" s="310"/>
      <c r="B108" s="291"/>
      <c r="C108" s="310"/>
      <c r="D108" s="310"/>
      <c r="E108" s="311"/>
      <c r="F108" s="310"/>
      <c r="G108" s="291"/>
      <c r="H108" s="310"/>
      <c r="I108" s="310"/>
    </row>
    <row r="109" spans="1:9" ht="11.25">
      <c r="A109" s="310"/>
      <c r="B109" s="291"/>
      <c r="C109" s="310"/>
      <c r="D109" s="310"/>
      <c r="E109" s="311"/>
      <c r="F109" s="310"/>
      <c r="G109" s="291"/>
      <c r="H109" s="310"/>
      <c r="I109" s="310"/>
    </row>
    <row r="110" spans="1:9" ht="11.25">
      <c r="A110" s="310"/>
      <c r="B110" s="291"/>
      <c r="C110" s="310"/>
      <c r="D110" s="310"/>
      <c r="E110" s="311"/>
      <c r="F110" s="310"/>
      <c r="G110" s="291"/>
      <c r="H110" s="310"/>
      <c r="I110" s="310"/>
    </row>
    <row r="111" spans="1:9" ht="11.25">
      <c r="A111" s="310"/>
      <c r="B111" s="291"/>
      <c r="C111" s="310"/>
      <c r="D111" s="310"/>
      <c r="E111" s="311"/>
      <c r="F111" s="310"/>
      <c r="G111" s="291"/>
      <c r="H111" s="310"/>
      <c r="I111" s="310"/>
    </row>
    <row r="112" spans="1:9" ht="11.25">
      <c r="A112" s="310"/>
      <c r="B112" s="291"/>
      <c r="C112" s="310"/>
      <c r="D112" s="310"/>
      <c r="E112" s="311"/>
      <c r="F112" s="310"/>
      <c r="G112" s="291"/>
      <c r="H112" s="310"/>
      <c r="I112" s="310"/>
    </row>
    <row r="113" spans="1:9" ht="11.25">
      <c r="A113" s="310"/>
      <c r="B113" s="291"/>
      <c r="C113" s="310"/>
      <c r="D113" s="310"/>
      <c r="E113" s="311"/>
      <c r="F113" s="310"/>
      <c r="G113" s="291"/>
      <c r="H113" s="310"/>
      <c r="I113" s="310"/>
    </row>
    <row r="114" spans="1:9" ht="11.25">
      <c r="A114" s="310"/>
      <c r="B114" s="291"/>
      <c r="C114" s="310"/>
      <c r="D114" s="310"/>
      <c r="E114" s="311"/>
      <c r="F114" s="310"/>
      <c r="G114" s="291"/>
      <c r="H114" s="310"/>
      <c r="I114" s="310"/>
    </row>
    <row r="115" spans="1:9" ht="11.25">
      <c r="A115" s="310"/>
      <c r="B115" s="291"/>
      <c r="C115" s="310"/>
      <c r="D115" s="310"/>
      <c r="E115" s="311"/>
      <c r="F115" s="310"/>
      <c r="G115" s="291"/>
      <c r="H115" s="310"/>
      <c r="I115" s="310"/>
    </row>
    <row r="116" spans="1:9" ht="11.25">
      <c r="A116" s="310"/>
      <c r="B116" s="291"/>
      <c r="C116" s="310"/>
      <c r="D116" s="310"/>
      <c r="E116" s="311"/>
      <c r="F116" s="310"/>
      <c r="G116" s="291"/>
      <c r="H116" s="310"/>
      <c r="I116" s="310"/>
    </row>
    <row r="117" spans="1:9" ht="11.25">
      <c r="A117" s="310"/>
      <c r="B117" s="291"/>
      <c r="C117" s="310"/>
      <c r="D117" s="310"/>
      <c r="E117" s="311"/>
      <c r="F117" s="310"/>
      <c r="G117" s="291"/>
      <c r="H117" s="310"/>
      <c r="I117" s="310"/>
    </row>
    <row r="118" spans="1:9" ht="11.25">
      <c r="A118" s="310"/>
      <c r="B118" s="291"/>
      <c r="C118" s="310"/>
      <c r="D118" s="310"/>
      <c r="E118" s="311"/>
      <c r="F118" s="310"/>
      <c r="G118" s="291"/>
      <c r="H118" s="310"/>
      <c r="I118" s="310"/>
    </row>
    <row r="119" spans="1:9" ht="11.25">
      <c r="A119" s="310"/>
      <c r="B119" s="291"/>
      <c r="C119" s="310"/>
      <c r="D119" s="310"/>
      <c r="E119" s="311"/>
      <c r="F119" s="310"/>
      <c r="G119" s="291"/>
      <c r="H119" s="310"/>
      <c r="I119" s="310"/>
    </row>
    <row r="120" spans="1:9" ht="11.25">
      <c r="A120" s="310"/>
      <c r="B120" s="291"/>
      <c r="C120" s="310"/>
      <c r="D120" s="310"/>
      <c r="E120" s="311"/>
      <c r="F120" s="310"/>
      <c r="G120" s="291"/>
      <c r="H120" s="310"/>
      <c r="I120" s="310"/>
    </row>
    <row r="121" spans="1:9" ht="11.25">
      <c r="A121" s="310"/>
      <c r="B121" s="291"/>
      <c r="C121" s="310"/>
      <c r="D121" s="310"/>
      <c r="E121" s="311"/>
      <c r="F121" s="310"/>
      <c r="G121" s="291"/>
      <c r="H121" s="310"/>
      <c r="I121" s="310"/>
    </row>
    <row r="122" spans="1:9" ht="11.25">
      <c r="A122" s="310"/>
      <c r="B122" s="291"/>
      <c r="C122" s="310"/>
      <c r="D122" s="310"/>
      <c r="E122" s="311"/>
      <c r="F122" s="310"/>
      <c r="G122" s="291"/>
      <c r="H122" s="310"/>
      <c r="I122" s="310"/>
    </row>
    <row r="123" spans="1:9" ht="11.25">
      <c r="A123" s="310"/>
      <c r="B123" s="291"/>
      <c r="C123" s="310"/>
      <c r="D123" s="310"/>
      <c r="E123" s="311"/>
      <c r="F123" s="310"/>
      <c r="G123" s="291"/>
      <c r="H123" s="310"/>
      <c r="I123" s="310"/>
    </row>
    <row r="124" spans="1:9" ht="11.25">
      <c r="A124" s="310"/>
      <c r="B124" s="291"/>
      <c r="C124" s="310"/>
      <c r="D124" s="310"/>
      <c r="E124" s="311"/>
      <c r="F124" s="310"/>
      <c r="G124" s="291"/>
      <c r="H124" s="310"/>
      <c r="I124" s="310"/>
    </row>
    <row r="125" spans="1:9" ht="11.25">
      <c r="A125" s="310"/>
      <c r="B125" s="291"/>
      <c r="C125" s="310"/>
      <c r="D125" s="310"/>
      <c r="E125" s="311"/>
      <c r="F125" s="310"/>
      <c r="G125" s="291"/>
      <c r="H125" s="310"/>
      <c r="I125" s="310"/>
    </row>
    <row r="126" spans="1:9" ht="11.25">
      <c r="A126" s="310"/>
      <c r="B126" s="291"/>
      <c r="C126" s="310"/>
      <c r="D126" s="310"/>
      <c r="E126" s="311"/>
      <c r="F126" s="310"/>
      <c r="G126" s="291"/>
      <c r="H126" s="310"/>
      <c r="I126" s="310"/>
    </row>
    <row r="127" spans="1:9" ht="11.25">
      <c r="A127" s="310"/>
      <c r="B127" s="291"/>
      <c r="C127" s="310"/>
      <c r="D127" s="310"/>
      <c r="E127" s="311"/>
      <c r="F127" s="310"/>
      <c r="G127" s="291"/>
      <c r="H127" s="310"/>
      <c r="I127" s="310"/>
    </row>
    <row r="128" spans="1:9" ht="11.25">
      <c r="A128" s="310"/>
      <c r="B128" s="291"/>
      <c r="C128" s="310"/>
      <c r="D128" s="310"/>
      <c r="E128" s="311"/>
      <c r="F128" s="310"/>
      <c r="G128" s="291"/>
      <c r="H128" s="310"/>
      <c r="I128" s="310"/>
    </row>
    <row r="129" spans="1:9" ht="11.25">
      <c r="A129" s="310"/>
      <c r="B129" s="291"/>
      <c r="C129" s="310"/>
      <c r="D129" s="310"/>
      <c r="E129" s="311"/>
      <c r="F129" s="310"/>
      <c r="G129" s="291"/>
      <c r="H129" s="310"/>
      <c r="I129" s="310"/>
    </row>
    <row r="130" spans="1:9" ht="11.25">
      <c r="A130" s="310"/>
      <c r="B130" s="291"/>
      <c r="C130" s="310"/>
      <c r="D130" s="310"/>
      <c r="E130" s="311"/>
      <c r="F130" s="310"/>
      <c r="G130" s="291"/>
      <c r="H130" s="310"/>
      <c r="I130" s="310"/>
    </row>
    <row r="131" spans="1:9" ht="11.25">
      <c r="A131" s="310"/>
      <c r="B131" s="291"/>
      <c r="C131" s="310"/>
      <c r="D131" s="310"/>
      <c r="E131" s="311"/>
      <c r="F131" s="310"/>
      <c r="G131" s="291"/>
      <c r="H131" s="310"/>
      <c r="I131" s="310"/>
    </row>
    <row r="132" spans="1:9" ht="11.25">
      <c r="A132" s="310"/>
      <c r="B132" s="291"/>
      <c r="C132" s="310"/>
      <c r="D132" s="310"/>
      <c r="E132" s="311"/>
      <c r="F132" s="310"/>
      <c r="G132" s="291"/>
      <c r="H132" s="310"/>
      <c r="I132" s="310"/>
    </row>
    <row r="133" spans="1:9" ht="11.25">
      <c r="A133" s="310"/>
      <c r="B133" s="291"/>
      <c r="C133" s="310"/>
      <c r="D133" s="310"/>
      <c r="E133" s="311"/>
      <c r="F133" s="310"/>
      <c r="G133" s="291"/>
      <c r="H133" s="310"/>
      <c r="I133" s="310"/>
    </row>
    <row r="134" spans="1:9" ht="11.25">
      <c r="A134" s="310"/>
      <c r="B134" s="291"/>
      <c r="C134" s="310"/>
      <c r="D134" s="310"/>
      <c r="E134" s="311"/>
      <c r="F134" s="310"/>
      <c r="G134" s="291"/>
      <c r="H134" s="310"/>
      <c r="I134" s="310"/>
    </row>
    <row r="135" spans="1:9" ht="11.25">
      <c r="A135" s="310"/>
      <c r="B135" s="291"/>
      <c r="C135" s="310"/>
      <c r="D135" s="310"/>
      <c r="E135" s="311"/>
      <c r="F135" s="310"/>
      <c r="G135" s="291"/>
      <c r="H135" s="310"/>
      <c r="I135" s="310"/>
    </row>
    <row r="136" spans="1:9" ht="11.25">
      <c r="A136" s="310"/>
      <c r="B136" s="291"/>
      <c r="C136" s="310"/>
      <c r="D136" s="310"/>
      <c r="E136" s="311"/>
      <c r="F136" s="310"/>
      <c r="G136" s="291"/>
      <c r="H136" s="310"/>
      <c r="I136" s="310"/>
    </row>
    <row r="137" spans="1:9" ht="11.25">
      <c r="A137" s="310"/>
      <c r="B137" s="291"/>
      <c r="C137" s="310"/>
      <c r="D137" s="310"/>
      <c r="E137" s="311"/>
      <c r="F137" s="310"/>
      <c r="G137" s="291"/>
      <c r="H137" s="310"/>
      <c r="I137" s="310"/>
    </row>
    <row r="138" spans="1:9" ht="11.25">
      <c r="A138" s="310"/>
      <c r="B138" s="291"/>
      <c r="C138" s="310"/>
      <c r="D138" s="310"/>
      <c r="E138" s="311"/>
      <c r="F138" s="310"/>
      <c r="G138" s="291"/>
      <c r="H138" s="310"/>
      <c r="I138" s="310"/>
    </row>
    <row r="139" spans="1:9" ht="11.25">
      <c r="A139" s="310"/>
      <c r="B139" s="291"/>
      <c r="C139" s="310"/>
      <c r="D139" s="310"/>
      <c r="E139" s="311"/>
      <c r="F139" s="310"/>
      <c r="G139" s="291"/>
      <c r="H139" s="310"/>
      <c r="I139" s="310"/>
    </row>
    <row r="140" spans="1:9" ht="11.25">
      <c r="A140" s="310"/>
      <c r="B140" s="291"/>
      <c r="C140" s="310"/>
      <c r="D140" s="310"/>
      <c r="E140" s="311"/>
      <c r="F140" s="310"/>
      <c r="G140" s="291"/>
      <c r="H140" s="310"/>
      <c r="I140" s="310"/>
    </row>
    <row r="141" spans="1:9" ht="11.25">
      <c r="A141" s="310"/>
      <c r="B141" s="291"/>
      <c r="C141" s="310"/>
      <c r="D141" s="310"/>
      <c r="E141" s="311"/>
      <c r="F141" s="310"/>
      <c r="G141" s="291"/>
      <c r="H141" s="310"/>
      <c r="I141" s="310"/>
    </row>
    <row r="142" spans="1:9" ht="11.25">
      <c r="A142" s="310"/>
      <c r="B142" s="291"/>
      <c r="C142" s="310"/>
      <c r="D142" s="310"/>
      <c r="E142" s="311"/>
      <c r="F142" s="310"/>
      <c r="G142" s="291"/>
      <c r="H142" s="310"/>
      <c r="I142" s="310"/>
    </row>
    <row r="143" spans="1:9" ht="11.25">
      <c r="A143" s="310"/>
      <c r="B143" s="291"/>
      <c r="C143" s="310"/>
      <c r="D143" s="310"/>
      <c r="E143" s="311"/>
      <c r="F143" s="310"/>
      <c r="G143" s="291"/>
      <c r="H143" s="310"/>
      <c r="I143" s="310"/>
    </row>
    <row r="144" spans="1:9" ht="11.25">
      <c r="A144" s="310"/>
      <c r="B144" s="291"/>
      <c r="C144" s="310"/>
      <c r="D144" s="310"/>
      <c r="E144" s="311"/>
      <c r="F144" s="310"/>
      <c r="G144" s="291"/>
      <c r="H144" s="310"/>
      <c r="I144" s="310"/>
    </row>
    <row r="145" spans="1:9" ht="11.25">
      <c r="A145" s="310"/>
      <c r="B145" s="291"/>
      <c r="C145" s="310"/>
      <c r="D145" s="310"/>
      <c r="E145" s="311"/>
      <c r="F145" s="310"/>
      <c r="G145" s="291"/>
      <c r="H145" s="310"/>
      <c r="I145" s="310"/>
    </row>
    <row r="146" spans="1:9" ht="11.25">
      <c r="A146" s="310"/>
      <c r="B146" s="291"/>
      <c r="C146" s="310"/>
      <c r="D146" s="310"/>
      <c r="E146" s="311"/>
      <c r="F146" s="310"/>
      <c r="G146" s="291"/>
      <c r="H146" s="310"/>
      <c r="I146" s="310"/>
    </row>
    <row r="147" spans="1:9" ht="11.25">
      <c r="A147" s="310"/>
      <c r="B147" s="291"/>
      <c r="C147" s="310"/>
      <c r="D147" s="310"/>
      <c r="E147" s="311"/>
      <c r="F147" s="310"/>
      <c r="G147" s="291"/>
      <c r="H147" s="310"/>
      <c r="I147" s="310"/>
    </row>
    <row r="148" spans="1:9" ht="11.25">
      <c r="A148" s="310"/>
      <c r="B148" s="291"/>
      <c r="C148" s="310"/>
      <c r="D148" s="310"/>
      <c r="E148" s="311"/>
      <c r="F148" s="310"/>
      <c r="G148" s="291"/>
      <c r="H148" s="310"/>
      <c r="I148" s="310"/>
    </row>
    <row r="149" spans="1:9" ht="11.25">
      <c r="A149" s="310"/>
      <c r="B149" s="291"/>
      <c r="C149" s="310"/>
      <c r="D149" s="310"/>
      <c r="E149" s="311"/>
      <c r="F149" s="310"/>
      <c r="G149" s="291"/>
      <c r="H149" s="310"/>
      <c r="I149" s="310"/>
    </row>
    <row r="150" spans="1:9" ht="11.25">
      <c r="A150" s="310"/>
      <c r="B150" s="291"/>
      <c r="C150" s="310"/>
      <c r="D150" s="310"/>
      <c r="E150" s="311"/>
      <c r="F150" s="310"/>
      <c r="G150" s="291"/>
      <c r="H150" s="310"/>
      <c r="I150" s="310"/>
    </row>
    <row r="151" spans="1:9" ht="11.25">
      <c r="A151" s="310"/>
      <c r="B151" s="291"/>
      <c r="C151" s="310"/>
      <c r="D151" s="310"/>
      <c r="E151" s="311"/>
      <c r="F151" s="310"/>
      <c r="G151" s="291"/>
      <c r="H151" s="310"/>
      <c r="I151" s="310"/>
    </row>
    <row r="152" spans="1:9" ht="11.25">
      <c r="A152" s="310"/>
      <c r="B152" s="291"/>
      <c r="C152" s="310"/>
      <c r="D152" s="310"/>
      <c r="E152" s="311"/>
      <c r="F152" s="310"/>
      <c r="G152" s="291"/>
      <c r="H152" s="310"/>
      <c r="I152" s="310"/>
    </row>
    <row r="153" spans="1:9" ht="11.25">
      <c r="A153" s="310"/>
      <c r="B153" s="291"/>
      <c r="C153" s="310"/>
      <c r="D153" s="310"/>
      <c r="E153" s="311"/>
      <c r="F153" s="310"/>
      <c r="G153" s="291"/>
      <c r="H153" s="310"/>
      <c r="I153" s="310"/>
    </row>
    <row r="154" spans="1:9" ht="11.25">
      <c r="A154" s="310"/>
      <c r="B154" s="291"/>
      <c r="C154" s="310"/>
      <c r="D154" s="310"/>
      <c r="E154" s="311"/>
      <c r="F154" s="310"/>
      <c r="G154" s="291"/>
      <c r="H154" s="310"/>
      <c r="I154" s="310"/>
    </row>
    <row r="155" spans="1:9" ht="11.25">
      <c r="A155" s="310"/>
      <c r="B155" s="291"/>
      <c r="C155" s="310"/>
      <c r="D155" s="310"/>
      <c r="E155" s="311"/>
      <c r="F155" s="310"/>
      <c r="G155" s="291"/>
      <c r="H155" s="310"/>
      <c r="I155" s="310"/>
    </row>
    <row r="156" spans="1:9" ht="11.25">
      <c r="A156" s="310"/>
      <c r="B156" s="291"/>
      <c r="C156" s="310"/>
      <c r="D156" s="310"/>
      <c r="E156" s="311"/>
      <c r="F156" s="310"/>
      <c r="G156" s="291"/>
      <c r="H156" s="310"/>
      <c r="I156" s="310"/>
    </row>
    <row r="157" spans="1:9" ht="11.25">
      <c r="A157" s="310"/>
      <c r="B157" s="291"/>
      <c r="C157" s="310"/>
      <c r="D157" s="310"/>
      <c r="E157" s="311"/>
      <c r="F157" s="310"/>
      <c r="G157" s="291"/>
      <c r="H157" s="310"/>
      <c r="I157" s="310"/>
    </row>
    <row r="158" spans="1:9" ht="11.25">
      <c r="A158" s="310"/>
      <c r="B158" s="291"/>
      <c r="C158" s="310"/>
      <c r="D158" s="310"/>
      <c r="E158" s="311"/>
      <c r="F158" s="310"/>
      <c r="G158" s="291"/>
      <c r="H158" s="310"/>
      <c r="I158" s="310"/>
    </row>
    <row r="159" spans="1:9" ht="11.25">
      <c r="A159" s="310"/>
      <c r="B159" s="291"/>
      <c r="C159" s="310"/>
      <c r="D159" s="310"/>
      <c r="E159" s="311"/>
      <c r="F159" s="310"/>
      <c r="G159" s="291"/>
      <c r="H159" s="310"/>
      <c r="I159" s="310"/>
    </row>
    <row r="160" spans="1:9" ht="11.25">
      <c r="A160" s="310"/>
      <c r="B160" s="291"/>
      <c r="C160" s="310"/>
      <c r="D160" s="310"/>
      <c r="E160" s="311"/>
      <c r="F160" s="310"/>
      <c r="G160" s="291"/>
      <c r="H160" s="310"/>
      <c r="I160" s="310"/>
    </row>
    <row r="161" spans="1:9" ht="11.25">
      <c r="A161" s="310"/>
      <c r="B161" s="291"/>
      <c r="C161" s="310"/>
      <c r="D161" s="310"/>
      <c r="E161" s="311"/>
      <c r="F161" s="310"/>
      <c r="G161" s="291"/>
      <c r="H161" s="310"/>
      <c r="I161" s="310"/>
    </row>
    <row r="162" spans="1:9" ht="11.25">
      <c r="A162" s="310"/>
      <c r="B162" s="291"/>
      <c r="C162" s="310"/>
      <c r="D162" s="310"/>
      <c r="E162" s="311"/>
      <c r="F162" s="310"/>
      <c r="G162" s="291"/>
      <c r="H162" s="310"/>
      <c r="I162" s="310"/>
    </row>
    <row r="163" spans="1:9" ht="11.25">
      <c r="A163" s="310"/>
      <c r="B163" s="291"/>
      <c r="C163" s="310"/>
      <c r="D163" s="310"/>
      <c r="E163" s="311"/>
      <c r="F163" s="310"/>
      <c r="G163" s="291"/>
      <c r="H163" s="310"/>
      <c r="I163" s="310"/>
    </row>
    <row r="164" spans="1:9" ht="11.25">
      <c r="A164" s="310"/>
      <c r="B164" s="291"/>
      <c r="C164" s="310"/>
      <c r="D164" s="310"/>
      <c r="E164" s="311"/>
      <c r="F164" s="310"/>
      <c r="G164" s="291"/>
      <c r="H164" s="310"/>
      <c r="I164" s="310"/>
    </row>
    <row r="165" spans="1:9" ht="11.25">
      <c r="A165" s="310"/>
      <c r="B165" s="291"/>
      <c r="C165" s="310"/>
      <c r="D165" s="310"/>
      <c r="E165" s="311"/>
      <c r="F165" s="310"/>
      <c r="G165" s="291"/>
      <c r="H165" s="310"/>
      <c r="I165" s="310"/>
    </row>
    <row r="166" spans="1:9" ht="11.25">
      <c r="A166" s="310"/>
      <c r="B166" s="291"/>
      <c r="C166" s="310"/>
      <c r="D166" s="310"/>
      <c r="E166" s="311"/>
      <c r="F166" s="310"/>
      <c r="G166" s="291"/>
      <c r="H166" s="310"/>
      <c r="I166" s="310"/>
    </row>
    <row r="167" spans="1:9" ht="11.25">
      <c r="A167" s="310"/>
      <c r="B167" s="291"/>
      <c r="C167" s="310"/>
      <c r="D167" s="310"/>
      <c r="E167" s="311"/>
      <c r="F167" s="310"/>
      <c r="G167" s="291"/>
      <c r="H167" s="310"/>
      <c r="I167" s="310"/>
    </row>
    <row r="168" spans="1:9" ht="11.25">
      <c r="A168" s="310"/>
      <c r="B168" s="291"/>
      <c r="C168" s="310"/>
      <c r="D168" s="310"/>
      <c r="E168" s="311"/>
      <c r="F168" s="310"/>
      <c r="G168" s="291"/>
      <c r="H168" s="310"/>
      <c r="I168" s="310"/>
    </row>
    <row r="169" spans="1:9" ht="11.25">
      <c r="A169" s="310"/>
      <c r="B169" s="291"/>
      <c r="C169" s="310"/>
      <c r="D169" s="310"/>
      <c r="E169" s="311"/>
      <c r="F169" s="310"/>
      <c r="G169" s="291"/>
      <c r="H169" s="310"/>
      <c r="I169" s="310"/>
    </row>
    <row r="170" spans="1:9" ht="11.25">
      <c r="A170" s="310"/>
      <c r="B170" s="291"/>
      <c r="C170" s="310"/>
      <c r="D170" s="310"/>
      <c r="E170" s="311"/>
      <c r="F170" s="310"/>
      <c r="G170" s="291"/>
      <c r="H170" s="310"/>
      <c r="I170" s="310"/>
    </row>
    <row r="171" spans="1:9" ht="11.25">
      <c r="A171" s="310"/>
      <c r="B171" s="291"/>
      <c r="C171" s="310"/>
      <c r="D171" s="310"/>
      <c r="E171" s="311"/>
      <c r="F171" s="310"/>
      <c r="G171" s="291"/>
      <c r="H171" s="310"/>
      <c r="I171" s="310"/>
    </row>
    <row r="172" spans="1:9" ht="11.25">
      <c r="A172" s="310"/>
      <c r="B172" s="291"/>
      <c r="C172" s="310"/>
      <c r="D172" s="310"/>
      <c r="E172" s="311"/>
      <c r="F172" s="310"/>
      <c r="G172" s="291"/>
      <c r="H172" s="310"/>
      <c r="I172" s="310"/>
    </row>
    <row r="173" spans="1:9" ht="11.25">
      <c r="A173" s="310"/>
      <c r="B173" s="291"/>
      <c r="C173" s="310"/>
      <c r="D173" s="310"/>
      <c r="E173" s="311"/>
      <c r="F173" s="310"/>
      <c r="G173" s="291"/>
      <c r="H173" s="310"/>
      <c r="I173" s="310"/>
    </row>
    <row r="174" spans="1:9" ht="11.25">
      <c r="A174" s="310"/>
      <c r="B174" s="291"/>
      <c r="C174" s="310"/>
      <c r="D174" s="310"/>
      <c r="E174" s="311"/>
      <c r="F174" s="310"/>
      <c r="G174" s="291"/>
      <c r="H174" s="310"/>
      <c r="I174" s="310"/>
    </row>
    <row r="175" spans="1:9" ht="11.25">
      <c r="A175" s="310"/>
      <c r="B175" s="291"/>
      <c r="C175" s="310"/>
      <c r="D175" s="310"/>
      <c r="E175" s="311"/>
      <c r="F175" s="310"/>
      <c r="G175" s="291"/>
      <c r="H175" s="310"/>
      <c r="I175" s="310"/>
    </row>
    <row r="176" spans="1:9" ht="11.25">
      <c r="A176" s="310"/>
      <c r="B176" s="291"/>
      <c r="C176" s="310"/>
      <c r="D176" s="310"/>
      <c r="E176" s="311"/>
      <c r="F176" s="310"/>
      <c r="G176" s="291"/>
      <c r="H176" s="310"/>
      <c r="I176" s="310"/>
    </row>
    <row r="177" spans="1:9" ht="11.25">
      <c r="A177" s="310"/>
      <c r="B177" s="291"/>
      <c r="C177" s="310"/>
      <c r="D177" s="310"/>
      <c r="E177" s="311"/>
      <c r="F177" s="310"/>
      <c r="G177" s="291"/>
      <c r="H177" s="310"/>
      <c r="I177" s="310"/>
    </row>
    <row r="178" spans="1:9" ht="11.25">
      <c r="A178" s="310"/>
      <c r="B178" s="291"/>
      <c r="C178" s="310"/>
      <c r="D178" s="310"/>
      <c r="E178" s="311"/>
      <c r="F178" s="310"/>
      <c r="G178" s="291"/>
      <c r="H178" s="310"/>
      <c r="I178" s="310"/>
    </row>
    <row r="179" spans="1:9" ht="11.25">
      <c r="A179" s="310"/>
      <c r="B179" s="291"/>
      <c r="C179" s="310"/>
      <c r="D179" s="310"/>
      <c r="E179" s="311"/>
      <c r="F179" s="310"/>
      <c r="G179" s="291"/>
      <c r="H179" s="310"/>
      <c r="I179" s="310"/>
    </row>
    <row r="180" spans="1:9" ht="11.25">
      <c r="A180" s="310"/>
      <c r="B180" s="291"/>
      <c r="C180" s="310"/>
      <c r="D180" s="310"/>
      <c r="E180" s="311"/>
      <c r="F180" s="310"/>
      <c r="G180" s="291"/>
      <c r="H180" s="310"/>
      <c r="I180" s="310"/>
    </row>
    <row r="181" spans="1:9" ht="11.25">
      <c r="A181" s="310"/>
      <c r="B181" s="291"/>
      <c r="C181" s="310"/>
      <c r="D181" s="310"/>
      <c r="E181" s="311"/>
      <c r="F181" s="310"/>
      <c r="G181" s="291"/>
      <c r="H181" s="310"/>
      <c r="I181" s="310"/>
    </row>
    <row r="182" spans="1:9" ht="11.25">
      <c r="A182" s="310"/>
      <c r="B182" s="291"/>
      <c r="C182" s="310"/>
      <c r="D182" s="310"/>
      <c r="E182" s="311"/>
      <c r="F182" s="310"/>
      <c r="G182" s="291"/>
      <c r="H182" s="310"/>
      <c r="I182" s="310"/>
    </row>
    <row r="183" spans="1:9" ht="11.25">
      <c r="A183" s="310"/>
      <c r="B183" s="291"/>
      <c r="C183" s="310"/>
      <c r="D183" s="310"/>
      <c r="E183" s="311"/>
      <c r="F183" s="310"/>
      <c r="G183" s="291"/>
      <c r="H183" s="310"/>
      <c r="I183" s="310"/>
    </row>
    <row r="184" spans="1:9" ht="11.25">
      <c r="A184" s="310"/>
      <c r="B184" s="291"/>
      <c r="C184" s="310"/>
      <c r="D184" s="310"/>
      <c r="E184" s="311"/>
      <c r="F184" s="310"/>
      <c r="G184" s="291"/>
      <c r="H184" s="310"/>
      <c r="I184" s="310"/>
    </row>
    <row r="185" spans="1:9" ht="11.25">
      <c r="A185" s="310"/>
      <c r="B185" s="291"/>
      <c r="C185" s="310"/>
      <c r="D185" s="310"/>
      <c r="E185" s="311"/>
      <c r="F185" s="310"/>
      <c r="G185" s="291"/>
      <c r="H185" s="310"/>
      <c r="I185" s="310"/>
    </row>
    <row r="186" spans="1:9" ht="11.25">
      <c r="A186" s="310"/>
      <c r="B186" s="291"/>
      <c r="C186" s="310"/>
      <c r="D186" s="310"/>
      <c r="E186" s="311"/>
      <c r="F186" s="310"/>
      <c r="G186" s="291"/>
      <c r="H186" s="310"/>
      <c r="I186" s="310"/>
    </row>
    <row r="187" spans="1:9" ht="11.25">
      <c r="A187" s="310"/>
      <c r="B187" s="291"/>
      <c r="C187" s="310"/>
      <c r="D187" s="310"/>
      <c r="E187" s="311"/>
      <c r="F187" s="310"/>
      <c r="G187" s="291"/>
      <c r="H187" s="310"/>
      <c r="I187" s="310"/>
    </row>
    <row r="188" spans="1:9" ht="11.25">
      <c r="A188" s="310"/>
      <c r="B188" s="291"/>
      <c r="C188" s="310"/>
      <c r="D188" s="310"/>
      <c r="E188" s="311"/>
      <c r="F188" s="310"/>
      <c r="G188" s="291"/>
      <c r="H188" s="310"/>
      <c r="I188" s="310"/>
    </row>
    <row r="189" spans="1:9" ht="11.25">
      <c r="A189" s="310"/>
      <c r="B189" s="291"/>
      <c r="C189" s="310"/>
      <c r="D189" s="310"/>
      <c r="E189" s="311"/>
      <c r="F189" s="310"/>
      <c r="G189" s="291"/>
      <c r="H189" s="310"/>
      <c r="I189" s="310"/>
    </row>
    <row r="190" spans="1:9" ht="11.25">
      <c r="A190" s="310"/>
      <c r="B190" s="291"/>
      <c r="C190" s="310"/>
      <c r="D190" s="310"/>
      <c r="E190" s="311"/>
      <c r="F190" s="310"/>
      <c r="G190" s="291"/>
      <c r="H190" s="310"/>
      <c r="I190" s="310"/>
    </row>
    <row r="191" spans="1:9" ht="11.25">
      <c r="A191" s="310"/>
      <c r="B191" s="291"/>
      <c r="C191" s="310"/>
      <c r="D191" s="310"/>
      <c r="E191" s="311"/>
      <c r="F191" s="310"/>
      <c r="G191" s="291"/>
      <c r="H191" s="310"/>
      <c r="I191" s="310"/>
    </row>
    <row r="192" spans="1:9" ht="11.25">
      <c r="A192" s="310"/>
      <c r="B192" s="291"/>
      <c r="C192" s="310"/>
      <c r="D192" s="310"/>
      <c r="E192" s="311"/>
      <c r="F192" s="310"/>
      <c r="G192" s="291"/>
      <c r="H192" s="310"/>
      <c r="I192" s="310"/>
    </row>
    <row r="193" spans="1:9" ht="11.25">
      <c r="A193" s="310"/>
      <c r="B193" s="291"/>
      <c r="C193" s="310"/>
      <c r="D193" s="310"/>
      <c r="E193" s="311"/>
      <c r="F193" s="310"/>
      <c r="G193" s="291"/>
      <c r="H193" s="310"/>
      <c r="I193" s="310"/>
    </row>
    <row r="194" spans="1:9" ht="11.25">
      <c r="A194" s="310"/>
      <c r="B194" s="291"/>
      <c r="C194" s="310"/>
      <c r="D194" s="310"/>
      <c r="E194" s="311"/>
      <c r="F194" s="310"/>
      <c r="G194" s="291"/>
      <c r="H194" s="310"/>
      <c r="I194" s="310"/>
    </row>
    <row r="195" spans="1:9" ht="11.25">
      <c r="A195" s="310"/>
      <c r="B195" s="291"/>
      <c r="C195" s="310"/>
      <c r="D195" s="310"/>
      <c r="E195" s="311"/>
      <c r="F195" s="310"/>
      <c r="G195" s="291"/>
      <c r="H195" s="310"/>
      <c r="I195" s="310"/>
    </row>
    <row r="196" spans="1:9" ht="11.25">
      <c r="A196" s="310"/>
      <c r="B196" s="291"/>
      <c r="C196" s="310"/>
      <c r="D196" s="310"/>
      <c r="E196" s="311"/>
      <c r="F196" s="310"/>
      <c r="G196" s="291"/>
      <c r="H196" s="310"/>
      <c r="I196" s="310"/>
    </row>
    <row r="197" spans="1:9" ht="11.25">
      <c r="A197" s="310"/>
      <c r="B197" s="291"/>
      <c r="C197" s="310"/>
      <c r="D197" s="310"/>
      <c r="E197" s="311"/>
      <c r="F197" s="310"/>
      <c r="G197" s="291"/>
      <c r="H197" s="310"/>
      <c r="I197" s="310"/>
    </row>
    <row r="198" spans="1:9" ht="11.25">
      <c r="A198" s="310"/>
      <c r="B198" s="291"/>
      <c r="C198" s="310"/>
      <c r="D198" s="310"/>
      <c r="E198" s="311"/>
      <c r="F198" s="310"/>
      <c r="G198" s="291"/>
      <c r="H198" s="310"/>
      <c r="I198" s="310"/>
    </row>
    <row r="199" spans="1:9" ht="11.25">
      <c r="A199" s="310"/>
      <c r="B199" s="291"/>
      <c r="C199" s="310"/>
      <c r="D199" s="310"/>
      <c r="E199" s="311"/>
      <c r="F199" s="310"/>
      <c r="G199" s="291"/>
      <c r="H199" s="310"/>
      <c r="I199" s="310"/>
    </row>
    <row r="200" spans="1:9" ht="11.25">
      <c r="A200" s="310"/>
      <c r="B200" s="291"/>
      <c r="C200" s="310"/>
      <c r="D200" s="310"/>
      <c r="E200" s="311"/>
      <c r="F200" s="310"/>
      <c r="G200" s="291"/>
      <c r="H200" s="310"/>
      <c r="I200" s="310"/>
    </row>
    <row r="201" spans="1:9" ht="11.25">
      <c r="A201" s="310"/>
      <c r="B201" s="291"/>
      <c r="C201" s="310"/>
      <c r="D201" s="310"/>
      <c r="E201" s="311"/>
      <c r="F201" s="310"/>
      <c r="G201" s="291"/>
      <c r="H201" s="310"/>
      <c r="I201" s="310"/>
    </row>
    <row r="202" spans="1:9" ht="11.25">
      <c r="A202" s="310"/>
      <c r="B202" s="291"/>
      <c r="C202" s="310"/>
      <c r="D202" s="310"/>
      <c r="E202" s="311"/>
      <c r="F202" s="310"/>
      <c r="G202" s="291"/>
      <c r="H202" s="310"/>
      <c r="I202" s="310"/>
    </row>
    <row r="203" spans="1:9" ht="11.25">
      <c r="A203" s="310"/>
      <c r="B203" s="291"/>
      <c r="C203" s="310"/>
      <c r="D203" s="310"/>
      <c r="E203" s="311"/>
      <c r="F203" s="310"/>
      <c r="G203" s="291"/>
      <c r="H203" s="310"/>
      <c r="I203" s="310"/>
    </row>
    <row r="204" spans="1:9" ht="11.25">
      <c r="A204" s="310"/>
      <c r="B204" s="291"/>
      <c r="C204" s="310"/>
      <c r="D204" s="310"/>
      <c r="E204" s="311"/>
      <c r="F204" s="310"/>
      <c r="G204" s="291"/>
      <c r="H204" s="310"/>
      <c r="I204" s="310"/>
    </row>
    <row r="205" spans="1:9" ht="11.25">
      <c r="A205" s="310"/>
      <c r="B205" s="291"/>
      <c r="C205" s="310"/>
      <c r="D205" s="310"/>
      <c r="E205" s="311"/>
      <c r="F205" s="310"/>
      <c r="G205" s="291"/>
      <c r="H205" s="310"/>
      <c r="I205" s="310"/>
    </row>
    <row r="206" spans="1:9" ht="11.25">
      <c r="A206" s="310"/>
      <c r="B206" s="291"/>
      <c r="C206" s="310"/>
      <c r="D206" s="310"/>
      <c r="E206" s="311"/>
      <c r="F206" s="310"/>
      <c r="G206" s="291"/>
      <c r="H206" s="310"/>
      <c r="I206" s="310"/>
    </row>
    <row r="207" spans="1:9" ht="11.25">
      <c r="A207" s="310"/>
      <c r="B207" s="291"/>
      <c r="C207" s="310"/>
      <c r="D207" s="310"/>
      <c r="E207" s="311"/>
      <c r="F207" s="310"/>
      <c r="G207" s="291"/>
      <c r="H207" s="310"/>
      <c r="I207" s="310"/>
    </row>
    <row r="208" spans="1:9" ht="11.25">
      <c r="A208" s="310"/>
      <c r="B208" s="291"/>
      <c r="C208" s="310"/>
      <c r="D208" s="310"/>
      <c r="E208" s="311"/>
      <c r="F208" s="310"/>
      <c r="G208" s="291"/>
      <c r="H208" s="310"/>
      <c r="I208" s="310"/>
    </row>
    <row r="209" spans="1:9" ht="11.25">
      <c r="A209" s="310"/>
      <c r="B209" s="291"/>
      <c r="C209" s="310"/>
      <c r="D209" s="310"/>
      <c r="E209" s="311"/>
      <c r="F209" s="310"/>
      <c r="G209" s="291"/>
      <c r="H209" s="310"/>
      <c r="I209" s="310"/>
    </row>
    <row r="210" spans="1:9" ht="11.25">
      <c r="A210" s="310"/>
      <c r="B210" s="291"/>
      <c r="C210" s="310"/>
      <c r="D210" s="310"/>
      <c r="E210" s="311"/>
      <c r="F210" s="310"/>
      <c r="G210" s="291"/>
      <c r="H210" s="310"/>
      <c r="I210" s="310"/>
    </row>
    <row r="211" spans="1:9" ht="11.25">
      <c r="A211" s="310"/>
      <c r="B211" s="291"/>
      <c r="C211" s="310"/>
      <c r="D211" s="310"/>
      <c r="E211" s="311"/>
      <c r="F211" s="310"/>
      <c r="G211" s="291"/>
      <c r="H211" s="310"/>
      <c r="I211" s="310"/>
    </row>
    <row r="212" spans="1:9" ht="11.25">
      <c r="A212" s="310"/>
      <c r="B212" s="291"/>
      <c r="C212" s="310"/>
      <c r="D212" s="310"/>
      <c r="E212" s="311"/>
      <c r="F212" s="310"/>
      <c r="G212" s="291"/>
      <c r="H212" s="310"/>
      <c r="I212" s="310"/>
    </row>
    <row r="213" spans="1:9" ht="11.25">
      <c r="A213" s="310"/>
      <c r="B213" s="291"/>
      <c r="C213" s="310"/>
      <c r="D213" s="310"/>
      <c r="E213" s="311"/>
      <c r="F213" s="310"/>
      <c r="G213" s="291"/>
      <c r="H213" s="310"/>
      <c r="I213" s="310"/>
    </row>
    <row r="214" spans="1:9" ht="11.25">
      <c r="A214" s="310"/>
      <c r="B214" s="291"/>
      <c r="C214" s="310"/>
      <c r="D214" s="310"/>
      <c r="E214" s="311"/>
      <c r="F214" s="310"/>
      <c r="G214" s="291"/>
      <c r="H214" s="310"/>
      <c r="I214" s="310"/>
    </row>
    <row r="215" spans="1:9" ht="11.25">
      <c r="A215" s="310"/>
      <c r="B215" s="291"/>
      <c r="C215" s="310"/>
      <c r="D215" s="310"/>
      <c r="E215" s="311"/>
      <c r="F215" s="310"/>
      <c r="G215" s="291"/>
      <c r="H215" s="310"/>
      <c r="I215" s="310"/>
    </row>
    <row r="216" spans="1:9" ht="11.25">
      <c r="A216" s="310"/>
      <c r="B216" s="291"/>
      <c r="C216" s="310"/>
      <c r="D216" s="310"/>
      <c r="E216" s="311"/>
      <c r="F216" s="310"/>
      <c r="G216" s="291"/>
      <c r="H216" s="310"/>
      <c r="I216" s="310"/>
    </row>
    <row r="217" spans="1:9" ht="11.25">
      <c r="A217" s="310"/>
      <c r="B217" s="291"/>
      <c r="C217" s="310"/>
      <c r="D217" s="310"/>
      <c r="E217" s="311"/>
      <c r="F217" s="310"/>
      <c r="G217" s="291"/>
      <c r="H217" s="310"/>
      <c r="I217" s="310"/>
    </row>
    <row r="218" spans="1:9" ht="11.25">
      <c r="A218" s="310"/>
      <c r="B218" s="291"/>
      <c r="C218" s="310"/>
      <c r="D218" s="310"/>
      <c r="E218" s="311"/>
      <c r="F218" s="310"/>
      <c r="G218" s="291"/>
      <c r="H218" s="310"/>
      <c r="I218" s="310"/>
    </row>
    <row r="219" spans="1:9" ht="11.25">
      <c r="A219" s="310"/>
      <c r="B219" s="291"/>
      <c r="C219" s="310"/>
      <c r="D219" s="310"/>
      <c r="E219" s="311"/>
      <c r="F219" s="310"/>
      <c r="G219" s="291"/>
      <c r="H219" s="310"/>
      <c r="I219" s="310"/>
    </row>
    <row r="220" spans="1:9" ht="11.25">
      <c r="A220" s="310"/>
      <c r="B220" s="291"/>
      <c r="C220" s="310"/>
      <c r="D220" s="310"/>
      <c r="E220" s="311"/>
      <c r="F220" s="310"/>
      <c r="G220" s="291"/>
      <c r="H220" s="310"/>
      <c r="I220" s="310"/>
    </row>
    <row r="221" spans="1:9" ht="11.25">
      <c r="A221" s="310"/>
      <c r="B221" s="291"/>
      <c r="C221" s="310"/>
      <c r="D221" s="310"/>
      <c r="E221" s="311"/>
      <c r="F221" s="310"/>
      <c r="G221" s="291"/>
      <c r="H221" s="310"/>
      <c r="I221" s="310"/>
    </row>
    <row r="222" spans="1:9" ht="11.25">
      <c r="A222" s="310"/>
      <c r="B222" s="291"/>
      <c r="C222" s="310"/>
      <c r="D222" s="310"/>
      <c r="E222" s="311"/>
      <c r="F222" s="310"/>
      <c r="G222" s="291"/>
      <c r="H222" s="310"/>
      <c r="I222" s="310"/>
    </row>
    <row r="223" spans="1:9" ht="11.25">
      <c r="A223" s="310"/>
      <c r="B223" s="291"/>
      <c r="C223" s="310"/>
      <c r="D223" s="310"/>
      <c r="E223" s="311"/>
      <c r="F223" s="310"/>
      <c r="G223" s="291"/>
      <c r="H223" s="310"/>
      <c r="I223" s="310"/>
    </row>
    <row r="224" spans="1:9" ht="11.25">
      <c r="A224" s="310"/>
      <c r="B224" s="291"/>
      <c r="C224" s="310"/>
      <c r="D224" s="310"/>
      <c r="E224" s="311"/>
      <c r="F224" s="310"/>
      <c r="G224" s="291"/>
      <c r="H224" s="310"/>
      <c r="I224" s="310"/>
    </row>
    <row r="225" spans="1:9" ht="11.25">
      <c r="A225" s="310"/>
      <c r="B225" s="291"/>
      <c r="C225" s="310"/>
      <c r="D225" s="310"/>
      <c r="E225" s="311"/>
      <c r="F225" s="310"/>
      <c r="G225" s="291"/>
      <c r="H225" s="310"/>
      <c r="I225" s="310"/>
    </row>
    <row r="226" spans="1:9" ht="11.25">
      <c r="A226" s="310"/>
      <c r="B226" s="291"/>
      <c r="C226" s="310"/>
      <c r="D226" s="310"/>
      <c r="E226" s="311"/>
      <c r="F226" s="310"/>
      <c r="G226" s="291"/>
      <c r="H226" s="310"/>
      <c r="I226" s="310"/>
    </row>
    <row r="227" spans="1:9" ht="11.25">
      <c r="A227" s="310"/>
      <c r="B227" s="291"/>
      <c r="C227" s="310"/>
      <c r="D227" s="310"/>
      <c r="E227" s="311"/>
      <c r="F227" s="310"/>
      <c r="G227" s="291"/>
      <c r="H227" s="310"/>
      <c r="I227" s="310"/>
    </row>
    <row r="228" spans="1:9" ht="11.25">
      <c r="A228" s="310"/>
      <c r="B228" s="291"/>
      <c r="C228" s="310"/>
      <c r="D228" s="310"/>
      <c r="E228" s="311"/>
      <c r="F228" s="310"/>
      <c r="G228" s="291"/>
      <c r="H228" s="310"/>
      <c r="I228" s="310"/>
    </row>
    <row r="229" spans="1:9" ht="11.25">
      <c r="A229" s="310"/>
      <c r="B229" s="291"/>
      <c r="C229" s="310"/>
      <c r="D229" s="310"/>
      <c r="E229" s="311"/>
      <c r="F229" s="310"/>
      <c r="G229" s="291"/>
      <c r="H229" s="310"/>
      <c r="I229" s="310"/>
    </row>
    <row r="230" spans="1:9" ht="11.25">
      <c r="A230" s="310"/>
      <c r="B230" s="291"/>
      <c r="C230" s="310"/>
      <c r="D230" s="310"/>
      <c r="E230" s="311"/>
      <c r="F230" s="310"/>
      <c r="G230" s="291"/>
      <c r="H230" s="310"/>
      <c r="I230" s="310"/>
    </row>
    <row r="231" spans="1:9" ht="11.25">
      <c r="A231" s="310"/>
      <c r="B231" s="291"/>
      <c r="C231" s="310"/>
      <c r="D231" s="310"/>
      <c r="E231" s="311"/>
      <c r="F231" s="310"/>
      <c r="G231" s="291"/>
      <c r="H231" s="310"/>
      <c r="I231" s="310"/>
    </row>
    <row r="232" spans="1:9" ht="11.25">
      <c r="A232" s="310"/>
      <c r="B232" s="291"/>
      <c r="C232" s="310"/>
      <c r="D232" s="310"/>
      <c r="E232" s="311"/>
      <c r="F232" s="310"/>
      <c r="G232" s="291"/>
      <c r="H232" s="310"/>
      <c r="I232" s="310"/>
    </row>
    <row r="233" spans="1:9" ht="11.25">
      <c r="A233" s="310"/>
      <c r="B233" s="291"/>
      <c r="C233" s="310"/>
      <c r="D233" s="310"/>
      <c r="E233" s="311"/>
      <c r="F233" s="310"/>
      <c r="G233" s="291"/>
      <c r="H233" s="310"/>
      <c r="I233" s="310"/>
    </row>
    <row r="234" spans="1:9" ht="11.25">
      <c r="A234" s="310"/>
      <c r="B234" s="291"/>
      <c r="C234" s="310"/>
      <c r="D234" s="310"/>
      <c r="E234" s="311"/>
      <c r="F234" s="310"/>
      <c r="G234" s="291"/>
      <c r="H234" s="310"/>
      <c r="I234" s="310"/>
    </row>
    <row r="235" spans="1:9" ht="11.25">
      <c r="A235" s="310"/>
      <c r="B235" s="291"/>
      <c r="C235" s="310"/>
      <c r="D235" s="310"/>
      <c r="E235" s="311"/>
      <c r="F235" s="310"/>
      <c r="G235" s="291"/>
      <c r="H235" s="310"/>
      <c r="I235" s="310"/>
    </row>
    <row r="236" spans="1:9" ht="11.25">
      <c r="A236" s="310"/>
      <c r="B236" s="291"/>
      <c r="C236" s="310"/>
      <c r="D236" s="310"/>
      <c r="E236" s="311"/>
      <c r="F236" s="310"/>
      <c r="G236" s="291"/>
      <c r="H236" s="310"/>
      <c r="I236" s="310"/>
    </row>
    <row r="237" spans="1:9" ht="11.25">
      <c r="A237" s="310"/>
      <c r="B237" s="291"/>
      <c r="C237" s="310"/>
      <c r="D237" s="310"/>
      <c r="E237" s="311"/>
      <c r="F237" s="310"/>
      <c r="G237" s="291"/>
      <c r="H237" s="310"/>
      <c r="I237" s="310"/>
    </row>
    <row r="238" spans="1:9" ht="11.25">
      <c r="A238" s="310"/>
      <c r="B238" s="291"/>
      <c r="C238" s="310"/>
      <c r="D238" s="310"/>
      <c r="E238" s="311"/>
      <c r="F238" s="310"/>
      <c r="G238" s="291"/>
      <c r="H238" s="310"/>
      <c r="I238" s="310"/>
    </row>
    <row r="239" spans="1:9" ht="11.25">
      <c r="A239" s="310"/>
      <c r="B239" s="291"/>
      <c r="C239" s="310"/>
      <c r="D239" s="310"/>
      <c r="E239" s="311"/>
      <c r="F239" s="310"/>
      <c r="G239" s="291"/>
      <c r="H239" s="310"/>
      <c r="I239" s="310"/>
    </row>
    <row r="240" spans="1:9" ht="11.25">
      <c r="A240" s="310"/>
      <c r="B240" s="291"/>
      <c r="C240" s="310"/>
      <c r="D240" s="310"/>
      <c r="E240" s="311"/>
      <c r="F240" s="310"/>
      <c r="G240" s="291"/>
      <c r="H240" s="310"/>
      <c r="I240" s="310"/>
    </row>
    <row r="241" spans="1:9" ht="11.25">
      <c r="A241" s="310"/>
      <c r="B241" s="291"/>
      <c r="C241" s="310"/>
      <c r="D241" s="310"/>
      <c r="E241" s="311"/>
      <c r="F241" s="310"/>
      <c r="G241" s="291"/>
      <c r="H241" s="310"/>
      <c r="I241" s="310"/>
    </row>
    <row r="242" spans="1:9" ht="11.25">
      <c r="A242" s="310"/>
      <c r="B242" s="291"/>
      <c r="C242" s="310"/>
      <c r="D242" s="310"/>
      <c r="E242" s="311"/>
      <c r="F242" s="310"/>
      <c r="G242" s="291"/>
      <c r="H242" s="310"/>
      <c r="I242" s="310"/>
    </row>
    <row r="243" spans="1:9" ht="11.25">
      <c r="A243" s="310"/>
      <c r="B243" s="291"/>
      <c r="C243" s="310"/>
      <c r="D243" s="310"/>
      <c r="E243" s="311"/>
      <c r="F243" s="310"/>
      <c r="G243" s="291"/>
      <c r="H243" s="310"/>
      <c r="I243" s="310"/>
    </row>
    <row r="244" spans="1:9" ht="11.25">
      <c r="A244" s="310"/>
      <c r="B244" s="291"/>
      <c r="C244" s="310"/>
      <c r="D244" s="310"/>
      <c r="E244" s="311"/>
      <c r="F244" s="310"/>
      <c r="G244" s="291"/>
      <c r="H244" s="310"/>
      <c r="I244" s="310"/>
    </row>
    <row r="245" spans="1:9" ht="11.25">
      <c r="A245" s="310"/>
      <c r="B245" s="291"/>
      <c r="C245" s="310"/>
      <c r="D245" s="310"/>
      <c r="E245" s="311"/>
      <c r="F245" s="310"/>
      <c r="G245" s="291"/>
      <c r="H245" s="310"/>
      <c r="I245" s="310"/>
    </row>
    <row r="246" spans="1:9" ht="11.25">
      <c r="A246" s="310"/>
      <c r="B246" s="291"/>
      <c r="C246" s="310"/>
      <c r="D246" s="310"/>
      <c r="E246" s="311"/>
      <c r="F246" s="310"/>
      <c r="G246" s="291"/>
      <c r="H246" s="310"/>
      <c r="I246" s="310"/>
    </row>
    <row r="247" spans="1:9" ht="11.25">
      <c r="A247" s="310"/>
      <c r="B247" s="291"/>
      <c r="C247" s="310"/>
      <c r="D247" s="310"/>
      <c r="E247" s="311"/>
      <c r="F247" s="310"/>
      <c r="G247" s="291"/>
      <c r="H247" s="310"/>
      <c r="I247" s="310"/>
    </row>
    <row r="248" spans="1:9" ht="11.25">
      <c r="A248" s="310"/>
      <c r="B248" s="291"/>
      <c r="C248" s="310"/>
      <c r="D248" s="310"/>
      <c r="E248" s="311"/>
      <c r="F248" s="310"/>
      <c r="G248" s="291"/>
      <c r="H248" s="310"/>
      <c r="I248" s="310"/>
    </row>
    <row r="249" spans="1:9" ht="11.25">
      <c r="A249" s="310"/>
      <c r="B249" s="291"/>
      <c r="C249" s="310"/>
      <c r="D249" s="310"/>
      <c r="E249" s="311"/>
      <c r="F249" s="310"/>
      <c r="G249" s="291"/>
      <c r="H249" s="310"/>
      <c r="I249" s="310"/>
    </row>
    <row r="250" spans="1:9" ht="11.25">
      <c r="A250" s="310"/>
      <c r="B250" s="291"/>
      <c r="C250" s="310"/>
      <c r="D250" s="310"/>
      <c r="E250" s="311"/>
      <c r="F250" s="310"/>
      <c r="G250" s="291"/>
      <c r="H250" s="310"/>
      <c r="I250" s="310"/>
    </row>
    <row r="251" spans="1:9" ht="11.25">
      <c r="A251" s="310"/>
      <c r="B251" s="291"/>
      <c r="C251" s="310"/>
      <c r="D251" s="310"/>
      <c r="E251" s="311"/>
      <c r="F251" s="310"/>
      <c r="G251" s="291"/>
      <c r="H251" s="310"/>
      <c r="I251" s="310"/>
    </row>
    <row r="252" spans="1:9" ht="11.25">
      <c r="A252" s="310"/>
      <c r="B252" s="291"/>
      <c r="C252" s="310"/>
      <c r="D252" s="310"/>
      <c r="E252" s="311"/>
      <c r="F252" s="310"/>
      <c r="G252" s="291"/>
      <c r="H252" s="310"/>
      <c r="I252" s="310"/>
    </row>
    <row r="253" spans="1:9" ht="11.25">
      <c r="A253" s="310"/>
      <c r="B253" s="291"/>
      <c r="C253" s="310"/>
      <c r="D253" s="310"/>
      <c r="E253" s="311"/>
      <c r="F253" s="310"/>
      <c r="G253" s="291"/>
      <c r="H253" s="310"/>
      <c r="I253" s="310"/>
    </row>
    <row r="254" spans="1:9" ht="11.25">
      <c r="A254" s="310"/>
      <c r="B254" s="291"/>
      <c r="C254" s="310"/>
      <c r="D254" s="310"/>
      <c r="E254" s="311"/>
      <c r="F254" s="310"/>
      <c r="G254" s="291"/>
      <c r="H254" s="310"/>
      <c r="I254" s="310"/>
    </row>
    <row r="255" spans="1:9" ht="11.25">
      <c r="A255" s="310"/>
      <c r="B255" s="291"/>
      <c r="C255" s="310"/>
      <c r="D255" s="310"/>
      <c r="E255" s="311"/>
      <c r="F255" s="310"/>
      <c r="G255" s="291"/>
      <c r="H255" s="310"/>
      <c r="I255" s="310"/>
    </row>
    <row r="256" spans="1:9" ht="11.25">
      <c r="A256" s="310"/>
      <c r="B256" s="291"/>
      <c r="C256" s="310"/>
      <c r="D256" s="310"/>
      <c r="E256" s="311"/>
      <c r="F256" s="310"/>
      <c r="G256" s="291"/>
      <c r="H256" s="310"/>
      <c r="I256" s="310"/>
    </row>
    <row r="257" spans="1:9" ht="11.25">
      <c r="A257" s="310"/>
      <c r="B257" s="291"/>
      <c r="C257" s="310"/>
      <c r="D257" s="310"/>
      <c r="E257" s="311"/>
      <c r="F257" s="310"/>
      <c r="G257" s="291"/>
      <c r="H257" s="310"/>
      <c r="I257" s="310"/>
    </row>
    <row r="258" spans="1:9" ht="11.25">
      <c r="A258" s="310"/>
      <c r="B258" s="291"/>
      <c r="C258" s="310"/>
      <c r="D258" s="310"/>
      <c r="E258" s="311"/>
      <c r="F258" s="310"/>
      <c r="G258" s="291"/>
      <c r="H258" s="310"/>
      <c r="I258" s="310"/>
    </row>
    <row r="259" spans="1:9" ht="11.25">
      <c r="A259" s="310"/>
      <c r="B259" s="291"/>
      <c r="C259" s="310"/>
      <c r="D259" s="310"/>
      <c r="E259" s="311"/>
      <c r="F259" s="310"/>
      <c r="G259" s="291"/>
      <c r="H259" s="310"/>
      <c r="I259" s="310"/>
    </row>
    <row r="260" spans="1:9" ht="11.25">
      <c r="A260" s="310"/>
      <c r="B260" s="291"/>
      <c r="C260" s="310"/>
      <c r="D260" s="310"/>
      <c r="E260" s="311"/>
      <c r="F260" s="310"/>
      <c r="G260" s="291"/>
      <c r="H260" s="310"/>
      <c r="I260" s="310"/>
    </row>
    <row r="261" spans="1:9" ht="11.25">
      <c r="A261" s="310"/>
      <c r="B261" s="291"/>
      <c r="C261" s="310"/>
      <c r="D261" s="310"/>
      <c r="E261" s="311"/>
      <c r="F261" s="310"/>
      <c r="G261" s="291"/>
      <c r="H261" s="310"/>
      <c r="I261" s="310"/>
    </row>
    <row r="262" spans="1:9" ht="11.25">
      <c r="A262" s="310"/>
      <c r="B262" s="291"/>
      <c r="C262" s="310"/>
      <c r="D262" s="310"/>
      <c r="E262" s="311"/>
      <c r="F262" s="310"/>
      <c r="G262" s="291"/>
      <c r="H262" s="310"/>
      <c r="I262" s="310"/>
    </row>
    <row r="263" spans="1:9" ht="11.25">
      <c r="A263" s="310"/>
      <c r="B263" s="291"/>
      <c r="C263" s="310"/>
      <c r="D263" s="310"/>
      <c r="E263" s="311"/>
      <c r="F263" s="310"/>
      <c r="G263" s="291"/>
      <c r="H263" s="310"/>
      <c r="I263" s="310"/>
    </row>
    <row r="264" spans="1:9" ht="11.25">
      <c r="A264" s="310"/>
      <c r="B264" s="291"/>
      <c r="C264" s="310"/>
      <c r="D264" s="310"/>
      <c r="E264" s="311"/>
      <c r="F264" s="310"/>
      <c r="G264" s="291"/>
      <c r="H264" s="310"/>
      <c r="I264" s="310"/>
    </row>
    <row r="265" spans="1:9" ht="11.25">
      <c r="A265" s="310"/>
      <c r="B265" s="291"/>
      <c r="C265" s="310"/>
      <c r="D265" s="310"/>
      <c r="E265" s="311"/>
      <c r="F265" s="310"/>
      <c r="G265" s="291"/>
      <c r="H265" s="310"/>
      <c r="I265" s="310"/>
    </row>
    <row r="266" spans="1:9" ht="11.25">
      <c r="A266" s="310"/>
      <c r="B266" s="291"/>
      <c r="C266" s="310"/>
      <c r="D266" s="310"/>
      <c r="E266" s="311"/>
      <c r="F266" s="310"/>
      <c r="G266" s="291"/>
      <c r="H266" s="310"/>
      <c r="I266" s="310"/>
    </row>
    <row r="267" spans="1:9" ht="11.25">
      <c r="A267" s="310"/>
      <c r="B267" s="291"/>
      <c r="C267" s="310"/>
      <c r="D267" s="310"/>
      <c r="E267" s="311"/>
      <c r="F267" s="310"/>
      <c r="G267" s="291"/>
      <c r="H267" s="310"/>
      <c r="I267" s="310"/>
    </row>
    <row r="268" spans="1:9" ht="11.25">
      <c r="A268" s="310"/>
      <c r="B268" s="291"/>
      <c r="C268" s="310"/>
      <c r="D268" s="310"/>
      <c r="E268" s="311"/>
      <c r="F268" s="310"/>
      <c r="G268" s="291"/>
      <c r="H268" s="310"/>
      <c r="I268" s="310"/>
    </row>
    <row r="269" spans="1:9" ht="11.25">
      <c r="A269" s="310"/>
      <c r="B269" s="291"/>
      <c r="C269" s="310"/>
      <c r="D269" s="310"/>
      <c r="E269" s="311"/>
      <c r="F269" s="310"/>
      <c r="G269" s="291"/>
      <c r="H269" s="310"/>
      <c r="I269" s="310"/>
    </row>
    <row r="270" spans="1:9" ht="11.25">
      <c r="A270" s="310"/>
      <c r="B270" s="291"/>
      <c r="C270" s="310"/>
      <c r="D270" s="310"/>
      <c r="E270" s="311"/>
      <c r="F270" s="310"/>
      <c r="G270" s="291"/>
      <c r="H270" s="310"/>
      <c r="I270" s="310"/>
    </row>
    <row r="271" spans="1:9" ht="11.25">
      <c r="A271" s="310"/>
      <c r="B271" s="291"/>
      <c r="C271" s="310"/>
      <c r="D271" s="310"/>
      <c r="E271" s="311"/>
      <c r="F271" s="310"/>
      <c r="G271" s="291"/>
      <c r="H271" s="310"/>
      <c r="I271" s="310"/>
    </row>
    <row r="272" spans="1:9" ht="11.25">
      <c r="A272" s="310"/>
      <c r="B272" s="291"/>
      <c r="C272" s="310"/>
      <c r="D272" s="310"/>
      <c r="E272" s="311"/>
      <c r="F272" s="310"/>
      <c r="G272" s="291"/>
      <c r="H272" s="310"/>
      <c r="I272" s="310"/>
    </row>
    <row r="273" spans="1:9" ht="11.25">
      <c r="A273" s="310"/>
      <c r="B273" s="291"/>
      <c r="C273" s="310"/>
      <c r="D273" s="310"/>
      <c r="E273" s="311"/>
      <c r="F273" s="310"/>
      <c r="G273" s="291"/>
      <c r="H273" s="310"/>
      <c r="I273" s="310"/>
    </row>
    <row r="274" spans="1:9" ht="11.25">
      <c r="A274" s="310"/>
      <c r="B274" s="291"/>
      <c r="C274" s="310"/>
      <c r="D274" s="310"/>
      <c r="E274" s="311"/>
      <c r="F274" s="310"/>
      <c r="G274" s="291"/>
      <c r="H274" s="310"/>
      <c r="I274" s="310"/>
    </row>
    <row r="275" spans="1:9" ht="11.25">
      <c r="A275" s="310"/>
      <c r="B275" s="291"/>
      <c r="C275" s="310"/>
      <c r="D275" s="310"/>
      <c r="E275" s="311"/>
      <c r="F275" s="310"/>
      <c r="G275" s="291"/>
      <c r="H275" s="310"/>
      <c r="I275" s="310"/>
    </row>
    <row r="276" spans="1:9" ht="11.25">
      <c r="A276" s="310"/>
      <c r="B276" s="291"/>
      <c r="C276" s="310"/>
      <c r="D276" s="310"/>
      <c r="E276" s="311"/>
      <c r="F276" s="310"/>
      <c r="G276" s="291"/>
      <c r="H276" s="310"/>
      <c r="I276" s="310"/>
    </row>
    <row r="277" spans="1:9" ht="11.25">
      <c r="A277" s="310"/>
      <c r="B277" s="291"/>
      <c r="C277" s="310"/>
      <c r="D277" s="310"/>
      <c r="E277" s="311"/>
      <c r="F277" s="310"/>
      <c r="G277" s="291"/>
      <c r="H277" s="310"/>
      <c r="I277" s="310"/>
    </row>
    <row r="278" spans="1:9" ht="11.25">
      <c r="A278" s="310"/>
      <c r="B278" s="291"/>
      <c r="C278" s="310"/>
      <c r="D278" s="310"/>
      <c r="E278" s="311"/>
      <c r="F278" s="310"/>
      <c r="G278" s="291"/>
      <c r="H278" s="310"/>
      <c r="I278" s="310"/>
    </row>
    <row r="279" spans="1:9" ht="11.25">
      <c r="A279" s="310"/>
      <c r="B279" s="291"/>
      <c r="C279" s="310"/>
      <c r="D279" s="310"/>
      <c r="E279" s="311"/>
      <c r="F279" s="310"/>
      <c r="G279" s="291"/>
      <c r="H279" s="310"/>
      <c r="I279" s="310"/>
    </row>
    <row r="280" spans="1:9" ht="11.25">
      <c r="A280" s="310"/>
      <c r="B280" s="291"/>
      <c r="C280" s="310"/>
      <c r="D280" s="310"/>
      <c r="E280" s="311"/>
      <c r="F280" s="310"/>
      <c r="G280" s="291"/>
      <c r="H280" s="310"/>
      <c r="I280" s="310"/>
    </row>
    <row r="281" spans="1:9" ht="11.25">
      <c r="A281" s="310"/>
      <c r="B281" s="291"/>
      <c r="C281" s="310"/>
      <c r="D281" s="310"/>
      <c r="E281" s="311"/>
      <c r="F281" s="310"/>
      <c r="G281" s="291"/>
      <c r="H281" s="310"/>
      <c r="I281" s="310"/>
    </row>
    <row r="282" spans="1:9" ht="11.25">
      <c r="A282" s="310"/>
      <c r="B282" s="291"/>
      <c r="C282" s="310"/>
      <c r="D282" s="310"/>
      <c r="E282" s="311"/>
      <c r="F282" s="310"/>
      <c r="G282" s="291"/>
      <c r="H282" s="310"/>
      <c r="I282" s="310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G38"/>
  <sheetViews>
    <sheetView workbookViewId="0" topLeftCell="E1">
      <selection activeCell="G1" sqref="G1"/>
    </sheetView>
  </sheetViews>
  <sheetFormatPr defaultColWidth="9.140625" defaultRowHeight="12.75"/>
  <cols>
    <col min="1" max="1" width="36.57421875" style="52" customWidth="1"/>
    <col min="2" max="2" width="0.13671875" style="52" hidden="1" customWidth="1"/>
    <col min="3" max="3" width="3.140625" style="52" hidden="1" customWidth="1"/>
    <col min="4" max="4" width="6.140625" style="52" hidden="1" customWidth="1"/>
    <col min="5" max="5" width="7.421875" style="52" bestFit="1" customWidth="1"/>
    <col min="6" max="6" width="0.13671875" style="52" hidden="1" customWidth="1"/>
    <col min="7" max="7" width="8.8515625" style="52" bestFit="1" customWidth="1"/>
    <col min="8" max="8" width="9.8515625" style="52" bestFit="1" customWidth="1"/>
    <col min="9" max="9" width="8.7109375" style="52" bestFit="1" customWidth="1"/>
    <col min="10" max="10" width="9.00390625" style="52" customWidth="1"/>
    <col min="11" max="11" width="10.00390625" style="52" customWidth="1"/>
    <col min="12" max="12" width="8.8515625" style="52" bestFit="1" customWidth="1"/>
    <col min="13" max="13" width="9.7109375" style="52" bestFit="1" customWidth="1"/>
    <col min="14" max="14" width="9.00390625" style="52" bestFit="1" customWidth="1"/>
    <col min="15" max="15" width="16.421875" style="52" hidden="1" customWidth="1"/>
    <col min="16" max="16" width="8.8515625" style="52" customWidth="1"/>
    <col min="17" max="17" width="6.7109375" style="52" hidden="1" customWidth="1"/>
    <col min="18" max="18" width="9.7109375" style="52" customWidth="1"/>
    <col min="19" max="57" width="9.140625" style="52" customWidth="1"/>
    <col min="58" max="58" width="9.28125" style="52" customWidth="1"/>
    <col min="59" max="16384" width="9.140625" style="52" customWidth="1"/>
  </cols>
  <sheetData>
    <row r="1" spans="1:16" ht="15">
      <c r="A1" s="50" t="s">
        <v>1436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8" ht="9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R2" s="53" t="s">
        <v>1437</v>
      </c>
    </row>
    <row r="3" spans="1:18" ht="22.5">
      <c r="A3" s="63" t="s">
        <v>1438</v>
      </c>
      <c r="B3" s="64"/>
      <c r="C3" s="65"/>
      <c r="D3" s="64"/>
      <c r="E3" s="66" t="s">
        <v>1439</v>
      </c>
      <c r="F3" s="64"/>
      <c r="G3" s="67" t="s">
        <v>1440</v>
      </c>
      <c r="H3" s="64"/>
      <c r="I3" s="68" t="s">
        <v>1441</v>
      </c>
      <c r="J3" s="68"/>
      <c r="K3" s="64"/>
      <c r="L3" s="67" t="s">
        <v>1442</v>
      </c>
      <c r="M3" s="69" t="s">
        <v>1441</v>
      </c>
      <c r="N3" s="69"/>
      <c r="O3" s="70"/>
      <c r="P3" s="66" t="s">
        <v>1443</v>
      </c>
      <c r="Q3" s="64"/>
      <c r="R3" s="71" t="s">
        <v>1444</v>
      </c>
    </row>
    <row r="4" spans="1:18" ht="23.25" customHeight="1">
      <c r="A4" s="72" t="s">
        <v>1445</v>
      </c>
      <c r="E4" s="103" t="s">
        <v>1485</v>
      </c>
      <c r="F4" s="103"/>
      <c r="G4" s="103" t="s">
        <v>1446</v>
      </c>
      <c r="H4" s="74" t="s">
        <v>1447</v>
      </c>
      <c r="I4" s="74" t="s">
        <v>1448</v>
      </c>
      <c r="J4" s="74" t="s">
        <v>1486</v>
      </c>
      <c r="K4" s="74" t="s">
        <v>1449</v>
      </c>
      <c r="L4" s="103" t="s">
        <v>1450</v>
      </c>
      <c r="M4" s="73" t="s">
        <v>1451</v>
      </c>
      <c r="N4" s="73" t="s">
        <v>1452</v>
      </c>
      <c r="O4" s="75"/>
      <c r="P4" s="104" t="s">
        <v>1453</v>
      </c>
      <c r="Q4" s="105"/>
      <c r="R4" s="106" t="s">
        <v>1454</v>
      </c>
    </row>
    <row r="5" spans="1:18" ht="30.75" customHeight="1">
      <c r="A5" s="76" t="s">
        <v>1455</v>
      </c>
      <c r="B5" s="77"/>
      <c r="C5" s="77"/>
      <c r="D5" s="77"/>
      <c r="E5" s="78" t="s">
        <v>1484</v>
      </c>
      <c r="F5" s="79"/>
      <c r="G5" s="79" t="s">
        <v>1456</v>
      </c>
      <c r="H5" s="79" t="s">
        <v>1457</v>
      </c>
      <c r="I5" s="79" t="s">
        <v>1457</v>
      </c>
      <c r="J5" s="80" t="s">
        <v>1488</v>
      </c>
      <c r="K5" s="79" t="s">
        <v>1457</v>
      </c>
      <c r="L5" s="79"/>
      <c r="M5" s="79" t="s">
        <v>1452</v>
      </c>
      <c r="N5" s="78" t="s">
        <v>1487</v>
      </c>
      <c r="O5" s="79"/>
      <c r="P5" s="79" t="s">
        <v>1458</v>
      </c>
      <c r="Q5" s="79"/>
      <c r="R5" s="81" t="s">
        <v>1459</v>
      </c>
    </row>
    <row r="6" spans="1:59" s="56" customFormat="1" ht="23.25" customHeight="1">
      <c r="A6" s="54" t="s">
        <v>1460</v>
      </c>
      <c r="B6" s="54"/>
      <c r="C6" s="55" t="str">
        <f>"01"</f>
        <v>01</v>
      </c>
      <c r="D6" s="54"/>
      <c r="E6" s="54"/>
      <c r="F6" s="54"/>
      <c r="G6" s="54">
        <f aca="true" t="shared" si="0" ref="G6:G20">H6+I6+J6+K6</f>
        <v>59</v>
      </c>
      <c r="H6" s="54"/>
      <c r="I6" s="54"/>
      <c r="J6" s="54"/>
      <c r="K6" s="54">
        <v>59</v>
      </c>
      <c r="L6" s="54"/>
      <c r="M6" s="54"/>
      <c r="N6" s="54"/>
      <c r="O6" s="54"/>
      <c r="P6" s="54">
        <f aca="true" t="shared" si="1" ref="P6:P14">SUM(E6+G6-N6-M6)</f>
        <v>59</v>
      </c>
      <c r="Q6" s="54"/>
      <c r="R6" s="54"/>
      <c r="BG6" s="12"/>
    </row>
    <row r="7" spans="1:59" s="56" customFormat="1" ht="12">
      <c r="A7" s="54" t="s">
        <v>1461</v>
      </c>
      <c r="B7" s="54"/>
      <c r="C7" s="55"/>
      <c r="D7" s="54"/>
      <c r="E7" s="54">
        <v>3936</v>
      </c>
      <c r="F7" s="54"/>
      <c r="G7" s="54">
        <f t="shared" si="0"/>
        <v>17667</v>
      </c>
      <c r="H7" s="54"/>
      <c r="I7" s="54"/>
      <c r="J7" s="54"/>
      <c r="K7" s="54">
        <v>17667</v>
      </c>
      <c r="L7" s="54">
        <f aca="true" t="shared" si="2" ref="L7:L23">M7+N7</f>
        <v>21603</v>
      </c>
      <c r="M7" s="54">
        <v>21603</v>
      </c>
      <c r="N7" s="54"/>
      <c r="O7" s="54"/>
      <c r="P7" s="54"/>
      <c r="Q7" s="54"/>
      <c r="R7" s="54"/>
      <c r="BG7" s="12"/>
    </row>
    <row r="8" spans="1:59" s="56" customFormat="1" ht="12">
      <c r="A8" s="54" t="s">
        <v>1462</v>
      </c>
      <c r="B8" s="54"/>
      <c r="C8" s="55" t="str">
        <f>"04"</f>
        <v>04</v>
      </c>
      <c r="D8" s="54"/>
      <c r="E8" s="54">
        <f>1825+3404</f>
        <v>5229</v>
      </c>
      <c r="F8" s="54"/>
      <c r="G8" s="54">
        <f t="shared" si="0"/>
        <v>114068</v>
      </c>
      <c r="H8" s="54"/>
      <c r="I8" s="54"/>
      <c r="J8" s="54"/>
      <c r="K8" s="54">
        <v>114068</v>
      </c>
      <c r="L8" s="54">
        <f t="shared" si="2"/>
        <v>62123</v>
      </c>
      <c r="M8" s="54">
        <v>18887</v>
      </c>
      <c r="N8" s="54">
        <v>43236</v>
      </c>
      <c r="O8" s="54"/>
      <c r="P8" s="54">
        <f t="shared" si="1"/>
        <v>57174</v>
      </c>
      <c r="Q8" s="54"/>
      <c r="R8" s="54">
        <v>181343</v>
      </c>
      <c r="BG8" s="12"/>
    </row>
    <row r="9" spans="1:18" s="56" customFormat="1" ht="12">
      <c r="A9" s="54" t="s">
        <v>1463</v>
      </c>
      <c r="B9" s="54"/>
      <c r="C9" s="55"/>
      <c r="D9" s="54"/>
      <c r="E9" s="54">
        <v>84656</v>
      </c>
      <c r="F9" s="54"/>
      <c r="G9" s="54">
        <f t="shared" si="0"/>
        <v>84600</v>
      </c>
      <c r="H9" s="54">
        <v>20376</v>
      </c>
      <c r="I9" s="54">
        <v>3297</v>
      </c>
      <c r="J9" s="54">
        <v>19513</v>
      </c>
      <c r="K9" s="54">
        <v>41414</v>
      </c>
      <c r="L9" s="54">
        <f t="shared" si="2"/>
        <v>93732</v>
      </c>
      <c r="M9" s="54">
        <v>70551</v>
      </c>
      <c r="N9" s="54">
        <v>23181</v>
      </c>
      <c r="O9" s="54"/>
      <c r="P9" s="54">
        <f t="shared" si="1"/>
        <v>75524</v>
      </c>
      <c r="Q9" s="54"/>
      <c r="R9" s="54">
        <v>372186</v>
      </c>
    </row>
    <row r="10" spans="1:18" s="56" customFormat="1" ht="12">
      <c r="A10" s="54" t="s">
        <v>1464</v>
      </c>
      <c r="B10" s="54"/>
      <c r="C10" s="55" t="str">
        <f>"01"</f>
        <v>01</v>
      </c>
      <c r="D10" s="54"/>
      <c r="E10" s="54">
        <f>72872</f>
        <v>72872</v>
      </c>
      <c r="F10" s="54"/>
      <c r="G10" s="54">
        <f t="shared" si="0"/>
        <v>12860</v>
      </c>
      <c r="H10" s="54">
        <f>2938149-2925289</f>
        <v>12860</v>
      </c>
      <c r="I10" s="54"/>
      <c r="J10" s="54"/>
      <c r="K10" s="54"/>
      <c r="L10" s="54">
        <f t="shared" si="2"/>
        <v>72888</v>
      </c>
      <c r="M10" s="54">
        <v>72888</v>
      </c>
      <c r="N10" s="54"/>
      <c r="O10" s="54"/>
      <c r="P10" s="54">
        <f t="shared" si="1"/>
        <v>12844</v>
      </c>
      <c r="Q10" s="54"/>
      <c r="R10" s="54"/>
    </row>
    <row r="11" spans="1:18" s="56" customFormat="1" ht="12">
      <c r="A11" s="54" t="s">
        <v>1465</v>
      </c>
      <c r="B11" s="54"/>
      <c r="C11" s="55" t="str">
        <f>"01"</f>
        <v>01</v>
      </c>
      <c r="D11" s="54"/>
      <c r="E11" s="54"/>
      <c r="F11" s="54"/>
      <c r="G11" s="54">
        <f t="shared" si="0"/>
        <v>241726</v>
      </c>
      <c r="H11" s="54"/>
      <c r="I11" s="54"/>
      <c r="J11" s="54"/>
      <c r="K11" s="54">
        <v>241726</v>
      </c>
      <c r="L11" s="54">
        <f t="shared" si="2"/>
        <v>197357</v>
      </c>
      <c r="M11" s="54">
        <v>188880</v>
      </c>
      <c r="N11" s="54">
        <v>8477</v>
      </c>
      <c r="O11" s="54"/>
      <c r="P11" s="54">
        <f t="shared" si="1"/>
        <v>44369</v>
      </c>
      <c r="Q11" s="54"/>
      <c r="R11" s="54"/>
    </row>
    <row r="12" spans="1:18" s="56" customFormat="1" ht="12">
      <c r="A12" s="54" t="s">
        <v>1466</v>
      </c>
      <c r="B12" s="54"/>
      <c r="C12" s="55" t="str">
        <f>"01"</f>
        <v>01</v>
      </c>
      <c r="D12" s="54"/>
      <c r="E12" s="54">
        <v>108286</v>
      </c>
      <c r="F12" s="54"/>
      <c r="G12" s="54">
        <f t="shared" si="0"/>
        <v>5084780</v>
      </c>
      <c r="H12" s="54">
        <v>1000</v>
      </c>
      <c r="I12" s="54"/>
      <c r="J12" s="54">
        <v>4600</v>
      </c>
      <c r="K12" s="54">
        <v>5079180</v>
      </c>
      <c r="L12" s="54">
        <f t="shared" si="2"/>
        <v>395251</v>
      </c>
      <c r="M12" s="54">
        <f>55398+282444</f>
        <v>337842</v>
      </c>
      <c r="N12" s="54">
        <v>57409</v>
      </c>
      <c r="O12" s="54"/>
      <c r="P12" s="54">
        <f t="shared" si="1"/>
        <v>4797815</v>
      </c>
      <c r="Q12" s="54"/>
      <c r="R12" s="54">
        <v>5419</v>
      </c>
    </row>
    <row r="13" spans="1:18" s="56" customFormat="1" ht="12">
      <c r="A13" s="54" t="s">
        <v>1467</v>
      </c>
      <c r="B13" s="54"/>
      <c r="C13" s="55" t="str">
        <f>"01"</f>
        <v>01</v>
      </c>
      <c r="D13" s="54"/>
      <c r="E13" s="54">
        <v>69977</v>
      </c>
      <c r="F13" s="54"/>
      <c r="G13" s="54">
        <f t="shared" si="0"/>
        <v>1167285</v>
      </c>
      <c r="H13" s="54">
        <v>86760</v>
      </c>
      <c r="I13" s="54">
        <v>5871</v>
      </c>
      <c r="J13" s="54">
        <v>188225</v>
      </c>
      <c r="K13" s="54">
        <v>886429</v>
      </c>
      <c r="L13" s="54">
        <f t="shared" si="2"/>
        <v>1195339</v>
      </c>
      <c r="M13" s="54">
        <v>222259</v>
      </c>
      <c r="N13" s="54">
        <v>973080</v>
      </c>
      <c r="O13" s="54"/>
      <c r="P13" s="54">
        <f t="shared" si="1"/>
        <v>41923</v>
      </c>
      <c r="Q13" s="54"/>
      <c r="R13" s="54">
        <v>2097486</v>
      </c>
    </row>
    <row r="14" spans="1:18" s="56" customFormat="1" ht="12">
      <c r="A14" s="54" t="s">
        <v>1468</v>
      </c>
      <c r="B14" s="54"/>
      <c r="C14" s="55" t="str">
        <f>"04"</f>
        <v>04</v>
      </c>
      <c r="D14" s="54"/>
      <c r="E14" s="54">
        <v>155936</v>
      </c>
      <c r="F14" s="54"/>
      <c r="G14" s="54">
        <f t="shared" si="0"/>
        <v>833405</v>
      </c>
      <c r="H14" s="54">
        <v>142516</v>
      </c>
      <c r="I14" s="54">
        <v>42641</v>
      </c>
      <c r="J14" s="54">
        <v>293686</v>
      </c>
      <c r="K14" s="54">
        <v>354562</v>
      </c>
      <c r="L14" s="54">
        <f t="shared" si="2"/>
        <v>818748</v>
      </c>
      <c r="M14" s="54">
        <v>732601</v>
      </c>
      <c r="N14" s="54">
        <v>86147</v>
      </c>
      <c r="O14" s="54"/>
      <c r="P14" s="54">
        <f t="shared" si="1"/>
        <v>170593</v>
      </c>
      <c r="Q14" s="54"/>
      <c r="R14" s="54">
        <v>190674</v>
      </c>
    </row>
    <row r="15" spans="1:18" s="56" customFormat="1" ht="11.25" customHeight="1">
      <c r="A15" s="54" t="s">
        <v>1469</v>
      </c>
      <c r="B15" s="54"/>
      <c r="C15" s="55" t="str">
        <f>"04"</f>
        <v>04</v>
      </c>
      <c r="D15" s="54"/>
      <c r="E15" s="54">
        <f>120025+273</f>
        <v>120298</v>
      </c>
      <c r="F15" s="54"/>
      <c r="G15" s="54">
        <f t="shared" si="0"/>
        <v>79163</v>
      </c>
      <c r="H15" s="54">
        <v>43617</v>
      </c>
      <c r="I15" s="54">
        <v>3579</v>
      </c>
      <c r="J15" s="54">
        <v>16974</v>
      </c>
      <c r="K15" s="54">
        <v>14993</v>
      </c>
      <c r="L15" s="54">
        <f t="shared" si="2"/>
        <v>89257</v>
      </c>
      <c r="M15" s="54">
        <v>77912</v>
      </c>
      <c r="N15" s="54">
        <v>11345</v>
      </c>
      <c r="O15" s="54"/>
      <c r="P15" s="54">
        <f>SUM(E15+G15-N15-M15)</f>
        <v>110204</v>
      </c>
      <c r="Q15" s="54"/>
      <c r="R15" s="54">
        <v>479729</v>
      </c>
    </row>
    <row r="16" spans="1:18" s="56" customFormat="1" ht="12" hidden="1">
      <c r="A16" s="54" t="s">
        <v>1470</v>
      </c>
      <c r="B16" s="54"/>
      <c r="C16" s="55"/>
      <c r="D16" s="54"/>
      <c r="E16" s="54">
        <v>0</v>
      </c>
      <c r="F16" s="54"/>
      <c r="G16" s="54">
        <f t="shared" si="0"/>
        <v>0</v>
      </c>
      <c r="H16" s="54"/>
      <c r="I16" s="54"/>
      <c r="J16" s="54"/>
      <c r="K16" s="54"/>
      <c r="L16" s="54">
        <f t="shared" si="2"/>
        <v>0</v>
      </c>
      <c r="M16" s="54"/>
      <c r="N16" s="54"/>
      <c r="O16" s="54"/>
      <c r="P16" s="54">
        <f>SUM(E16+G16-N16-M16)</f>
        <v>0</v>
      </c>
      <c r="Q16" s="54"/>
      <c r="R16" s="54"/>
    </row>
    <row r="17" spans="1:18" s="56" customFormat="1" ht="12">
      <c r="A17" s="54" t="s">
        <v>1471</v>
      </c>
      <c r="B17" s="54"/>
      <c r="C17" s="55" t="str">
        <f>"01"</f>
        <v>01</v>
      </c>
      <c r="D17" s="54"/>
      <c r="E17" s="54">
        <v>29313</v>
      </c>
      <c r="F17" s="54"/>
      <c r="G17" s="54">
        <f t="shared" si="0"/>
        <v>866688</v>
      </c>
      <c r="H17" s="54">
        <f>2225+25655+1634</f>
        <v>29514</v>
      </c>
      <c r="I17" s="54">
        <f>6484+33485+6770</f>
        <v>46739</v>
      </c>
      <c r="J17" s="54">
        <f>591+150</f>
        <v>741</v>
      </c>
      <c r="K17" s="57">
        <f>28161+29174+8144+686000+8515+29700</f>
        <v>789694</v>
      </c>
      <c r="L17" s="54">
        <f t="shared" si="2"/>
        <v>165265</v>
      </c>
      <c r="M17" s="54">
        <v>125297</v>
      </c>
      <c r="N17" s="54">
        <v>39968</v>
      </c>
      <c r="O17" s="54"/>
      <c r="P17" s="54">
        <f>SUM(E17+G17-N17-M17)</f>
        <v>730736</v>
      </c>
      <c r="Q17" s="54"/>
      <c r="R17" s="54">
        <v>157316</v>
      </c>
    </row>
    <row r="18" spans="1:18" s="56" customFormat="1" ht="12">
      <c r="A18" s="54" t="s">
        <v>1472</v>
      </c>
      <c r="B18" s="54"/>
      <c r="C18" s="55" t="str">
        <f>"01"</f>
        <v>01</v>
      </c>
      <c r="D18" s="54"/>
      <c r="E18" s="54">
        <v>216269</v>
      </c>
      <c r="F18" s="54"/>
      <c r="G18" s="54">
        <f t="shared" si="0"/>
        <v>192867</v>
      </c>
      <c r="H18" s="54">
        <v>2905</v>
      </c>
      <c r="I18" s="54">
        <v>4259</v>
      </c>
      <c r="J18" s="54"/>
      <c r="K18" s="54">
        <v>185703</v>
      </c>
      <c r="L18" s="54">
        <f t="shared" si="2"/>
        <v>273554</v>
      </c>
      <c r="M18" s="54">
        <f>303695-37757</f>
        <v>265938</v>
      </c>
      <c r="N18" s="54">
        <v>7616</v>
      </c>
      <c r="O18" s="54"/>
      <c r="P18" s="54">
        <f>SUM(E18+G18-N18-M18)</f>
        <v>135582</v>
      </c>
      <c r="Q18" s="54"/>
      <c r="R18" s="54"/>
    </row>
    <row r="19" spans="1:18" s="56" customFormat="1" ht="24">
      <c r="A19" s="58" t="s">
        <v>1473</v>
      </c>
      <c r="B19" s="54"/>
      <c r="C19" s="55"/>
      <c r="D19" s="54"/>
      <c r="E19" s="54">
        <v>50983</v>
      </c>
      <c r="F19" s="54"/>
      <c r="G19" s="54">
        <f t="shared" si="0"/>
        <v>305336</v>
      </c>
      <c r="H19" s="54">
        <v>11704</v>
      </c>
      <c r="I19" s="54"/>
      <c r="J19" s="54">
        <v>11687</v>
      </c>
      <c r="K19" s="54">
        <v>281945</v>
      </c>
      <c r="L19" s="54">
        <f t="shared" si="2"/>
        <v>321724</v>
      </c>
      <c r="M19" s="54">
        <f>443901-176579</f>
        <v>267322</v>
      </c>
      <c r="N19" s="54">
        <f>143927-89525</f>
        <v>54402</v>
      </c>
      <c r="O19" s="54"/>
      <c r="P19" s="54">
        <f aca="true" t="shared" si="3" ref="P19:P27">SUM(E19+G19-N19-M19)</f>
        <v>34595</v>
      </c>
      <c r="Q19" s="54"/>
      <c r="R19" s="54"/>
    </row>
    <row r="20" spans="1:18" s="56" customFormat="1" ht="12">
      <c r="A20" s="54" t="s">
        <v>1474</v>
      </c>
      <c r="B20" s="54"/>
      <c r="C20" s="55" t="str">
        <f>"04"</f>
        <v>04</v>
      </c>
      <c r="D20" s="54"/>
      <c r="E20" s="54">
        <v>54193</v>
      </c>
      <c r="F20" s="54"/>
      <c r="G20" s="54">
        <f t="shared" si="0"/>
        <v>689611</v>
      </c>
      <c r="H20" s="54">
        <v>104754</v>
      </c>
      <c r="I20" s="54">
        <v>208753</v>
      </c>
      <c r="J20" s="54">
        <v>248011</v>
      </c>
      <c r="K20" s="54">
        <v>128093</v>
      </c>
      <c r="L20" s="54">
        <f t="shared" si="2"/>
        <v>634278</v>
      </c>
      <c r="M20" s="54">
        <v>586811</v>
      </c>
      <c r="N20" s="54">
        <v>47467</v>
      </c>
      <c r="O20" s="54"/>
      <c r="P20" s="54">
        <f t="shared" si="3"/>
        <v>109526</v>
      </c>
      <c r="Q20" s="54"/>
      <c r="R20" s="54">
        <v>38015</v>
      </c>
    </row>
    <row r="21" spans="1:18" s="56" customFormat="1" ht="12">
      <c r="A21" s="54" t="s">
        <v>1475</v>
      </c>
      <c r="B21" s="54"/>
      <c r="C21" s="55" t="str">
        <f>"01"</f>
        <v>01</v>
      </c>
      <c r="D21" s="54"/>
      <c r="E21" s="54">
        <v>3725</v>
      </c>
      <c r="F21" s="54"/>
      <c r="G21" s="54"/>
      <c r="H21" s="54"/>
      <c r="I21" s="54"/>
      <c r="J21" s="54"/>
      <c r="K21" s="54"/>
      <c r="L21" s="54">
        <f t="shared" si="2"/>
        <v>3725</v>
      </c>
      <c r="M21" s="54">
        <v>156</v>
      </c>
      <c r="N21" s="54">
        <v>3569</v>
      </c>
      <c r="O21" s="54"/>
      <c r="P21" s="54"/>
      <c r="Q21" s="54"/>
      <c r="R21" s="54"/>
    </row>
    <row r="22" spans="1:18" s="56" customFormat="1" ht="12" hidden="1">
      <c r="A22" s="54" t="s">
        <v>1476</v>
      </c>
      <c r="B22" s="54"/>
      <c r="C22" s="55"/>
      <c r="D22" s="54"/>
      <c r="E22" s="54">
        <v>0</v>
      </c>
      <c r="F22" s="54"/>
      <c r="G22" s="54">
        <f>H22+I22+J22+K22</f>
        <v>0</v>
      </c>
      <c r="H22" s="54"/>
      <c r="I22" s="54"/>
      <c r="J22" s="54"/>
      <c r="K22" s="54"/>
      <c r="L22" s="54">
        <f t="shared" si="2"/>
        <v>0</v>
      </c>
      <c r="M22" s="54"/>
      <c r="N22" s="54"/>
      <c r="O22" s="54"/>
      <c r="P22" s="54">
        <f t="shared" si="3"/>
        <v>0</v>
      </c>
      <c r="Q22" s="54"/>
      <c r="R22" s="54"/>
    </row>
    <row r="23" spans="1:18" s="56" customFormat="1" ht="12" hidden="1">
      <c r="A23" s="54" t="s">
        <v>1477</v>
      </c>
      <c r="B23" s="54"/>
      <c r="C23" s="55"/>
      <c r="D23" s="54"/>
      <c r="E23" s="54">
        <v>0</v>
      </c>
      <c r="F23" s="54"/>
      <c r="G23" s="54">
        <f>H23+I23+J23+K23</f>
        <v>0</v>
      </c>
      <c r="H23" s="54"/>
      <c r="I23" s="54"/>
      <c r="J23" s="54"/>
      <c r="K23" s="54"/>
      <c r="L23" s="54">
        <f t="shared" si="2"/>
        <v>0</v>
      </c>
      <c r="M23" s="54"/>
      <c r="N23" s="54"/>
      <c r="O23" s="54"/>
      <c r="P23" s="54">
        <f t="shared" si="3"/>
        <v>0</v>
      </c>
      <c r="Q23" s="54"/>
      <c r="R23" s="54"/>
    </row>
    <row r="24" spans="1:18" s="56" customFormat="1" ht="12">
      <c r="A24" s="54" t="s">
        <v>1478</v>
      </c>
      <c r="B24" s="54"/>
      <c r="C24" s="55" t="str">
        <f>"01"</f>
        <v>01</v>
      </c>
      <c r="D24" s="54"/>
      <c r="E24" s="54">
        <v>3455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>
        <f t="shared" si="3"/>
        <v>3455</v>
      </c>
      <c r="Q24" s="54"/>
      <c r="R24" s="54"/>
    </row>
    <row r="25" spans="1:18" s="56" customFormat="1" ht="0.75" customHeight="1" hidden="1">
      <c r="A25" s="54" t="s">
        <v>1479</v>
      </c>
      <c r="B25" s="54"/>
      <c r="C25" s="55"/>
      <c r="D25" s="54"/>
      <c r="E25" s="54">
        <v>0</v>
      </c>
      <c r="F25" s="54"/>
      <c r="G25" s="54">
        <f>H25+I25+J25+K25</f>
        <v>0</v>
      </c>
      <c r="H25" s="54"/>
      <c r="I25" s="54"/>
      <c r="J25" s="54"/>
      <c r="K25" s="54"/>
      <c r="L25" s="54">
        <f>M25+N25</f>
        <v>0</v>
      </c>
      <c r="M25" s="54"/>
      <c r="N25" s="54"/>
      <c r="O25" s="54"/>
      <c r="P25" s="54">
        <f t="shared" si="3"/>
        <v>0</v>
      </c>
      <c r="Q25" s="54"/>
      <c r="R25" s="54"/>
    </row>
    <row r="26" spans="1:18" s="56" customFormat="1" ht="12">
      <c r="A26" s="54" t="s">
        <v>1480</v>
      </c>
      <c r="B26" s="54"/>
      <c r="C26" s="55" t="str">
        <f>"03"</f>
        <v>03</v>
      </c>
      <c r="D26" s="54"/>
      <c r="E26" s="54">
        <v>647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>
        <f t="shared" si="3"/>
        <v>647</v>
      </c>
      <c r="Q26" s="54"/>
      <c r="R26" s="54"/>
    </row>
    <row r="27" spans="1:18" s="56" customFormat="1" ht="12">
      <c r="A27" s="54" t="s">
        <v>1481</v>
      </c>
      <c r="B27" s="54"/>
      <c r="C27" s="55" t="str">
        <f>"01"</f>
        <v>01</v>
      </c>
      <c r="D27" s="54"/>
      <c r="E27" s="54">
        <f>5379</f>
        <v>5379</v>
      </c>
      <c r="F27" s="54"/>
      <c r="G27" s="54">
        <f>H27+I27+J27+K27</f>
        <v>92592</v>
      </c>
      <c r="H27" s="54"/>
      <c r="I27" s="54"/>
      <c r="J27" s="54"/>
      <c r="K27" s="54">
        <f>90790+1802</f>
        <v>92592</v>
      </c>
      <c r="L27" s="54">
        <f>M27+N27</f>
        <v>90790</v>
      </c>
      <c r="M27" s="54">
        <v>90790</v>
      </c>
      <c r="N27" s="54"/>
      <c r="O27" s="54"/>
      <c r="P27" s="54">
        <f t="shared" si="3"/>
        <v>7181</v>
      </c>
      <c r="Q27" s="54"/>
      <c r="R27" s="54"/>
    </row>
    <row r="28" spans="1:18" s="56" customFormat="1" ht="12">
      <c r="A28" s="54"/>
      <c r="B28" s="54"/>
      <c r="C28" s="55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61" customFormat="1" ht="12">
      <c r="A29" s="59" t="s">
        <v>1482</v>
      </c>
      <c r="B29" s="59"/>
      <c r="C29" s="60"/>
      <c r="D29" s="59" t="e">
        <f>SUM(#REF!+D8+D9+D10+#REF!+D12+#REF!+D14+#REF!+#REF!+#REF!+#REF!+#REF!+#REF!+#REF!+D21+#REF!+#REF!+D24+#REF!+D27+#REF!+#REF!+#REF!)</f>
        <v>#REF!</v>
      </c>
      <c r="E29" s="59">
        <f>SUM(E6:E27)</f>
        <v>985154</v>
      </c>
      <c r="F29" s="59" t="e">
        <f>SUM(F6+#REF!+F8+F9+F10+F11+F12+F13+F14+F15+F17+F18+#REF!+F20+#REF!+F21+#REF!+F24+F26+#REF!)</f>
        <v>#REF!</v>
      </c>
      <c r="G29" s="59">
        <f>H29+I29+J29+K29</f>
        <v>9782707</v>
      </c>
      <c r="H29" s="59">
        <f>SUM(H6:H27)</f>
        <v>456006</v>
      </c>
      <c r="I29" s="59">
        <f>SUM(I6:I27)</f>
        <v>315139</v>
      </c>
      <c r="J29" s="59">
        <f>SUM(J6:J27)</f>
        <v>783437</v>
      </c>
      <c r="K29" s="59">
        <f>SUM(K6:K27)</f>
        <v>8228125</v>
      </c>
      <c r="L29" s="59">
        <f>M29+N29</f>
        <v>4435634</v>
      </c>
      <c r="M29" s="59">
        <f>SUM(M6:M27)</f>
        <v>3079737</v>
      </c>
      <c r="N29" s="59">
        <f>SUM(N6:N27)</f>
        <v>1355897</v>
      </c>
      <c r="O29" s="59" t="e">
        <f>SUM(O6+#REF!+O8+O9+O10+O11+O12+O13+O14+O15+O17+O18+#REF!+O20+#REF!+O21+#REF!+O24+O26+#REF!)</f>
        <v>#REF!</v>
      </c>
      <c r="P29" s="59">
        <f>E29+G29-L29</f>
        <v>6332227</v>
      </c>
      <c r="Q29" s="59" t="e">
        <f>SUM(Q6+#REF!+Q8+Q9+Q10+Q11+Q12+Q13+Q14+Q15+Q17+Q18+#REF!+Q20+#REF!+Q21+#REF!+Q24+Q26+#REF!)</f>
        <v>#REF!</v>
      </c>
      <c r="R29" s="59">
        <f>SUM(R6:R26)</f>
        <v>3522168</v>
      </c>
    </row>
    <row r="30" s="56" customFormat="1" ht="11.25"/>
    <row r="31" s="56" customFormat="1" ht="11.25">
      <c r="A31" s="62" t="s">
        <v>1483</v>
      </c>
    </row>
    <row r="33" s="56" customFormat="1" ht="11.25"/>
    <row r="34" s="56" customFormat="1" ht="11.25"/>
    <row r="36" spans="1:11" ht="12.75">
      <c r="A36" t="s">
        <v>1490</v>
      </c>
      <c r="K36" t="s">
        <v>1489</v>
      </c>
    </row>
    <row r="38" spans="1:18" s="56" customFormat="1" ht="10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ht="12.75"/>
    <row r="40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</sheetData>
  <printOptions/>
  <pageMargins left="0.7480314960629921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Y100"/>
  <sheetViews>
    <sheetView workbookViewId="0" topLeftCell="D31">
      <selection activeCell="I12" sqref="I12"/>
    </sheetView>
  </sheetViews>
  <sheetFormatPr defaultColWidth="9.140625" defaultRowHeight="12.75"/>
  <cols>
    <col min="1" max="1" width="21.28125" style="199" customWidth="1"/>
    <col min="2" max="2" width="11.28125" style="199" customWidth="1"/>
    <col min="3" max="3" width="13.421875" style="199" customWidth="1"/>
    <col min="4" max="4" width="11.421875" style="199" customWidth="1"/>
    <col min="5" max="5" width="12.8515625" style="199" customWidth="1"/>
    <col min="6" max="6" width="12.00390625" style="199" customWidth="1"/>
    <col min="7" max="7" width="13.421875" style="199" customWidth="1"/>
    <col min="8" max="8" width="11.8515625" style="0" customWidth="1"/>
    <col min="156" max="16384" width="9.140625" style="199" customWidth="1"/>
  </cols>
  <sheetData>
    <row r="1" spans="1:6" ht="15.75">
      <c r="A1" s="202"/>
      <c r="B1" s="393"/>
      <c r="C1" s="393"/>
      <c r="D1" s="393"/>
      <c r="E1" s="393"/>
      <c r="F1" s="393"/>
    </row>
    <row r="2" spans="1:7" ht="15.75">
      <c r="A2" s="202" t="s">
        <v>319</v>
      </c>
      <c r="B2" s="202"/>
      <c r="C2" s="202"/>
      <c r="D2" s="202"/>
      <c r="E2" s="202"/>
      <c r="F2" s="202"/>
      <c r="G2" s="202"/>
    </row>
    <row r="3" spans="1:7" ht="15.75">
      <c r="A3" s="202" t="s">
        <v>320</v>
      </c>
      <c r="B3" s="202"/>
      <c r="C3" s="202"/>
      <c r="D3" s="202"/>
      <c r="E3" s="202"/>
      <c r="F3" s="202"/>
      <c r="G3" s="202"/>
    </row>
    <row r="4" spans="1:6" ht="15.75">
      <c r="A4" s="202"/>
      <c r="B4" s="393"/>
      <c r="C4" s="393"/>
      <c r="D4" s="393"/>
      <c r="E4" s="393"/>
      <c r="F4" s="393"/>
    </row>
    <row r="5" spans="1:6" ht="15.75">
      <c r="A5" s="202"/>
      <c r="B5" s="393"/>
      <c r="C5" s="393"/>
      <c r="D5" s="393"/>
      <c r="E5" s="393"/>
      <c r="F5" s="393"/>
    </row>
    <row r="6" spans="1:7" ht="15.75">
      <c r="A6" s="202"/>
      <c r="B6" s="393"/>
      <c r="C6" s="393"/>
      <c r="D6" s="393"/>
      <c r="E6" s="393"/>
      <c r="F6" s="393"/>
      <c r="G6" s="199" t="s">
        <v>1437</v>
      </c>
    </row>
    <row r="7" spans="1:155" s="394" customFormat="1" ht="12.75">
      <c r="A7" s="406"/>
      <c r="B7" s="224"/>
      <c r="C7" s="224"/>
      <c r="D7" s="224"/>
      <c r="E7" s="395" t="s">
        <v>213</v>
      </c>
      <c r="F7" s="395"/>
      <c r="G7" s="2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</row>
    <row r="8" spans="1:155" s="408" customFormat="1" ht="60">
      <c r="A8" s="407" t="s">
        <v>278</v>
      </c>
      <c r="B8" s="407" t="s">
        <v>321</v>
      </c>
      <c r="C8" s="407" t="s">
        <v>322</v>
      </c>
      <c r="D8" s="407" t="s">
        <v>323</v>
      </c>
      <c r="E8" s="408" t="s">
        <v>324</v>
      </c>
      <c r="F8" s="408" t="s">
        <v>325</v>
      </c>
      <c r="G8" s="407" t="s">
        <v>326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</row>
    <row r="9" spans="1:155" s="84" customFormat="1" ht="12.75">
      <c r="A9" s="398" t="s">
        <v>283</v>
      </c>
      <c r="B9" s="54">
        <v>116632</v>
      </c>
      <c r="C9" s="54">
        <v>1642781</v>
      </c>
      <c r="D9" s="54">
        <v>1511348</v>
      </c>
      <c r="E9" s="54">
        <f>D9-F9</f>
        <v>1323515</v>
      </c>
      <c r="F9" s="54">
        <v>187833</v>
      </c>
      <c r="G9" s="54">
        <f>B9+C9-D9</f>
        <v>248065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</row>
    <row r="10" spans="1:155" s="84" customFormat="1" ht="12.75">
      <c r="A10" s="398" t="s">
        <v>1358</v>
      </c>
      <c r="B10" s="54">
        <v>2939</v>
      </c>
      <c r="C10" s="54">
        <v>88245</v>
      </c>
      <c r="D10" s="54">
        <v>88602</v>
      </c>
      <c r="E10" s="54">
        <f>D10-F10</f>
        <v>40200</v>
      </c>
      <c r="F10" s="54">
        <v>48402</v>
      </c>
      <c r="G10" s="54">
        <f aca="true" t="shared" si="0" ref="G10:G41">B10+C10-D10</f>
        <v>2582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</row>
    <row r="11" spans="1:155" s="84" customFormat="1" ht="12.75">
      <c r="A11" s="398" t="s">
        <v>1193</v>
      </c>
      <c r="B11" s="54">
        <v>5605</v>
      </c>
      <c r="C11" s="54">
        <v>23375</v>
      </c>
      <c r="D11" s="54">
        <v>23398</v>
      </c>
      <c r="E11" s="54">
        <f aca="true" t="shared" si="1" ref="E11:E26">D11-F11</f>
        <v>20889</v>
      </c>
      <c r="F11" s="54">
        <v>2509</v>
      </c>
      <c r="G11" s="54">
        <f t="shared" si="0"/>
        <v>5582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</row>
    <row r="12" spans="1:155" s="84" customFormat="1" ht="12.75">
      <c r="A12" s="398" t="s">
        <v>1157</v>
      </c>
      <c r="B12" s="54">
        <v>7789</v>
      </c>
      <c r="C12" s="54">
        <v>39608</v>
      </c>
      <c r="D12" s="54">
        <v>46138</v>
      </c>
      <c r="E12" s="54">
        <f t="shared" si="1"/>
        <v>40353</v>
      </c>
      <c r="F12" s="54">
        <v>5785</v>
      </c>
      <c r="G12" s="54">
        <f t="shared" si="0"/>
        <v>1259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</row>
    <row r="13" spans="1:155" s="84" customFormat="1" ht="12.75">
      <c r="A13" s="398" t="s">
        <v>1160</v>
      </c>
      <c r="B13" s="54">
        <v>9445</v>
      </c>
      <c r="C13" s="54">
        <v>86316</v>
      </c>
      <c r="D13" s="54">
        <v>82332</v>
      </c>
      <c r="E13" s="54">
        <f t="shared" si="1"/>
        <v>37951</v>
      </c>
      <c r="F13" s="54">
        <v>44381</v>
      </c>
      <c r="G13" s="54">
        <f t="shared" si="0"/>
        <v>13429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</row>
    <row r="14" spans="1:155" s="84" customFormat="1" ht="12.75">
      <c r="A14" s="398" t="s">
        <v>1165</v>
      </c>
      <c r="B14" s="54">
        <v>4853</v>
      </c>
      <c r="C14" s="54">
        <v>11602</v>
      </c>
      <c r="D14" s="54">
        <v>13960</v>
      </c>
      <c r="E14" s="54">
        <f t="shared" si="1"/>
        <v>12174</v>
      </c>
      <c r="F14" s="54">
        <v>1786</v>
      </c>
      <c r="G14" s="54">
        <f t="shared" si="0"/>
        <v>2495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</row>
    <row r="15" spans="1:155" s="84" customFormat="1" ht="12.75">
      <c r="A15" s="398" t="s">
        <v>327</v>
      </c>
      <c r="B15" s="54">
        <v>4803294</v>
      </c>
      <c r="C15" s="54">
        <v>2679210</v>
      </c>
      <c r="D15" s="54">
        <v>7285469</v>
      </c>
      <c r="E15" s="54">
        <v>808567</v>
      </c>
      <c r="F15" s="54">
        <v>2788074</v>
      </c>
      <c r="G15" s="54">
        <f t="shared" si="0"/>
        <v>197035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</row>
    <row r="16" spans="1:155" s="84" customFormat="1" ht="12.75">
      <c r="A16" s="398" t="s">
        <v>285</v>
      </c>
      <c r="B16" s="54"/>
      <c r="C16" s="54"/>
      <c r="D16" s="54"/>
      <c r="E16" s="54"/>
      <c r="F16" s="54"/>
      <c r="G16" s="5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</row>
    <row r="17" spans="1:155" s="84" customFormat="1" ht="12.75">
      <c r="A17" s="398" t="s">
        <v>286</v>
      </c>
      <c r="B17" s="54">
        <v>1053</v>
      </c>
      <c r="C17" s="54">
        <v>62541</v>
      </c>
      <c r="D17" s="54">
        <v>39076</v>
      </c>
      <c r="E17" s="54">
        <f t="shared" si="1"/>
        <v>21786</v>
      </c>
      <c r="F17" s="54">
        <v>17290</v>
      </c>
      <c r="G17" s="54">
        <f t="shared" si="0"/>
        <v>24518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</row>
    <row r="18" spans="1:155" s="84" customFormat="1" ht="12.75">
      <c r="A18" s="398" t="s">
        <v>287</v>
      </c>
      <c r="B18" s="54"/>
      <c r="C18" s="54">
        <v>2979</v>
      </c>
      <c r="D18" s="54">
        <v>2838</v>
      </c>
      <c r="E18" s="54">
        <f t="shared" si="1"/>
        <v>2838</v>
      </c>
      <c r="F18" s="54"/>
      <c r="G18" s="54">
        <f t="shared" si="0"/>
        <v>141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</row>
    <row r="19" spans="1:155" s="84" customFormat="1" ht="12.75">
      <c r="A19" s="398" t="s">
        <v>288</v>
      </c>
      <c r="B19" s="54">
        <v>19444</v>
      </c>
      <c r="C19" s="54">
        <v>179322</v>
      </c>
      <c r="D19" s="54">
        <v>139631</v>
      </c>
      <c r="E19" s="54">
        <f t="shared" si="1"/>
        <v>29626</v>
      </c>
      <c r="F19" s="54">
        <v>110005</v>
      </c>
      <c r="G19" s="54">
        <f t="shared" si="0"/>
        <v>59135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</row>
    <row r="20" spans="1:155" s="84" customFormat="1" ht="12.75">
      <c r="A20" s="398" t="s">
        <v>289</v>
      </c>
      <c r="B20" s="54">
        <v>7418</v>
      </c>
      <c r="C20" s="54">
        <v>75956</v>
      </c>
      <c r="D20" s="54">
        <v>64023</v>
      </c>
      <c r="E20" s="54">
        <f t="shared" si="1"/>
        <v>54783</v>
      </c>
      <c r="F20" s="54">
        <v>9240</v>
      </c>
      <c r="G20" s="54">
        <f t="shared" si="0"/>
        <v>19351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</row>
    <row r="21" spans="1:155" s="84" customFormat="1" ht="12.75">
      <c r="A21" s="398" t="s">
        <v>290</v>
      </c>
      <c r="B21" s="54">
        <v>1957</v>
      </c>
      <c r="C21" s="54">
        <v>34378</v>
      </c>
      <c r="D21" s="54">
        <v>31427</v>
      </c>
      <c r="E21" s="54">
        <f t="shared" si="1"/>
        <v>10811</v>
      </c>
      <c r="F21" s="54">
        <v>20616</v>
      </c>
      <c r="G21" s="54">
        <f t="shared" si="0"/>
        <v>4908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</row>
    <row r="22" spans="1:155" s="84" customFormat="1" ht="12.75">
      <c r="A22" s="398" t="s">
        <v>291</v>
      </c>
      <c r="B22" s="54">
        <v>2341</v>
      </c>
      <c r="C22" s="54">
        <v>45290</v>
      </c>
      <c r="D22" s="54">
        <v>39214</v>
      </c>
      <c r="E22" s="54">
        <f t="shared" si="1"/>
        <v>19790</v>
      </c>
      <c r="F22" s="54">
        <v>19424</v>
      </c>
      <c r="G22" s="54">
        <f t="shared" si="0"/>
        <v>8417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</row>
    <row r="23" spans="1:155" s="84" customFormat="1" ht="12.75">
      <c r="A23" s="398" t="s">
        <v>292</v>
      </c>
      <c r="B23" s="54">
        <v>223</v>
      </c>
      <c r="C23" s="54">
        <v>7623</v>
      </c>
      <c r="D23" s="54">
        <v>6798</v>
      </c>
      <c r="E23" s="54">
        <f t="shared" si="1"/>
        <v>6572</v>
      </c>
      <c r="F23" s="54">
        <v>226</v>
      </c>
      <c r="G23" s="54">
        <f t="shared" si="0"/>
        <v>1048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</row>
    <row r="24" spans="1:155" s="84" customFormat="1" ht="12.75">
      <c r="A24" s="398" t="s">
        <v>293</v>
      </c>
      <c r="B24" s="54">
        <v>284</v>
      </c>
      <c r="C24" s="54">
        <v>68280</v>
      </c>
      <c r="D24" s="54">
        <v>24389</v>
      </c>
      <c r="E24" s="54">
        <f t="shared" si="1"/>
        <v>20346</v>
      </c>
      <c r="F24" s="54">
        <v>4043</v>
      </c>
      <c r="G24" s="54">
        <f t="shared" si="0"/>
        <v>44175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</row>
    <row r="25" spans="1:155" s="84" customFormat="1" ht="12.75">
      <c r="A25" s="398" t="s">
        <v>294</v>
      </c>
      <c r="B25" s="54">
        <v>2271</v>
      </c>
      <c r="C25" s="54">
        <v>30569</v>
      </c>
      <c r="D25" s="54">
        <v>25145</v>
      </c>
      <c r="E25" s="54">
        <f t="shared" si="1"/>
        <v>24591</v>
      </c>
      <c r="F25" s="54">
        <v>554</v>
      </c>
      <c r="G25" s="54">
        <f t="shared" si="0"/>
        <v>7695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</row>
    <row r="26" spans="1:155" s="84" customFormat="1" ht="12.75">
      <c r="A26" s="398" t="s">
        <v>295</v>
      </c>
      <c r="B26" s="54">
        <v>4362</v>
      </c>
      <c r="C26" s="54">
        <v>50496</v>
      </c>
      <c r="D26" s="54">
        <v>53909</v>
      </c>
      <c r="E26" s="54">
        <f t="shared" si="1"/>
        <v>40994</v>
      </c>
      <c r="F26" s="54">
        <v>12915</v>
      </c>
      <c r="G26" s="54">
        <f t="shared" si="0"/>
        <v>949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</row>
    <row r="27" spans="1:155" s="84" customFormat="1" ht="12.75">
      <c r="A27" s="398" t="s">
        <v>296</v>
      </c>
      <c r="B27" s="54">
        <v>3104</v>
      </c>
      <c r="C27" s="54">
        <v>28609</v>
      </c>
      <c r="D27" s="54">
        <v>27208</v>
      </c>
      <c r="E27" s="54">
        <f>D27-F27</f>
        <v>18840</v>
      </c>
      <c r="F27" s="54">
        <v>8368</v>
      </c>
      <c r="G27" s="54">
        <f t="shared" si="0"/>
        <v>4505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</row>
    <row r="28" spans="1:155" s="84" customFormat="1" ht="12.75">
      <c r="A28" s="398" t="s">
        <v>297</v>
      </c>
      <c r="B28" s="54">
        <v>1594</v>
      </c>
      <c r="C28" s="54">
        <v>15252</v>
      </c>
      <c r="D28" s="54">
        <v>14776</v>
      </c>
      <c r="E28" s="54">
        <f>D28-F28</f>
        <v>14117</v>
      </c>
      <c r="F28" s="54">
        <v>659</v>
      </c>
      <c r="G28" s="54">
        <f t="shared" si="0"/>
        <v>2070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</row>
    <row r="29" spans="1:155" s="84" customFormat="1" ht="12.75">
      <c r="A29" s="398" t="s">
        <v>298</v>
      </c>
      <c r="B29" s="54">
        <v>2996</v>
      </c>
      <c r="C29" s="54">
        <v>23492</v>
      </c>
      <c r="D29" s="54">
        <v>16761</v>
      </c>
      <c r="E29" s="54">
        <f aca="true" t="shared" si="2" ref="E29:E41">D29-F29</f>
        <v>12135</v>
      </c>
      <c r="F29" s="54">
        <v>4626</v>
      </c>
      <c r="G29" s="54">
        <f t="shared" si="0"/>
        <v>9727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</row>
    <row r="30" spans="1:155" s="84" customFormat="1" ht="12.75">
      <c r="A30" s="398" t="s">
        <v>299</v>
      </c>
      <c r="B30" s="54">
        <v>1825</v>
      </c>
      <c r="C30" s="54">
        <v>7986</v>
      </c>
      <c r="D30" s="54">
        <v>7528</v>
      </c>
      <c r="E30" s="54">
        <f t="shared" si="2"/>
        <v>5817</v>
      </c>
      <c r="F30" s="54">
        <v>1711</v>
      </c>
      <c r="G30" s="54">
        <f t="shared" si="0"/>
        <v>2283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</row>
    <row r="31" spans="1:155" s="84" customFormat="1" ht="12.75">
      <c r="A31" s="398" t="s">
        <v>300</v>
      </c>
      <c r="B31" s="54">
        <v>868</v>
      </c>
      <c r="C31" s="54">
        <v>31900</v>
      </c>
      <c r="D31" s="54">
        <v>31610</v>
      </c>
      <c r="E31" s="54">
        <f t="shared" si="2"/>
        <v>20572</v>
      </c>
      <c r="F31" s="54">
        <v>11038</v>
      </c>
      <c r="G31" s="54">
        <f t="shared" si="0"/>
        <v>1158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</row>
    <row r="32" spans="1:155" s="84" customFormat="1" ht="12.75">
      <c r="A32" s="398" t="s">
        <v>301</v>
      </c>
      <c r="B32" s="54">
        <v>11251</v>
      </c>
      <c r="C32" s="54">
        <v>14871</v>
      </c>
      <c r="D32" s="54">
        <v>22582</v>
      </c>
      <c r="E32" s="54">
        <f t="shared" si="2"/>
        <v>9442</v>
      </c>
      <c r="F32" s="54">
        <v>13140</v>
      </c>
      <c r="G32" s="54">
        <f t="shared" si="0"/>
        <v>3540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</row>
    <row r="33" spans="1:155" s="84" customFormat="1" ht="12.75">
      <c r="A33" s="398" t="s">
        <v>302</v>
      </c>
      <c r="B33" s="54">
        <v>242</v>
      </c>
      <c r="C33" s="54">
        <v>22552</v>
      </c>
      <c r="D33" s="54">
        <v>18065</v>
      </c>
      <c r="E33" s="54">
        <f t="shared" si="2"/>
        <v>9857</v>
      </c>
      <c r="F33" s="54">
        <v>8208</v>
      </c>
      <c r="G33" s="54">
        <f t="shared" si="0"/>
        <v>4729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</row>
    <row r="34" spans="1:155" s="84" customFormat="1" ht="12.75">
      <c r="A34" s="398" t="s">
        <v>303</v>
      </c>
      <c r="B34" s="54">
        <v>2033</v>
      </c>
      <c r="C34" s="54">
        <v>2182</v>
      </c>
      <c r="D34" s="54">
        <v>3139</v>
      </c>
      <c r="E34" s="54">
        <f t="shared" si="2"/>
        <v>3054</v>
      </c>
      <c r="F34" s="54">
        <v>85</v>
      </c>
      <c r="G34" s="54">
        <f t="shared" si="0"/>
        <v>1076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</row>
    <row r="35" spans="1:155" s="84" customFormat="1" ht="12.75">
      <c r="A35" s="398" t="s">
        <v>304</v>
      </c>
      <c r="B35" s="54">
        <v>6957</v>
      </c>
      <c r="C35" s="54">
        <v>159401</v>
      </c>
      <c r="D35" s="54">
        <v>154700</v>
      </c>
      <c r="E35" s="54">
        <f t="shared" si="2"/>
        <v>136076</v>
      </c>
      <c r="F35" s="54">
        <v>18624</v>
      </c>
      <c r="G35" s="54">
        <f t="shared" si="0"/>
        <v>11658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</row>
    <row r="36" spans="1:155" s="84" customFormat="1" ht="12.75">
      <c r="A36" s="398" t="s">
        <v>305</v>
      </c>
      <c r="B36" s="54">
        <v>3905</v>
      </c>
      <c r="C36" s="54">
        <v>31427</v>
      </c>
      <c r="D36" s="54">
        <v>34331</v>
      </c>
      <c r="E36" s="54">
        <f t="shared" si="2"/>
        <v>30046</v>
      </c>
      <c r="F36" s="54">
        <v>4285</v>
      </c>
      <c r="G36" s="54">
        <f t="shared" si="0"/>
        <v>1001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</row>
    <row r="37" spans="1:155" s="84" customFormat="1" ht="12.75">
      <c r="A37" s="398" t="s">
        <v>306</v>
      </c>
      <c r="B37" s="54">
        <v>12967</v>
      </c>
      <c r="C37" s="54">
        <v>53983</v>
      </c>
      <c r="D37" s="54">
        <v>42084</v>
      </c>
      <c r="E37" s="54">
        <f t="shared" si="2"/>
        <v>38326</v>
      </c>
      <c r="F37" s="54">
        <v>3758</v>
      </c>
      <c r="G37" s="54">
        <f t="shared" si="0"/>
        <v>24866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</row>
    <row r="38" spans="1:155" s="84" customFormat="1" ht="12.75">
      <c r="A38" s="398" t="s">
        <v>307</v>
      </c>
      <c r="B38" s="54">
        <v>12452</v>
      </c>
      <c r="C38" s="54">
        <v>27831</v>
      </c>
      <c r="D38" s="54">
        <v>31832</v>
      </c>
      <c r="E38" s="54">
        <f t="shared" si="2"/>
        <v>24645</v>
      </c>
      <c r="F38" s="54">
        <v>7187</v>
      </c>
      <c r="G38" s="54">
        <f t="shared" si="0"/>
        <v>8451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</row>
    <row r="39" spans="1:155" s="84" customFormat="1" ht="12.75">
      <c r="A39" s="398" t="s">
        <v>308</v>
      </c>
      <c r="B39" s="54">
        <v>1868</v>
      </c>
      <c r="C39" s="54">
        <v>19298</v>
      </c>
      <c r="D39" s="54">
        <v>18813</v>
      </c>
      <c r="E39" s="54">
        <f t="shared" si="2"/>
        <v>10319</v>
      </c>
      <c r="F39" s="54">
        <v>8494</v>
      </c>
      <c r="G39" s="54">
        <f t="shared" si="0"/>
        <v>2353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</row>
    <row r="40" spans="1:155" s="84" customFormat="1" ht="12.75">
      <c r="A40" s="398" t="s">
        <v>309</v>
      </c>
      <c r="B40" s="54">
        <v>12564</v>
      </c>
      <c r="C40" s="54">
        <v>31940</v>
      </c>
      <c r="D40" s="54">
        <v>34819</v>
      </c>
      <c r="E40" s="54">
        <f t="shared" si="2"/>
        <v>27355</v>
      </c>
      <c r="F40" s="54">
        <v>7464</v>
      </c>
      <c r="G40" s="54">
        <f t="shared" si="0"/>
        <v>9685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</row>
    <row r="41" spans="1:155" s="84" customFormat="1" ht="12.75">
      <c r="A41" s="398" t="s">
        <v>310</v>
      </c>
      <c r="B41" s="54">
        <v>7876</v>
      </c>
      <c r="C41" s="54">
        <v>1012</v>
      </c>
      <c r="D41" s="54">
        <v>5297</v>
      </c>
      <c r="E41" s="54">
        <f t="shared" si="2"/>
        <v>5297</v>
      </c>
      <c r="F41" s="54"/>
      <c r="G41" s="54">
        <f t="shared" si="0"/>
        <v>3591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</row>
    <row r="42" spans="1:155" s="198" customFormat="1" ht="12.75">
      <c r="A42" s="399" t="s">
        <v>311</v>
      </c>
      <c r="B42" s="59">
        <f aca="true" t="shared" si="3" ref="B42:G42">SUM(B9:B41)</f>
        <v>5072412</v>
      </c>
      <c r="C42" s="59">
        <f t="shared" si="3"/>
        <v>5600307</v>
      </c>
      <c r="D42" s="59">
        <f t="shared" si="3"/>
        <v>9941242</v>
      </c>
      <c r="E42" s="59">
        <f t="shared" si="3"/>
        <v>2881684</v>
      </c>
      <c r="F42" s="59">
        <f t="shared" si="3"/>
        <v>3370730</v>
      </c>
      <c r="G42" s="59">
        <f t="shared" si="3"/>
        <v>731477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</row>
    <row r="43" spans="1:155" s="84" customFormat="1" ht="12.75">
      <c r="A43" s="398"/>
      <c r="B43" s="398"/>
      <c r="C43" s="398"/>
      <c r="D43" s="39"/>
      <c r="G43" s="39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</row>
    <row r="44" spans="1:155" s="198" customFormat="1" ht="12.75">
      <c r="A44" s="409" t="s">
        <v>328</v>
      </c>
      <c r="B44" s="409"/>
      <c r="C44" s="409"/>
      <c r="D44" s="54"/>
      <c r="G44" s="5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</row>
    <row r="45" spans="2:155" s="84" customFormat="1" ht="12.75">
      <c r="B45" s="39"/>
      <c r="C45" s="39"/>
      <c r="D45" s="39"/>
      <c r="E45" s="39"/>
      <c r="F45" s="39"/>
      <c r="G45" s="39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</row>
    <row r="46" spans="2:155" s="84" customFormat="1" ht="12.75">
      <c r="B46" s="39"/>
      <c r="C46" s="39"/>
      <c r="D46" s="39"/>
      <c r="E46" s="39"/>
      <c r="F46" s="39"/>
      <c r="G46" s="39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</row>
    <row r="47" spans="1:155" s="84" customFormat="1" ht="12.75">
      <c r="A47" s="84" t="s">
        <v>317</v>
      </c>
      <c r="B47" s="39"/>
      <c r="C47" s="39"/>
      <c r="D47" s="39"/>
      <c r="E47" s="39"/>
      <c r="F47" s="39" t="s">
        <v>41</v>
      </c>
      <c r="G47" s="39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</row>
    <row r="48" spans="2:155" s="84" customFormat="1" ht="12.75">
      <c r="B48" s="39"/>
      <c r="C48" s="39"/>
      <c r="D48" s="39"/>
      <c r="E48" s="39"/>
      <c r="F48" s="39"/>
      <c r="G48" s="3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</row>
    <row r="49" spans="2:155" s="84" customFormat="1" ht="12.75">
      <c r="B49" s="39"/>
      <c r="C49" s="39"/>
      <c r="D49" s="39"/>
      <c r="E49" s="39"/>
      <c r="F49" s="39"/>
      <c r="G49" s="3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</row>
    <row r="50" spans="1:155" s="84" customFormat="1" ht="12.75">
      <c r="A50" s="84" t="s">
        <v>318</v>
      </c>
      <c r="B50" s="39"/>
      <c r="C50" s="39"/>
      <c r="D50" s="39"/>
      <c r="E50" s="39"/>
      <c r="F50" s="39" t="s">
        <v>43</v>
      </c>
      <c r="G50" s="39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</row>
    <row r="51" spans="2:155" s="84" customFormat="1" ht="12.75">
      <c r="B51" s="39"/>
      <c r="C51" s="39"/>
      <c r="D51" s="39"/>
      <c r="E51" s="39"/>
      <c r="F51" s="39"/>
      <c r="G51" s="39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</row>
    <row r="52" spans="2:155" s="84" customFormat="1" ht="12.75">
      <c r="B52" s="39"/>
      <c r="C52" s="39"/>
      <c r="D52" s="39"/>
      <c r="E52" s="39"/>
      <c r="F52" s="39"/>
      <c r="G52" s="39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</row>
    <row r="53" spans="2:155" s="84" customFormat="1" ht="12.75">
      <c r="B53" s="39"/>
      <c r="C53" s="39"/>
      <c r="D53" s="39"/>
      <c r="E53" s="39"/>
      <c r="F53" s="39"/>
      <c r="G53" s="39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</row>
    <row r="54" spans="2:155" s="84" customFormat="1" ht="12.75">
      <c r="B54" s="39"/>
      <c r="C54" s="39"/>
      <c r="D54" s="39"/>
      <c r="E54" s="39"/>
      <c r="F54" s="39"/>
      <c r="G54" s="39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</row>
    <row r="55" spans="2:155" s="84" customFormat="1" ht="12.75">
      <c r="B55" s="39"/>
      <c r="C55" s="39"/>
      <c r="D55" s="39"/>
      <c r="E55" s="39"/>
      <c r="F55" s="39"/>
      <c r="G55" s="39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</row>
    <row r="56" spans="2:155" s="84" customFormat="1" ht="12.75">
      <c r="B56" s="398"/>
      <c r="C56" s="398"/>
      <c r="D56" s="398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</row>
    <row r="57" spans="2:155" s="84" customFormat="1" ht="12.75">
      <c r="B57" s="398"/>
      <c r="C57" s="398"/>
      <c r="D57" s="398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</row>
    <row r="58" spans="2:155" s="84" customFormat="1" ht="12.75">
      <c r="B58" s="398"/>
      <c r="C58" s="398"/>
      <c r="D58" s="39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</row>
    <row r="59" spans="2:155" s="84" customFormat="1" ht="12.75">
      <c r="B59" s="398"/>
      <c r="C59" s="398"/>
      <c r="D59" s="398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</row>
    <row r="60" spans="2:155" s="84" customFormat="1" ht="12.75">
      <c r="B60" s="398"/>
      <c r="C60" s="398"/>
      <c r="D60" s="398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</row>
    <row r="61" spans="2:155" s="84" customFormat="1" ht="12.75">
      <c r="B61" s="398"/>
      <c r="C61" s="398"/>
      <c r="D61" s="398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</row>
    <row r="62" spans="2:155" s="84" customFormat="1" ht="12.75">
      <c r="B62" s="398"/>
      <c r="C62" s="398"/>
      <c r="D62" s="398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</row>
    <row r="63" spans="2:155" s="84" customFormat="1" ht="12.75">
      <c r="B63" s="398"/>
      <c r="C63" s="398"/>
      <c r="D63" s="398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</row>
    <row r="64" spans="2:155" s="84" customFormat="1" ht="12.75">
      <c r="B64" s="398"/>
      <c r="C64" s="398"/>
      <c r="D64" s="398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</row>
    <row r="65" spans="2:155" s="84" customFormat="1" ht="12.75">
      <c r="B65" s="398"/>
      <c r="C65" s="398"/>
      <c r="D65" s="398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</row>
    <row r="66" spans="2:155" s="84" customFormat="1" ht="12.75">
      <c r="B66" s="398"/>
      <c r="C66" s="398"/>
      <c r="D66" s="398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</row>
    <row r="67" spans="2:155" s="84" customFormat="1" ht="12.75">
      <c r="B67" s="398"/>
      <c r="C67" s="398"/>
      <c r="D67" s="398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</row>
    <row r="68" spans="2:155" s="84" customFormat="1" ht="12.75">
      <c r="B68" s="398"/>
      <c r="C68" s="398"/>
      <c r="D68" s="39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</row>
    <row r="69" spans="2:155" s="84" customFormat="1" ht="12.75">
      <c r="B69" s="398"/>
      <c r="C69" s="398"/>
      <c r="D69" s="398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</row>
    <row r="70" spans="2:155" s="84" customFormat="1" ht="12.75">
      <c r="B70" s="398"/>
      <c r="C70" s="398"/>
      <c r="D70" s="398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</row>
    <row r="71" spans="2:155" s="84" customFormat="1" ht="12.75">
      <c r="B71" s="398"/>
      <c r="C71" s="398"/>
      <c r="D71" s="398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</row>
    <row r="72" spans="2:155" s="84" customFormat="1" ht="12.75">
      <c r="B72" s="398"/>
      <c r="C72" s="398"/>
      <c r="D72" s="398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</row>
    <row r="73" spans="2:155" s="84" customFormat="1" ht="12.75">
      <c r="B73" s="398"/>
      <c r="C73" s="398"/>
      <c r="D73" s="398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</row>
    <row r="74" spans="2:155" s="84" customFormat="1" ht="12.75">
      <c r="B74" s="398"/>
      <c r="C74" s="398"/>
      <c r="D74" s="398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</row>
    <row r="75" spans="2:155" s="84" customFormat="1" ht="12.75">
      <c r="B75" s="398"/>
      <c r="C75" s="398"/>
      <c r="D75" s="398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</row>
    <row r="76" spans="2:155" s="84" customFormat="1" ht="12.75">
      <c r="B76" s="398"/>
      <c r="C76" s="398"/>
      <c r="D76" s="398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</row>
    <row r="77" spans="2:155" s="84" customFormat="1" ht="12.75">
      <c r="B77" s="398"/>
      <c r="C77" s="398"/>
      <c r="D77" s="398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</row>
    <row r="78" spans="2:7" ht="12.75">
      <c r="B78" s="410"/>
      <c r="C78" s="410"/>
      <c r="D78" s="405"/>
      <c r="E78" s="128"/>
      <c r="F78" s="128"/>
      <c r="G78" s="405"/>
    </row>
    <row r="79" spans="2:7" ht="12.75">
      <c r="B79" s="410"/>
      <c r="C79" s="410"/>
      <c r="D79" s="405"/>
      <c r="E79" s="128"/>
      <c r="F79" s="128"/>
      <c r="G79" s="405"/>
    </row>
    <row r="80" spans="2:7" ht="12.75">
      <c r="B80" s="410"/>
      <c r="C80" s="410"/>
      <c r="D80" s="405"/>
      <c r="E80" s="128"/>
      <c r="F80" s="128"/>
      <c r="G80" s="405"/>
    </row>
    <row r="81" spans="2:7" ht="12.75">
      <c r="B81" s="410"/>
      <c r="C81" s="410"/>
      <c r="D81" s="405"/>
      <c r="E81" s="128"/>
      <c r="F81" s="128"/>
      <c r="G81" s="405"/>
    </row>
    <row r="82" spans="2:7" ht="12.75">
      <c r="B82" s="410"/>
      <c r="C82" s="410"/>
      <c r="D82" s="405"/>
      <c r="E82" s="128"/>
      <c r="F82" s="128"/>
      <c r="G82" s="405"/>
    </row>
    <row r="83" spans="2:7" ht="12.75">
      <c r="B83" s="410"/>
      <c r="C83" s="410"/>
      <c r="D83" s="405"/>
      <c r="E83" s="128"/>
      <c r="F83" s="128"/>
      <c r="G83" s="405"/>
    </row>
    <row r="84" spans="2:7" ht="12.75">
      <c r="B84" s="410"/>
      <c r="C84" s="410"/>
      <c r="D84" s="405"/>
      <c r="E84" s="128"/>
      <c r="F84" s="128"/>
      <c r="G84" s="405"/>
    </row>
    <row r="85" spans="2:7" ht="12.75">
      <c r="B85" s="410"/>
      <c r="C85" s="410"/>
      <c r="D85" s="405"/>
      <c r="E85" s="128"/>
      <c r="F85" s="128"/>
      <c r="G85" s="405"/>
    </row>
    <row r="86" spans="2:7" ht="12.75">
      <c r="B86" s="410"/>
      <c r="C86" s="410"/>
      <c r="D86" s="405"/>
      <c r="E86" s="128"/>
      <c r="F86" s="128"/>
      <c r="G86" s="405"/>
    </row>
    <row r="87" spans="2:6" ht="12.75">
      <c r="B87" s="410"/>
      <c r="C87" s="410"/>
      <c r="D87" s="405"/>
      <c r="E87" s="128"/>
      <c r="F87" s="128"/>
    </row>
    <row r="88" spans="2:6" ht="12.75">
      <c r="B88" s="410"/>
      <c r="C88" s="410"/>
      <c r="D88" s="405"/>
      <c r="E88" s="128"/>
      <c r="F88" s="128"/>
    </row>
    <row r="89" spans="2:3" ht="12.75">
      <c r="B89" s="410"/>
      <c r="C89" s="411"/>
    </row>
    <row r="90" spans="2:3" ht="12.75">
      <c r="B90" s="410"/>
      <c r="C90" s="411"/>
    </row>
    <row r="91" spans="2:3" ht="12.75">
      <c r="B91" s="410"/>
      <c r="C91" s="411"/>
    </row>
    <row r="92" spans="2:3" ht="12.75">
      <c r="B92" s="410"/>
      <c r="C92" s="411"/>
    </row>
    <row r="93" spans="2:3" ht="12.75">
      <c r="B93" s="410"/>
      <c r="C93" s="411"/>
    </row>
    <row r="94" spans="2:3" ht="12.75">
      <c r="B94" s="35"/>
      <c r="C94" s="411"/>
    </row>
    <row r="95" ht="12.75">
      <c r="C95" s="411"/>
    </row>
    <row r="96" ht="12.75">
      <c r="C96" s="411"/>
    </row>
    <row r="97" ht="12.75">
      <c r="C97" s="411"/>
    </row>
    <row r="98" ht="12.75">
      <c r="C98" s="411"/>
    </row>
    <row r="99" ht="12.75">
      <c r="C99" s="411"/>
    </row>
    <row r="100" ht="12.75">
      <c r="C100" s="4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9" sqref="A9"/>
    </sheetView>
  </sheetViews>
  <sheetFormatPr defaultColWidth="9.140625" defaultRowHeight="12.75"/>
  <cols>
    <col min="1" max="1" width="43.57421875" style="352" customWidth="1"/>
    <col min="2" max="2" width="13.421875" style="356" customWidth="1"/>
    <col min="3" max="3" width="12.7109375" style="356" customWidth="1"/>
    <col min="4" max="4" width="14.00390625" style="356" customWidth="1"/>
    <col min="5" max="5" width="10.00390625" style="199" customWidth="1"/>
    <col min="6" max="6" width="11.421875" style="199" customWidth="1"/>
    <col min="7" max="16384" width="9.140625" style="199" customWidth="1"/>
  </cols>
  <sheetData>
    <row r="1" spans="1:12" ht="14.25" customHeight="1">
      <c r="A1" s="357" t="s">
        <v>1087</v>
      </c>
      <c r="B1" s="354"/>
      <c r="C1" s="354"/>
      <c r="D1" s="354"/>
      <c r="E1" s="35"/>
      <c r="F1" s="35"/>
      <c r="G1" s="35"/>
      <c r="H1" s="35"/>
      <c r="I1" s="35"/>
      <c r="J1" s="35"/>
      <c r="K1" s="35"/>
      <c r="L1" s="35"/>
    </row>
    <row r="2" spans="1:12" ht="14.25" customHeight="1">
      <c r="A2" s="357"/>
      <c r="B2" s="354"/>
      <c r="C2" s="354"/>
      <c r="D2" s="354"/>
      <c r="E2" s="35"/>
      <c r="F2" s="35"/>
      <c r="G2" s="35"/>
      <c r="H2" s="35"/>
      <c r="I2" s="35"/>
      <c r="J2" s="35"/>
      <c r="K2" s="35"/>
      <c r="L2" s="35"/>
    </row>
    <row r="3" spans="1:12" s="107" customFormat="1" ht="29.25" customHeight="1">
      <c r="A3" s="115" t="s">
        <v>1852</v>
      </c>
      <c r="B3" s="355" t="s">
        <v>71</v>
      </c>
      <c r="C3" s="355" t="s">
        <v>72</v>
      </c>
      <c r="D3" s="355" t="s">
        <v>1854</v>
      </c>
      <c r="E3" s="35"/>
      <c r="F3" s="35"/>
      <c r="G3" s="35"/>
      <c r="H3" s="35"/>
      <c r="I3" s="35"/>
      <c r="J3" s="35"/>
      <c r="K3" s="35"/>
      <c r="L3" s="35"/>
    </row>
    <row r="4" spans="1:4" s="35" customFormat="1" ht="16.5" customHeight="1">
      <c r="A4" s="343" t="s">
        <v>1398</v>
      </c>
      <c r="B4" s="5">
        <f>SUM(B5:B8)</f>
        <v>1307206639</v>
      </c>
      <c r="C4" s="5">
        <f>SUM(C5:C9)</f>
        <v>1552847437</v>
      </c>
      <c r="D4" s="5">
        <f>SUM(D5:D9)</f>
        <v>1577397645</v>
      </c>
    </row>
    <row r="5" spans="1:4" s="35" customFormat="1" ht="17.25" customHeight="1">
      <c r="A5" s="344" t="s">
        <v>73</v>
      </c>
      <c r="B5" s="8">
        <v>1081588814</v>
      </c>
      <c r="C5" s="8">
        <v>1279283694</v>
      </c>
      <c r="D5" s="8">
        <v>1304669470</v>
      </c>
    </row>
    <row r="6" spans="1:4" s="35" customFormat="1" ht="20.25" customHeight="1">
      <c r="A6" s="344" t="s">
        <v>74</v>
      </c>
      <c r="B6" s="8">
        <v>140611604</v>
      </c>
      <c r="C6" s="8">
        <v>162438503</v>
      </c>
      <c r="D6" s="8">
        <v>158594755</v>
      </c>
    </row>
    <row r="7" spans="1:4" s="35" customFormat="1" ht="25.5">
      <c r="A7" s="344" t="s">
        <v>75</v>
      </c>
      <c r="B7" s="8">
        <v>81575837</v>
      </c>
      <c r="C7" s="8">
        <v>105083178</v>
      </c>
      <c r="D7" s="8">
        <v>98322026</v>
      </c>
    </row>
    <row r="8" spans="1:4" s="35" customFormat="1" ht="19.5" customHeight="1">
      <c r="A8" s="344" t="s">
        <v>76</v>
      </c>
      <c r="B8" s="8">
        <v>3430384</v>
      </c>
      <c r="C8" s="8"/>
      <c r="D8" s="8">
        <v>428380</v>
      </c>
    </row>
    <row r="9" spans="1:4" s="35" customFormat="1" ht="19.5" customHeight="1">
      <c r="A9" s="344" t="s">
        <v>77</v>
      </c>
      <c r="B9" s="8"/>
      <c r="C9" s="8">
        <v>6042062</v>
      </c>
      <c r="D9" s="8">
        <v>15383014</v>
      </c>
    </row>
    <row r="10" spans="1:12" s="338" customFormat="1" ht="19.5" customHeight="1">
      <c r="A10" s="343" t="s">
        <v>1399</v>
      </c>
      <c r="B10" s="5">
        <f>SUM(B11:B12)</f>
        <v>1248147172</v>
      </c>
      <c r="C10" s="5">
        <f>SUM(C11:C12)</f>
        <v>1615823666</v>
      </c>
      <c r="D10" s="5">
        <f>SUM(D11:D12)</f>
        <v>1567099847</v>
      </c>
      <c r="E10" s="35"/>
      <c r="F10" s="35"/>
      <c r="G10" s="35"/>
      <c r="H10" s="35"/>
      <c r="I10" s="35"/>
      <c r="J10" s="35"/>
      <c r="K10" s="35"/>
      <c r="L10" s="35"/>
    </row>
    <row r="11" spans="1:12" s="338" customFormat="1" ht="19.5" customHeight="1">
      <c r="A11" s="344" t="s">
        <v>78</v>
      </c>
      <c r="B11" s="8">
        <v>1166810589</v>
      </c>
      <c r="C11" s="8">
        <v>1479220836</v>
      </c>
      <c r="D11" s="8">
        <v>1420073276</v>
      </c>
      <c r="E11" s="35"/>
      <c r="F11" s="35"/>
      <c r="G11" s="35"/>
      <c r="H11" s="35"/>
      <c r="I11" s="35"/>
      <c r="J11" s="35"/>
      <c r="K11" s="35"/>
      <c r="L11" s="35"/>
    </row>
    <row r="12" spans="1:12" s="338" customFormat="1" ht="19.5" customHeight="1">
      <c r="A12" s="344" t="s">
        <v>39</v>
      </c>
      <c r="B12" s="8">
        <v>81336583</v>
      </c>
      <c r="C12" s="8">
        <v>136602830</v>
      </c>
      <c r="D12" s="8">
        <v>147026571</v>
      </c>
      <c r="E12" s="35"/>
      <c r="F12" s="35"/>
      <c r="G12" s="35"/>
      <c r="H12" s="35"/>
      <c r="I12" s="35"/>
      <c r="J12" s="35"/>
      <c r="K12" s="35"/>
      <c r="L12" s="35"/>
    </row>
    <row r="13" spans="1:12" s="214" customFormat="1" ht="18" customHeight="1">
      <c r="A13" s="343" t="s">
        <v>79</v>
      </c>
      <c r="B13" s="5">
        <f>B4-B10</f>
        <v>59059467</v>
      </c>
      <c r="C13" s="5">
        <f>C4-C10</f>
        <v>-62976229</v>
      </c>
      <c r="D13" s="5">
        <f>D4-D10</f>
        <v>10297798</v>
      </c>
      <c r="E13" s="35"/>
      <c r="F13" s="35"/>
      <c r="G13" s="35"/>
      <c r="H13" s="35"/>
      <c r="I13" s="35"/>
      <c r="J13" s="35"/>
      <c r="K13" s="35"/>
      <c r="L13" s="35"/>
    </row>
    <row r="14" spans="1:12" s="214" customFormat="1" ht="27" customHeight="1">
      <c r="A14" s="343" t="s">
        <v>1400</v>
      </c>
      <c r="B14" s="5">
        <v>18611437</v>
      </c>
      <c r="C14" s="5">
        <v>13119840</v>
      </c>
      <c r="D14" s="5">
        <v>5162554</v>
      </c>
      <c r="E14" s="35"/>
      <c r="F14" s="35"/>
      <c r="G14" s="35"/>
      <c r="H14" s="35"/>
      <c r="I14" s="35"/>
      <c r="J14" s="35"/>
      <c r="K14" s="35"/>
      <c r="L14" s="35"/>
    </row>
    <row r="15" spans="1:12" s="214" customFormat="1" ht="14.25" customHeight="1">
      <c r="A15" s="343" t="s">
        <v>80</v>
      </c>
      <c r="B15" s="5">
        <f>B13-B14</f>
        <v>40448030</v>
      </c>
      <c r="C15" s="5">
        <f>C13-C14</f>
        <v>-76096069</v>
      </c>
      <c r="D15" s="5">
        <f>D13-D14</f>
        <v>5135244</v>
      </c>
      <c r="E15" s="35"/>
      <c r="F15" s="35"/>
      <c r="G15" s="35"/>
      <c r="H15" s="35"/>
      <c r="I15" s="35"/>
      <c r="J15" s="35"/>
      <c r="K15" s="35"/>
      <c r="L15" s="35"/>
    </row>
    <row r="16" spans="1:12" s="214" customFormat="1" ht="26.25" customHeight="1">
      <c r="A16" s="343" t="s">
        <v>81</v>
      </c>
      <c r="B16" s="5">
        <f>B17+B31</f>
        <v>-40448030</v>
      </c>
      <c r="C16" s="5">
        <f>C17+C31</f>
        <v>76096069</v>
      </c>
      <c r="D16" s="5">
        <f>D17+D31</f>
        <v>-5135244</v>
      </c>
      <c r="E16" s="35"/>
      <c r="F16" s="35"/>
      <c r="G16" s="35"/>
      <c r="H16" s="35"/>
      <c r="I16" s="35"/>
      <c r="J16" s="35"/>
      <c r="K16" s="35"/>
      <c r="L16" s="35"/>
    </row>
    <row r="17" spans="1:12" s="214" customFormat="1" ht="17.25" customHeight="1">
      <c r="A17" s="343" t="s">
        <v>82</v>
      </c>
      <c r="B17" s="5">
        <f>B18+B21+B26+B30</f>
        <v>-68998509</v>
      </c>
      <c r="C17" s="5">
        <v>21586069</v>
      </c>
      <c r="D17" s="5">
        <f>D18+D21+D26+D30</f>
        <v>-18299096</v>
      </c>
      <c r="E17" s="35"/>
      <c r="F17" s="35"/>
      <c r="G17" s="35"/>
      <c r="H17" s="35"/>
      <c r="I17" s="35"/>
      <c r="J17" s="35"/>
      <c r="K17" s="35"/>
      <c r="L17" s="35"/>
    </row>
    <row r="18" spans="1:12" s="339" customFormat="1" ht="18.75" customHeight="1">
      <c r="A18" s="344" t="s">
        <v>193</v>
      </c>
      <c r="B18" s="8">
        <f>SUM(B19:B20)</f>
        <v>104820</v>
      </c>
      <c r="C18" s="8"/>
      <c r="D18" s="8">
        <f>SUM(D19:D20)</f>
        <v>4129695</v>
      </c>
      <c r="E18" s="35"/>
      <c r="F18" s="35"/>
      <c r="G18" s="35"/>
      <c r="H18" s="35"/>
      <c r="I18" s="35"/>
      <c r="J18" s="35"/>
      <c r="K18" s="35"/>
      <c r="L18" s="35"/>
    </row>
    <row r="19" spans="1:12" s="339" customFormat="1" ht="24" customHeight="1">
      <c r="A19" s="345" t="s">
        <v>194</v>
      </c>
      <c r="B19" s="22">
        <v>104820</v>
      </c>
      <c r="C19" s="22"/>
      <c r="D19" s="22">
        <f>-20144+4149839</f>
        <v>4129695</v>
      </c>
      <c r="E19" s="118"/>
      <c r="F19" s="118"/>
      <c r="G19" s="118"/>
      <c r="H19" s="118"/>
      <c r="I19" s="118"/>
      <c r="J19" s="118"/>
      <c r="K19" s="118"/>
      <c r="L19" s="118"/>
    </row>
    <row r="20" spans="1:12" s="339" customFormat="1" ht="24" customHeight="1">
      <c r="A20" s="345" t="s">
        <v>195</v>
      </c>
      <c r="B20" s="359"/>
      <c r="C20" s="22"/>
      <c r="D20" s="22"/>
      <c r="E20" s="35"/>
      <c r="F20" s="35"/>
      <c r="G20" s="35"/>
      <c r="H20" s="35"/>
      <c r="I20" s="35"/>
      <c r="J20" s="35"/>
      <c r="K20" s="35"/>
      <c r="L20" s="35"/>
    </row>
    <row r="21" spans="1:12" s="339" customFormat="1" ht="15.75" customHeight="1">
      <c r="A21" s="344" t="s">
        <v>196</v>
      </c>
      <c r="B21" s="8">
        <f>SUM(B22:B25)</f>
        <v>22847396</v>
      </c>
      <c r="C21" s="8"/>
      <c r="D21" s="8">
        <f>SUM(D22:D25)</f>
        <v>-58202736</v>
      </c>
      <c r="E21" s="35"/>
      <c r="F21" s="35"/>
      <c r="G21" s="35"/>
      <c r="H21" s="35"/>
      <c r="I21" s="35"/>
      <c r="J21" s="35"/>
      <c r="K21" s="35"/>
      <c r="L21" s="35"/>
    </row>
    <row r="22" spans="1:12" s="339" customFormat="1" ht="14.25" customHeight="1">
      <c r="A22" s="346" t="s">
        <v>197</v>
      </c>
      <c r="B22" s="22"/>
      <c r="C22" s="8"/>
      <c r="D22" s="8"/>
      <c r="E22" s="35"/>
      <c r="F22" s="35"/>
      <c r="G22" s="35"/>
      <c r="H22" s="35"/>
      <c r="I22" s="35"/>
      <c r="J22" s="35"/>
      <c r="K22" s="35"/>
      <c r="L22" s="35"/>
    </row>
    <row r="23" spans="1:12" s="339" customFormat="1" ht="14.25" customHeight="1">
      <c r="A23" s="346" t="s">
        <v>202</v>
      </c>
      <c r="B23" s="22">
        <v>-5582000</v>
      </c>
      <c r="C23" s="8"/>
      <c r="D23" s="22">
        <v>-54048081</v>
      </c>
      <c r="E23" s="35"/>
      <c r="F23" s="35"/>
      <c r="G23" s="35"/>
      <c r="H23" s="35"/>
      <c r="I23" s="35"/>
      <c r="J23" s="35"/>
      <c r="K23" s="35"/>
      <c r="L23" s="35"/>
    </row>
    <row r="24" spans="1:12" s="339" customFormat="1" ht="28.5" customHeight="1">
      <c r="A24" s="346" t="s">
        <v>198</v>
      </c>
      <c r="B24" s="22">
        <v>315645</v>
      </c>
      <c r="C24" s="8"/>
      <c r="D24" s="22">
        <v>22183923</v>
      </c>
      <c r="E24" s="35"/>
      <c r="F24" s="35"/>
      <c r="G24" s="35"/>
      <c r="H24" s="35"/>
      <c r="I24" s="35"/>
      <c r="J24" s="35"/>
      <c r="K24" s="35"/>
      <c r="L24" s="35"/>
    </row>
    <row r="25" spans="1:12" s="339" customFormat="1" ht="14.25" customHeight="1">
      <c r="A25" s="346" t="s">
        <v>199</v>
      </c>
      <c r="B25" s="22">
        <v>28113751</v>
      </c>
      <c r="C25" s="8"/>
      <c r="D25" s="22">
        <v>-26338578</v>
      </c>
      <c r="E25" s="35"/>
      <c r="F25" s="35"/>
      <c r="G25" s="35"/>
      <c r="H25" s="35"/>
      <c r="I25" s="35"/>
      <c r="J25" s="35"/>
      <c r="K25" s="35"/>
      <c r="L25" s="35"/>
    </row>
    <row r="26" spans="1:12" s="339" customFormat="1" ht="14.25" customHeight="1">
      <c r="A26" s="349" t="s">
        <v>200</v>
      </c>
      <c r="B26" s="8">
        <v>-72833047</v>
      </c>
      <c r="C26" s="8"/>
      <c r="D26" s="8">
        <f>SUM(D27:D29)</f>
        <v>24792648</v>
      </c>
      <c r="E26" s="35"/>
      <c r="F26" s="35"/>
      <c r="G26" s="35"/>
      <c r="H26" s="35"/>
      <c r="I26" s="35"/>
      <c r="J26" s="35"/>
      <c r="K26" s="35"/>
      <c r="L26" s="35"/>
    </row>
    <row r="27" spans="1:12" s="339" customFormat="1" ht="14.25" customHeight="1">
      <c r="A27" s="346" t="s">
        <v>201</v>
      </c>
      <c r="B27" s="22">
        <v>-20958054</v>
      </c>
      <c r="C27" s="22"/>
      <c r="D27" s="22">
        <v>-670347</v>
      </c>
      <c r="E27" s="35"/>
      <c r="F27" s="35"/>
      <c r="G27" s="35"/>
      <c r="H27" s="35"/>
      <c r="I27" s="35"/>
      <c r="J27" s="35"/>
      <c r="K27" s="35"/>
      <c r="L27" s="35"/>
    </row>
    <row r="28" spans="1:12" s="339" customFormat="1" ht="15.75" customHeight="1">
      <c r="A28" s="346" t="s">
        <v>202</v>
      </c>
      <c r="B28" s="22">
        <v>-37410768</v>
      </c>
      <c r="C28" s="8"/>
      <c r="D28" s="22">
        <v>17833587</v>
      </c>
      <c r="E28" s="35"/>
      <c r="F28" s="35"/>
      <c r="G28" s="35"/>
      <c r="H28" s="35"/>
      <c r="I28" s="35"/>
      <c r="J28" s="35"/>
      <c r="K28" s="35"/>
      <c r="L28" s="35"/>
    </row>
    <row r="29" spans="1:12" s="339" customFormat="1" ht="26.25" customHeight="1">
      <c r="A29" s="346" t="s">
        <v>198</v>
      </c>
      <c r="B29" s="22">
        <v>-14464045</v>
      </c>
      <c r="C29" s="8"/>
      <c r="D29" s="22">
        <v>7629408</v>
      </c>
      <c r="E29" s="35"/>
      <c r="F29" s="35"/>
      <c r="G29" s="35"/>
      <c r="H29" s="35"/>
      <c r="I29" s="35"/>
      <c r="J29" s="35"/>
      <c r="K29" s="35"/>
      <c r="L29" s="35"/>
    </row>
    <row r="30" spans="1:12" s="339" customFormat="1" ht="25.5" customHeight="1">
      <c r="A30" s="349" t="s">
        <v>203</v>
      </c>
      <c r="B30" s="8">
        <v>-19117678</v>
      </c>
      <c r="C30" s="8"/>
      <c r="D30" s="8">
        <f>15131136-4149839</f>
        <v>10981297</v>
      </c>
      <c r="E30" s="35"/>
      <c r="F30" s="35"/>
      <c r="G30" s="35"/>
      <c r="H30" s="35"/>
      <c r="I30" s="35"/>
      <c r="J30" s="35"/>
      <c r="K30" s="35"/>
      <c r="L30" s="35"/>
    </row>
    <row r="31" spans="1:12" s="339" customFormat="1" ht="15" customHeight="1">
      <c r="A31" s="350" t="s">
        <v>83</v>
      </c>
      <c r="B31" s="5">
        <v>28550479</v>
      </c>
      <c r="C31" s="5">
        <v>54510000</v>
      </c>
      <c r="D31" s="5">
        <v>13163852</v>
      </c>
      <c r="E31" s="35"/>
      <c r="F31" s="35"/>
      <c r="G31" s="35"/>
      <c r="H31" s="35"/>
      <c r="I31" s="35"/>
      <c r="J31" s="35"/>
      <c r="K31" s="35"/>
      <c r="L31" s="35"/>
    </row>
    <row r="32" spans="1:12" s="339" customFormat="1" ht="18.75" customHeight="1">
      <c r="A32" s="351"/>
      <c r="B32" s="56"/>
      <c r="C32" s="56"/>
      <c r="D32" s="56"/>
      <c r="E32" s="107"/>
      <c r="F32" s="107"/>
      <c r="G32" s="107"/>
      <c r="H32" s="107"/>
      <c r="I32" s="107"/>
      <c r="J32" s="107"/>
      <c r="K32" s="107"/>
      <c r="L32" s="107"/>
    </row>
    <row r="33" spans="1:12" s="339" customFormat="1" ht="12.75" customHeight="1">
      <c r="A33" s="351"/>
      <c r="B33" s="56"/>
      <c r="C33" s="56"/>
      <c r="D33" s="56"/>
      <c r="E33" s="107"/>
      <c r="F33" s="107"/>
      <c r="G33" s="107"/>
      <c r="H33" s="107"/>
      <c r="I33" s="107"/>
      <c r="J33" s="107"/>
      <c r="K33" s="107"/>
      <c r="L33" s="107"/>
    </row>
    <row r="34" spans="1:12" s="339" customFormat="1" ht="12">
      <c r="A34" s="351"/>
      <c r="B34" s="56"/>
      <c r="C34" s="56"/>
      <c r="D34" s="56"/>
      <c r="E34" s="107"/>
      <c r="F34" s="107"/>
      <c r="G34" s="107"/>
      <c r="H34" s="107"/>
      <c r="I34" s="107"/>
      <c r="J34" s="107"/>
      <c r="K34" s="107"/>
      <c r="L34" s="107"/>
    </row>
    <row r="35" spans="1:12" s="339" customFormat="1" ht="12">
      <c r="A35" s="351"/>
      <c r="B35" s="56"/>
      <c r="C35" s="56"/>
      <c r="D35" s="56"/>
      <c r="E35" s="340"/>
      <c r="F35" s="107"/>
      <c r="G35" s="107"/>
      <c r="H35" s="107"/>
      <c r="I35" s="107"/>
      <c r="J35" s="107"/>
      <c r="K35" s="107"/>
      <c r="L35" s="107"/>
    </row>
    <row r="36" spans="1:12" ht="12">
      <c r="A36" s="351"/>
      <c r="B36" s="56"/>
      <c r="C36" s="56"/>
      <c r="D36" s="56"/>
      <c r="E36" s="107"/>
      <c r="F36" s="107"/>
      <c r="G36" s="107"/>
      <c r="H36" s="107"/>
      <c r="I36" s="107"/>
      <c r="J36" s="107"/>
      <c r="K36" s="107"/>
      <c r="L36" s="107"/>
    </row>
    <row r="37" spans="1:12" s="348" customFormat="1" ht="12.75">
      <c r="A37" s="347" t="s">
        <v>85</v>
      </c>
      <c r="B37" s="358"/>
      <c r="C37" s="358"/>
      <c r="D37" s="358"/>
      <c r="E37" s="191"/>
      <c r="F37" s="191"/>
      <c r="G37" s="191"/>
      <c r="H37" s="191"/>
      <c r="I37" s="191"/>
      <c r="J37" s="191"/>
      <c r="K37" s="191"/>
      <c r="L37" s="191"/>
    </row>
    <row r="38" spans="1:12" s="348" customFormat="1" ht="12.75">
      <c r="A38" s="347"/>
      <c r="B38" s="358"/>
      <c r="C38" s="358"/>
      <c r="D38" s="358"/>
      <c r="E38" s="191"/>
      <c r="F38" s="191"/>
      <c r="G38" s="191"/>
      <c r="H38" s="191"/>
      <c r="I38" s="191"/>
      <c r="J38" s="191"/>
      <c r="K38" s="191"/>
      <c r="L38" s="191"/>
    </row>
    <row r="39" spans="1:12" s="348" customFormat="1" ht="12.75">
      <c r="A39" s="191" t="s">
        <v>84</v>
      </c>
      <c r="B39" s="341"/>
      <c r="C39" s="341"/>
      <c r="D39" s="341"/>
      <c r="E39" s="191"/>
      <c r="F39" s="191"/>
      <c r="G39" s="191"/>
      <c r="H39" s="191"/>
      <c r="I39" s="191"/>
      <c r="J39" s="191"/>
      <c r="K39" s="191"/>
      <c r="L39" s="191"/>
    </row>
    <row r="40" spans="1:12" ht="12.75">
      <c r="A40" s="190"/>
      <c r="B40" s="128"/>
      <c r="C40" s="128"/>
      <c r="D40" s="128"/>
      <c r="E40" s="35"/>
      <c r="F40" s="35"/>
      <c r="G40" s="35"/>
      <c r="H40" s="35"/>
      <c r="I40" s="35"/>
      <c r="J40" s="35"/>
      <c r="K40" s="35"/>
      <c r="L40" s="35"/>
    </row>
    <row r="41" spans="1:12" ht="12.75">
      <c r="A41" s="190"/>
      <c r="B41" s="128"/>
      <c r="C41" s="128"/>
      <c r="D41" s="128"/>
      <c r="E41" s="35"/>
      <c r="F41" s="35"/>
      <c r="G41" s="35"/>
      <c r="H41" s="35"/>
      <c r="I41" s="35"/>
      <c r="J41" s="35"/>
      <c r="K41" s="35"/>
      <c r="L41" s="35"/>
    </row>
    <row r="42" spans="1:12" ht="12.75">
      <c r="A42" s="190"/>
      <c r="B42" s="341"/>
      <c r="C42" s="341"/>
      <c r="D42" s="341"/>
      <c r="E42" s="35"/>
      <c r="F42" s="35"/>
      <c r="G42" s="35"/>
      <c r="H42" s="35"/>
      <c r="I42" s="35"/>
      <c r="J42" s="35"/>
      <c r="K42" s="35"/>
      <c r="L42" s="35"/>
    </row>
    <row r="43" spans="1:12" ht="12.75">
      <c r="A43" s="190"/>
      <c r="B43" s="128"/>
      <c r="C43" s="128"/>
      <c r="D43" s="128"/>
      <c r="E43" s="35"/>
      <c r="F43" s="35"/>
      <c r="G43" s="35"/>
      <c r="H43" s="35"/>
      <c r="I43" s="35"/>
      <c r="J43" s="35"/>
      <c r="K43" s="35"/>
      <c r="L43" s="35"/>
    </row>
    <row r="44" spans="1:12" ht="12.75">
      <c r="A44" s="190"/>
      <c r="B44" s="341"/>
      <c r="C44" s="341"/>
      <c r="D44" s="341"/>
      <c r="E44" s="35"/>
      <c r="F44" s="35"/>
      <c r="G44" s="35"/>
      <c r="H44" s="35"/>
      <c r="I44" s="35"/>
      <c r="J44" s="35"/>
      <c r="K44" s="35"/>
      <c r="L44" s="35"/>
    </row>
    <row r="45" spans="1:12" ht="12.75">
      <c r="A45" s="190"/>
      <c r="B45" s="128"/>
      <c r="C45" s="128"/>
      <c r="D45" s="128"/>
      <c r="E45" s="35"/>
      <c r="F45" s="35"/>
      <c r="G45" s="35"/>
      <c r="H45" s="35"/>
      <c r="I45" s="35"/>
      <c r="J45" s="35"/>
      <c r="K45" s="35"/>
      <c r="L45" s="35"/>
    </row>
    <row r="46" spans="1:12" ht="12.75">
      <c r="A46" s="190"/>
      <c r="B46" s="128"/>
      <c r="C46" s="128"/>
      <c r="D46" s="128"/>
      <c r="E46" s="35"/>
      <c r="F46" s="35"/>
      <c r="G46" s="35"/>
      <c r="H46" s="35"/>
      <c r="I46" s="35"/>
      <c r="J46" s="35"/>
      <c r="K46" s="35"/>
      <c r="L46" s="35"/>
    </row>
    <row r="47" spans="1:12" ht="12.75">
      <c r="A47" s="190"/>
      <c r="B47" s="128"/>
      <c r="C47" s="128"/>
      <c r="D47" s="128"/>
      <c r="E47" s="35"/>
      <c r="F47" s="35"/>
      <c r="G47" s="35"/>
      <c r="H47" s="35"/>
      <c r="I47" s="35"/>
      <c r="J47" s="35"/>
      <c r="K47" s="35"/>
      <c r="L47" s="35"/>
    </row>
    <row r="48" spans="1:12" ht="12.75">
      <c r="A48" s="190"/>
      <c r="B48" s="128"/>
      <c r="C48" s="128"/>
      <c r="D48" s="353"/>
      <c r="E48" s="337"/>
      <c r="F48" s="337"/>
      <c r="G48" s="337"/>
      <c r="H48" s="337"/>
      <c r="I48" s="337"/>
      <c r="J48" s="337"/>
      <c r="K48" s="337"/>
      <c r="L48" s="337"/>
    </row>
    <row r="49" spans="1:12" ht="12.75">
      <c r="A49" s="190"/>
      <c r="B49" s="128"/>
      <c r="C49" s="128"/>
      <c r="D49" s="353"/>
      <c r="E49" s="337"/>
      <c r="F49" s="337"/>
      <c r="G49" s="337"/>
      <c r="H49" s="337"/>
      <c r="I49" s="337"/>
      <c r="J49" s="337"/>
      <c r="K49" s="337"/>
      <c r="L49" s="337"/>
    </row>
    <row r="50" spans="1:12" ht="12.75">
      <c r="A50" s="190"/>
      <c r="B50" s="128"/>
      <c r="C50" s="128"/>
      <c r="D50" s="353"/>
      <c r="E50" s="337"/>
      <c r="F50" s="337"/>
      <c r="G50" s="337"/>
      <c r="H50" s="337"/>
      <c r="I50" s="337"/>
      <c r="J50" s="337"/>
      <c r="K50" s="337"/>
      <c r="L50" s="337"/>
    </row>
  </sheetData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L156"/>
  <sheetViews>
    <sheetView workbookViewId="0" topLeftCell="A58">
      <selection activeCell="C60" sqref="C60"/>
    </sheetView>
  </sheetViews>
  <sheetFormatPr defaultColWidth="9.140625" defaultRowHeight="15" customHeight="1"/>
  <cols>
    <col min="1" max="1" width="54.57421875" style="35" customWidth="1"/>
    <col min="2" max="2" width="15.8515625" style="35" customWidth="1"/>
    <col min="3" max="3" width="15.00390625" style="35" customWidth="1"/>
    <col min="4" max="16384" width="20.421875" style="35" customWidth="1"/>
  </cols>
  <sheetData>
    <row r="1" spans="1:3" ht="15" customHeight="1">
      <c r="A1" s="657" t="s">
        <v>1849</v>
      </c>
      <c r="B1" s="657"/>
      <c r="C1" s="657"/>
    </row>
    <row r="2" spans="1:3" ht="15" customHeight="1">
      <c r="A2" s="657" t="s">
        <v>1850</v>
      </c>
      <c r="B2" s="657"/>
      <c r="C2" s="657"/>
    </row>
    <row r="3" ht="9" customHeight="1">
      <c r="A3" s="123"/>
    </row>
    <row r="4" ht="15" customHeight="1">
      <c r="C4" s="144" t="s">
        <v>1851</v>
      </c>
    </row>
    <row r="5" spans="1:3" ht="31.5" customHeight="1">
      <c r="A5" s="145" t="s">
        <v>1852</v>
      </c>
      <c r="B5" s="146" t="s">
        <v>1853</v>
      </c>
      <c r="C5" s="146" t="s">
        <v>1854</v>
      </c>
    </row>
    <row r="6" spans="1:3" ht="15" customHeight="1">
      <c r="A6" s="147" t="s">
        <v>1855</v>
      </c>
      <c r="B6" s="148"/>
      <c r="C6" s="148"/>
    </row>
    <row r="7" spans="1:3" ht="15" customHeight="1">
      <c r="A7" s="84" t="s">
        <v>1856</v>
      </c>
      <c r="B7" s="149">
        <v>200222</v>
      </c>
      <c r="C7" s="149">
        <v>200222</v>
      </c>
    </row>
    <row r="8" spans="1:3" ht="15" customHeight="1">
      <c r="A8" s="84" t="s">
        <v>1857</v>
      </c>
      <c r="B8" s="149">
        <v>502801</v>
      </c>
      <c r="C8" s="149">
        <v>500811</v>
      </c>
    </row>
    <row r="9" spans="1:3" ht="15" customHeight="1">
      <c r="A9" s="84" t="s">
        <v>1858</v>
      </c>
      <c r="B9" s="117">
        <v>1346732</v>
      </c>
      <c r="C9" s="149">
        <v>1312304</v>
      </c>
    </row>
    <row r="10" spans="1:3" ht="15" customHeight="1">
      <c r="A10" s="84" t="s">
        <v>1859</v>
      </c>
      <c r="B10" s="149">
        <f>SUM(B11:B19)</f>
        <v>682643</v>
      </c>
      <c r="C10" s="149">
        <f>SUM(C11:C19)</f>
        <v>682604</v>
      </c>
    </row>
    <row r="11" spans="1:3" s="118" customFormat="1" ht="15" customHeight="1">
      <c r="A11" s="120" t="s">
        <v>1860</v>
      </c>
      <c r="B11" s="150">
        <v>25000</v>
      </c>
      <c r="C11" s="150">
        <v>25000</v>
      </c>
    </row>
    <row r="12" spans="1:3" s="118" customFormat="1" ht="15" customHeight="1">
      <c r="A12" s="120" t="s">
        <v>1861</v>
      </c>
      <c r="B12" s="150">
        <v>20000</v>
      </c>
      <c r="C12" s="150">
        <v>19961</v>
      </c>
    </row>
    <row r="13" spans="1:3" s="118" customFormat="1" ht="15" customHeight="1">
      <c r="A13" s="120" t="s">
        <v>1862</v>
      </c>
      <c r="B13" s="150">
        <v>10220</v>
      </c>
      <c r="C13" s="150">
        <v>10220</v>
      </c>
    </row>
    <row r="14" spans="1:3" s="118" customFormat="1" ht="15" customHeight="1">
      <c r="A14" s="120" t="s">
        <v>1863</v>
      </c>
      <c r="B14" s="150">
        <v>16000</v>
      </c>
      <c r="C14" s="150">
        <v>16000</v>
      </c>
    </row>
    <row r="15" spans="1:3" s="118" customFormat="1" ht="15" customHeight="1">
      <c r="A15" s="120" t="s">
        <v>1864</v>
      </c>
      <c r="B15" s="150">
        <v>23000</v>
      </c>
      <c r="C15" s="150">
        <v>23000</v>
      </c>
    </row>
    <row r="16" spans="1:3" s="118" customFormat="1" ht="15" customHeight="1">
      <c r="A16" s="120" t="s">
        <v>1865</v>
      </c>
      <c r="B16" s="150">
        <v>76496</v>
      </c>
      <c r="C16" s="150">
        <v>76496</v>
      </c>
    </row>
    <row r="17" spans="1:3" s="118" customFormat="1" ht="15" customHeight="1">
      <c r="A17" s="120" t="s">
        <v>1866</v>
      </c>
      <c r="B17" s="150">
        <v>105602</v>
      </c>
      <c r="C17" s="150">
        <v>105602</v>
      </c>
    </row>
    <row r="18" spans="1:3" s="118" customFormat="1" ht="15" customHeight="1">
      <c r="A18" s="120" t="s">
        <v>1867</v>
      </c>
      <c r="B18" s="150">
        <v>220000</v>
      </c>
      <c r="C18" s="150">
        <v>220000</v>
      </c>
    </row>
    <row r="19" spans="1:3" s="118" customFormat="1" ht="15" customHeight="1">
      <c r="A19" s="120" t="s">
        <v>1868</v>
      </c>
      <c r="B19" s="150">
        <f>70235+116090</f>
        <v>186325</v>
      </c>
      <c r="C19" s="150">
        <f>70235+116090</f>
        <v>186325</v>
      </c>
    </row>
    <row r="20" spans="1:3" s="118" customFormat="1" ht="15" customHeight="1">
      <c r="A20" s="120" t="s">
        <v>1869</v>
      </c>
      <c r="B20" s="150">
        <v>5400</v>
      </c>
      <c r="C20" s="150">
        <v>5400</v>
      </c>
    </row>
    <row r="21" spans="1:3" s="118" customFormat="1" ht="15" customHeight="1">
      <c r="A21" s="120" t="s">
        <v>0</v>
      </c>
      <c r="B21" s="150">
        <v>19000</v>
      </c>
      <c r="C21" s="150">
        <v>19000</v>
      </c>
    </row>
    <row r="22" spans="1:3" s="118" customFormat="1" ht="15" customHeight="1">
      <c r="A22" s="120" t="s">
        <v>1</v>
      </c>
      <c r="B22" s="150">
        <v>18000</v>
      </c>
      <c r="C22" s="150">
        <v>18000</v>
      </c>
    </row>
    <row r="23" spans="1:3" s="118" customFormat="1" ht="15" customHeight="1">
      <c r="A23" s="120" t="s">
        <v>2</v>
      </c>
      <c r="B23" s="150">
        <v>4900</v>
      </c>
      <c r="C23" s="150">
        <v>4900</v>
      </c>
    </row>
    <row r="24" spans="1:3" s="118" customFormat="1" ht="15" customHeight="1">
      <c r="A24" s="120" t="s">
        <v>3</v>
      </c>
      <c r="B24" s="150">
        <v>5100</v>
      </c>
      <c r="C24" s="150">
        <v>5100</v>
      </c>
    </row>
    <row r="25" spans="1:3" s="118" customFormat="1" ht="15" customHeight="1">
      <c r="A25" s="120" t="s">
        <v>4</v>
      </c>
      <c r="B25" s="150">
        <v>11151</v>
      </c>
      <c r="C25" s="150">
        <v>11151</v>
      </c>
    </row>
    <row r="26" spans="1:3" s="118" customFormat="1" ht="15" customHeight="1">
      <c r="A26" s="120" t="s">
        <v>5</v>
      </c>
      <c r="B26" s="150">
        <v>41333</v>
      </c>
      <c r="C26" s="150">
        <v>41333</v>
      </c>
    </row>
    <row r="27" spans="1:3" s="118" customFormat="1" ht="15" customHeight="1">
      <c r="A27" s="120" t="s">
        <v>6</v>
      </c>
      <c r="B27" s="150">
        <v>16000</v>
      </c>
      <c r="C27" s="150">
        <v>15887</v>
      </c>
    </row>
    <row r="28" spans="1:3" s="118" customFormat="1" ht="15" customHeight="1">
      <c r="A28" s="120" t="s">
        <v>7</v>
      </c>
      <c r="B28" s="150">
        <v>9588</v>
      </c>
      <c r="C28" s="150">
        <v>9588</v>
      </c>
    </row>
    <row r="29" spans="1:3" s="118" customFormat="1" ht="15" customHeight="1">
      <c r="A29" s="120" t="s">
        <v>8</v>
      </c>
      <c r="B29" s="150">
        <v>6860</v>
      </c>
      <c r="C29" s="150">
        <v>6860</v>
      </c>
    </row>
    <row r="30" spans="1:3" s="118" customFormat="1" ht="15" customHeight="1">
      <c r="A30" s="120" t="s">
        <v>9</v>
      </c>
      <c r="B30" s="150">
        <v>94000</v>
      </c>
      <c r="C30" s="150">
        <v>94000</v>
      </c>
    </row>
    <row r="31" spans="1:3" s="118" customFormat="1" ht="15" customHeight="1">
      <c r="A31" s="120" t="s">
        <v>10</v>
      </c>
      <c r="B31" s="150">
        <v>68657</v>
      </c>
      <c r="C31" s="150">
        <v>68657</v>
      </c>
    </row>
    <row r="32" spans="1:3" s="118" customFormat="1" ht="15" customHeight="1">
      <c r="A32" s="120" t="s">
        <v>11</v>
      </c>
      <c r="B32" s="150">
        <v>2000</v>
      </c>
      <c r="C32" s="150">
        <v>2000</v>
      </c>
    </row>
    <row r="33" spans="1:3" s="118" customFormat="1" ht="15" customHeight="1">
      <c r="A33" s="120" t="s">
        <v>12</v>
      </c>
      <c r="B33" s="150">
        <v>29000</v>
      </c>
      <c r="C33" s="150">
        <v>29000</v>
      </c>
    </row>
    <row r="34" spans="1:3" s="118" customFormat="1" ht="15" customHeight="1">
      <c r="A34" s="120" t="s">
        <v>13</v>
      </c>
      <c r="B34" s="150">
        <v>6550</v>
      </c>
      <c r="C34" s="150">
        <v>6550</v>
      </c>
    </row>
    <row r="35" spans="1:3" s="118" customFormat="1" ht="15" customHeight="1">
      <c r="A35" s="120" t="s">
        <v>14</v>
      </c>
      <c r="B35" s="150">
        <v>400</v>
      </c>
      <c r="C35" s="150">
        <v>400</v>
      </c>
    </row>
    <row r="36" spans="1:3" s="118" customFormat="1" ht="15" customHeight="1">
      <c r="A36" s="120" t="s">
        <v>15</v>
      </c>
      <c r="B36" s="150">
        <v>4000</v>
      </c>
      <c r="C36" s="150"/>
    </row>
    <row r="37" spans="1:3" ht="15" customHeight="1">
      <c r="A37" s="84" t="s">
        <v>16</v>
      </c>
      <c r="B37" s="149">
        <v>186554</v>
      </c>
      <c r="C37" s="149">
        <v>186554</v>
      </c>
    </row>
    <row r="38" spans="1:3" ht="15" customHeight="1">
      <c r="A38" s="84" t="s">
        <v>17</v>
      </c>
      <c r="B38" s="149">
        <v>36640</v>
      </c>
      <c r="C38" s="149">
        <v>36640</v>
      </c>
    </row>
    <row r="39" spans="1:3" ht="15" customHeight="1">
      <c r="A39" s="84" t="s">
        <v>18</v>
      </c>
      <c r="B39" s="149">
        <v>37999</v>
      </c>
      <c r="C39" s="149">
        <v>37999</v>
      </c>
    </row>
    <row r="40" spans="1:3" ht="15" customHeight="1">
      <c r="A40" s="84" t="s">
        <v>19</v>
      </c>
      <c r="B40" s="149">
        <v>134081</v>
      </c>
      <c r="C40" s="149">
        <v>128879</v>
      </c>
    </row>
    <row r="41" spans="1:3" ht="15" customHeight="1">
      <c r="A41" s="84" t="s">
        <v>20</v>
      </c>
      <c r="B41" s="149">
        <v>186959</v>
      </c>
      <c r="C41" s="149">
        <v>186936</v>
      </c>
    </row>
    <row r="42" spans="1:3" ht="15" customHeight="1">
      <c r="A42" s="86" t="s">
        <v>21</v>
      </c>
      <c r="B42" s="149">
        <v>18286</v>
      </c>
      <c r="C42" s="149">
        <v>15630</v>
      </c>
    </row>
    <row r="43" spans="1:3" ht="15" customHeight="1">
      <c r="A43" s="84" t="s">
        <v>22</v>
      </c>
      <c r="B43" s="149">
        <v>26126</v>
      </c>
      <c r="C43" s="149">
        <v>26126</v>
      </c>
    </row>
    <row r="44" spans="1:3" ht="15" customHeight="1">
      <c r="A44" s="84" t="s">
        <v>23</v>
      </c>
      <c r="B44" s="149">
        <v>42940</v>
      </c>
      <c r="C44" s="149">
        <v>38639</v>
      </c>
    </row>
    <row r="45" spans="1:3" ht="15" customHeight="1">
      <c r="A45" s="84" t="s">
        <v>24</v>
      </c>
      <c r="B45" s="149">
        <v>237360</v>
      </c>
      <c r="C45" s="149">
        <v>237360</v>
      </c>
    </row>
    <row r="46" spans="1:3" ht="15" customHeight="1">
      <c r="A46" s="84" t="s">
        <v>25</v>
      </c>
      <c r="B46" s="149">
        <v>300951</v>
      </c>
      <c r="C46" s="149">
        <v>290713</v>
      </c>
    </row>
    <row r="47" spans="1:3" ht="15" customHeight="1">
      <c r="A47" s="84" t="s">
        <v>26</v>
      </c>
      <c r="B47" s="149">
        <v>143898</v>
      </c>
      <c r="C47" s="149">
        <v>142369</v>
      </c>
    </row>
    <row r="48" spans="1:3" ht="15" customHeight="1">
      <c r="A48" s="84" t="s">
        <v>27</v>
      </c>
      <c r="B48" s="149">
        <v>35000</v>
      </c>
      <c r="C48" s="149">
        <v>35000</v>
      </c>
    </row>
    <row r="49" spans="1:3" ht="15" customHeight="1">
      <c r="A49" s="84" t="s">
        <v>28</v>
      </c>
      <c r="B49" s="149">
        <v>6136</v>
      </c>
      <c r="C49" s="149">
        <v>6136</v>
      </c>
    </row>
    <row r="50" spans="1:3" ht="15" customHeight="1">
      <c r="A50" s="84" t="s">
        <v>29</v>
      </c>
      <c r="B50" s="149">
        <v>138250</v>
      </c>
      <c r="C50" s="149">
        <v>138250</v>
      </c>
    </row>
    <row r="51" spans="1:3" ht="15" customHeight="1">
      <c r="A51" s="84" t="s">
        <v>30</v>
      </c>
      <c r="B51" s="149">
        <v>421124</v>
      </c>
      <c r="C51" s="149">
        <v>401272</v>
      </c>
    </row>
    <row r="52" spans="1:3" ht="21" customHeight="1">
      <c r="A52" s="151" t="s">
        <v>31</v>
      </c>
      <c r="B52" s="152">
        <f>SUM(B7+B8+B9+B37+B38+B39+B40+B41+B42+B43+B44+B45+B46+B47+B48+B49+B50+B51)</f>
        <v>4002059</v>
      </c>
      <c r="C52" s="152">
        <f>SUM(C7+C8+C9+C37+C38+C39+C40+C41+C42+C43+C44+C45+C46+C47+C48+C49+C50+C51)</f>
        <v>3921840</v>
      </c>
    </row>
    <row r="53" spans="1:3" s="118" customFormat="1" ht="30.75" customHeight="1">
      <c r="A53" s="120" t="s">
        <v>1081</v>
      </c>
      <c r="B53" s="150">
        <v>578034</v>
      </c>
      <c r="C53" s="150"/>
    </row>
    <row r="54" spans="1:3" ht="30" customHeight="1">
      <c r="A54" s="151" t="s">
        <v>32</v>
      </c>
      <c r="B54" s="153">
        <v>4329247</v>
      </c>
      <c r="C54" s="117"/>
    </row>
    <row r="55" spans="1:3" ht="15" customHeight="1">
      <c r="A55" s="151"/>
      <c r="B55" s="153"/>
      <c r="C55" s="117"/>
    </row>
    <row r="56" spans="1:3" ht="36" customHeight="1">
      <c r="A56" s="145" t="s">
        <v>1852</v>
      </c>
      <c r="B56" s="165" t="s">
        <v>33</v>
      </c>
      <c r="C56" s="165" t="s">
        <v>34</v>
      </c>
    </row>
    <row r="57" spans="1:3" ht="15" customHeight="1">
      <c r="A57" s="151"/>
      <c r="B57" s="153"/>
      <c r="C57" s="117"/>
    </row>
    <row r="58" spans="1:246" s="155" customFormat="1" ht="33" customHeight="1">
      <c r="A58" s="154" t="s">
        <v>1704</v>
      </c>
      <c r="B58" s="122"/>
      <c r="C58" s="122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</row>
    <row r="59" spans="1:246" s="156" customFormat="1" ht="22.5" customHeight="1">
      <c r="A59" s="151" t="s">
        <v>35</v>
      </c>
      <c r="B59" s="153">
        <v>4329247</v>
      </c>
      <c r="C59" s="124">
        <f>SUM(C60+C73)</f>
        <v>3921840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</row>
    <row r="60" spans="1:246" s="156" customFormat="1" ht="15" customHeight="1">
      <c r="A60" s="86" t="s">
        <v>36</v>
      </c>
      <c r="B60" s="122"/>
      <c r="C60" s="122">
        <f>SUM(C62:C70,C72)</f>
        <v>2909594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</row>
    <row r="61" spans="1:246" s="156" customFormat="1" ht="15" customHeight="1">
      <c r="A61" s="84" t="s">
        <v>37</v>
      </c>
      <c r="B61" s="122"/>
      <c r="C61" s="122">
        <f>SUM(C62:C70)</f>
        <v>2546458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</row>
    <row r="62" spans="1:246" s="160" customFormat="1" ht="18" customHeight="1">
      <c r="A62" s="157" t="s">
        <v>1067</v>
      </c>
      <c r="B62" s="158"/>
      <c r="C62" s="158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159"/>
      <c r="DT62" s="159"/>
      <c r="DU62" s="159"/>
      <c r="DV62" s="159"/>
      <c r="DW62" s="159"/>
      <c r="DX62" s="159"/>
      <c r="DY62" s="159"/>
      <c r="DZ62" s="159"/>
      <c r="EA62" s="159"/>
      <c r="EB62" s="159"/>
      <c r="EC62" s="159"/>
      <c r="ED62" s="159"/>
      <c r="EE62" s="159"/>
      <c r="EF62" s="159"/>
      <c r="EG62" s="159"/>
      <c r="EH62" s="159"/>
      <c r="EI62" s="159"/>
      <c r="EJ62" s="159"/>
      <c r="EK62" s="159"/>
      <c r="EL62" s="159"/>
      <c r="EM62" s="159"/>
      <c r="EN62" s="159"/>
      <c r="EO62" s="159"/>
      <c r="EP62" s="159"/>
      <c r="EQ62" s="159"/>
      <c r="ER62" s="159"/>
      <c r="ES62" s="159"/>
      <c r="ET62" s="159"/>
      <c r="EU62" s="159"/>
      <c r="EV62" s="159"/>
      <c r="EW62" s="159"/>
      <c r="EX62" s="159"/>
      <c r="EY62" s="159"/>
      <c r="EZ62" s="159"/>
      <c r="FA62" s="159"/>
      <c r="FB62" s="159"/>
      <c r="FC62" s="159"/>
      <c r="FD62" s="159"/>
      <c r="FE62" s="159"/>
      <c r="FF62" s="159"/>
      <c r="FG62" s="159"/>
      <c r="FH62" s="159"/>
      <c r="FI62" s="159"/>
      <c r="FJ62" s="159"/>
      <c r="FK62" s="159"/>
      <c r="FL62" s="159"/>
      <c r="FM62" s="159"/>
      <c r="FN62" s="159"/>
      <c r="FO62" s="159"/>
      <c r="FP62" s="159"/>
      <c r="FQ62" s="159"/>
      <c r="FR62" s="159"/>
      <c r="FS62" s="159"/>
      <c r="FT62" s="159"/>
      <c r="FU62" s="159"/>
      <c r="FV62" s="159"/>
      <c r="FW62" s="159"/>
      <c r="FX62" s="159"/>
      <c r="FY62" s="159"/>
      <c r="FZ62" s="159"/>
      <c r="GA62" s="159"/>
      <c r="GB62" s="159"/>
      <c r="GC62" s="159"/>
      <c r="GD62" s="159"/>
      <c r="GE62" s="159"/>
      <c r="GF62" s="159"/>
      <c r="GG62" s="159"/>
      <c r="GH62" s="159"/>
      <c r="GI62" s="159"/>
      <c r="GJ62" s="159"/>
      <c r="GK62" s="159"/>
      <c r="GL62" s="159"/>
      <c r="GM62" s="159"/>
      <c r="GN62" s="159"/>
      <c r="GO62" s="159"/>
      <c r="GP62" s="159"/>
      <c r="GQ62" s="159"/>
      <c r="GR62" s="159"/>
      <c r="GS62" s="159"/>
      <c r="GT62" s="159"/>
      <c r="GU62" s="159"/>
      <c r="GV62" s="159"/>
      <c r="GW62" s="159"/>
      <c r="GX62" s="159"/>
      <c r="GY62" s="159"/>
      <c r="GZ62" s="159"/>
      <c r="HA62" s="159"/>
      <c r="HB62" s="159"/>
      <c r="HC62" s="159"/>
      <c r="HD62" s="159"/>
      <c r="HE62" s="159"/>
      <c r="HF62" s="159"/>
      <c r="HG62" s="159"/>
      <c r="HH62" s="159"/>
      <c r="HI62" s="159"/>
      <c r="HJ62" s="159"/>
      <c r="HK62" s="159"/>
      <c r="HL62" s="159"/>
      <c r="HM62" s="159"/>
      <c r="HN62" s="159"/>
      <c r="HO62" s="159"/>
      <c r="HP62" s="159"/>
      <c r="HQ62" s="159"/>
      <c r="HR62" s="159"/>
      <c r="HS62" s="159"/>
      <c r="HT62" s="159"/>
      <c r="HU62" s="159"/>
      <c r="HV62" s="159"/>
      <c r="HW62" s="159"/>
      <c r="HX62" s="159"/>
      <c r="HY62" s="159"/>
      <c r="HZ62" s="159"/>
      <c r="IA62" s="159"/>
      <c r="IB62" s="159"/>
      <c r="IC62" s="159"/>
      <c r="ID62" s="159"/>
      <c r="IE62" s="159"/>
      <c r="IF62" s="159"/>
      <c r="IG62" s="159"/>
      <c r="IH62" s="159"/>
      <c r="II62" s="159"/>
      <c r="IJ62" s="159"/>
      <c r="IK62" s="159"/>
      <c r="IL62" s="159"/>
    </row>
    <row r="63" spans="1:246" s="160" customFormat="1" ht="17.25" customHeight="1">
      <c r="A63" s="157" t="s">
        <v>1068</v>
      </c>
      <c r="B63" s="158"/>
      <c r="C63" s="158">
        <v>7217</v>
      </c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59"/>
      <c r="DC63" s="159"/>
      <c r="DD63" s="159"/>
      <c r="DE63" s="159"/>
      <c r="DF63" s="159"/>
      <c r="DG63" s="159"/>
      <c r="DH63" s="159"/>
      <c r="DI63" s="159"/>
      <c r="DJ63" s="159"/>
      <c r="DK63" s="159"/>
      <c r="DL63" s="159"/>
      <c r="DM63" s="159"/>
      <c r="DN63" s="159"/>
      <c r="DO63" s="159"/>
      <c r="DP63" s="159"/>
      <c r="DQ63" s="159"/>
      <c r="DR63" s="159"/>
      <c r="DS63" s="159"/>
      <c r="DT63" s="159"/>
      <c r="DU63" s="159"/>
      <c r="DV63" s="159"/>
      <c r="DW63" s="159"/>
      <c r="DX63" s="159"/>
      <c r="DY63" s="159"/>
      <c r="DZ63" s="159"/>
      <c r="EA63" s="159"/>
      <c r="EB63" s="159"/>
      <c r="EC63" s="159"/>
      <c r="ED63" s="159"/>
      <c r="EE63" s="159"/>
      <c r="EF63" s="159"/>
      <c r="EG63" s="159"/>
      <c r="EH63" s="159"/>
      <c r="EI63" s="159"/>
      <c r="EJ63" s="159"/>
      <c r="EK63" s="159"/>
      <c r="EL63" s="159"/>
      <c r="EM63" s="159"/>
      <c r="EN63" s="159"/>
      <c r="EO63" s="159"/>
      <c r="EP63" s="159"/>
      <c r="EQ63" s="159"/>
      <c r="ER63" s="159"/>
      <c r="ES63" s="159"/>
      <c r="ET63" s="159"/>
      <c r="EU63" s="159"/>
      <c r="EV63" s="159"/>
      <c r="EW63" s="159"/>
      <c r="EX63" s="159"/>
      <c r="EY63" s="159"/>
      <c r="EZ63" s="159"/>
      <c r="FA63" s="159"/>
      <c r="FB63" s="159"/>
      <c r="FC63" s="159"/>
      <c r="FD63" s="159"/>
      <c r="FE63" s="159"/>
      <c r="FF63" s="159"/>
      <c r="FG63" s="159"/>
      <c r="FH63" s="159"/>
      <c r="FI63" s="159"/>
      <c r="FJ63" s="159"/>
      <c r="FK63" s="159"/>
      <c r="FL63" s="159"/>
      <c r="FM63" s="159"/>
      <c r="FN63" s="159"/>
      <c r="FO63" s="159"/>
      <c r="FP63" s="159"/>
      <c r="FQ63" s="159"/>
      <c r="FR63" s="159"/>
      <c r="FS63" s="159"/>
      <c r="FT63" s="159"/>
      <c r="FU63" s="159"/>
      <c r="FV63" s="159"/>
      <c r="FW63" s="159"/>
      <c r="FX63" s="159"/>
      <c r="FY63" s="159"/>
      <c r="FZ63" s="159"/>
      <c r="GA63" s="159"/>
      <c r="GB63" s="159"/>
      <c r="GC63" s="159"/>
      <c r="GD63" s="159"/>
      <c r="GE63" s="159"/>
      <c r="GF63" s="159"/>
      <c r="GG63" s="159"/>
      <c r="GH63" s="159"/>
      <c r="GI63" s="159"/>
      <c r="GJ63" s="159"/>
      <c r="GK63" s="159"/>
      <c r="GL63" s="159"/>
      <c r="GM63" s="159"/>
      <c r="GN63" s="159"/>
      <c r="GO63" s="159"/>
      <c r="GP63" s="159"/>
      <c r="GQ63" s="159"/>
      <c r="GR63" s="159"/>
      <c r="GS63" s="159"/>
      <c r="GT63" s="159"/>
      <c r="GU63" s="159"/>
      <c r="GV63" s="159"/>
      <c r="GW63" s="159"/>
      <c r="GX63" s="159"/>
      <c r="GY63" s="159"/>
      <c r="GZ63" s="159"/>
      <c r="HA63" s="159"/>
      <c r="HB63" s="159"/>
      <c r="HC63" s="159"/>
      <c r="HD63" s="159"/>
      <c r="HE63" s="159"/>
      <c r="HF63" s="159"/>
      <c r="HG63" s="159"/>
      <c r="HH63" s="159"/>
      <c r="HI63" s="159"/>
      <c r="HJ63" s="159"/>
      <c r="HK63" s="159"/>
      <c r="HL63" s="159"/>
      <c r="HM63" s="159"/>
      <c r="HN63" s="159"/>
      <c r="HO63" s="159"/>
      <c r="HP63" s="159"/>
      <c r="HQ63" s="159"/>
      <c r="HR63" s="159"/>
      <c r="HS63" s="159"/>
      <c r="HT63" s="159"/>
      <c r="HU63" s="159"/>
      <c r="HV63" s="159"/>
      <c r="HW63" s="159"/>
      <c r="HX63" s="159"/>
      <c r="HY63" s="159"/>
      <c r="HZ63" s="159"/>
      <c r="IA63" s="159"/>
      <c r="IB63" s="159"/>
      <c r="IC63" s="159"/>
      <c r="ID63" s="159"/>
      <c r="IE63" s="159"/>
      <c r="IF63" s="159"/>
      <c r="IG63" s="159"/>
      <c r="IH63" s="159"/>
      <c r="II63" s="159"/>
      <c r="IJ63" s="159"/>
      <c r="IK63" s="159"/>
      <c r="IL63" s="159"/>
    </row>
    <row r="64" spans="1:246" s="161" customFormat="1" ht="15" customHeight="1">
      <c r="A64" s="160" t="s">
        <v>1705</v>
      </c>
      <c r="B64" s="158"/>
      <c r="C64" s="158">
        <v>630992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59"/>
      <c r="DC64" s="159"/>
      <c r="DD64" s="159"/>
      <c r="DE64" s="159"/>
      <c r="DF64" s="159"/>
      <c r="DG64" s="159"/>
      <c r="DH64" s="159"/>
      <c r="DI64" s="159"/>
      <c r="DJ64" s="159"/>
      <c r="DK64" s="159"/>
      <c r="DL64" s="159"/>
      <c r="DM64" s="159"/>
      <c r="DN64" s="159"/>
      <c r="DO64" s="159"/>
      <c r="DP64" s="159"/>
      <c r="DQ64" s="159"/>
      <c r="DR64" s="159"/>
      <c r="DS64" s="159"/>
      <c r="DT64" s="159"/>
      <c r="DU64" s="159"/>
      <c r="DV64" s="159"/>
      <c r="DW64" s="159"/>
      <c r="DX64" s="159"/>
      <c r="DY64" s="159"/>
      <c r="DZ64" s="159"/>
      <c r="EA64" s="159"/>
      <c r="EB64" s="159"/>
      <c r="EC64" s="159"/>
      <c r="ED64" s="159"/>
      <c r="EE64" s="159"/>
      <c r="EF64" s="159"/>
      <c r="EG64" s="159"/>
      <c r="EH64" s="159"/>
      <c r="EI64" s="159"/>
      <c r="EJ64" s="159"/>
      <c r="EK64" s="159"/>
      <c r="EL64" s="159"/>
      <c r="EM64" s="159"/>
      <c r="EN64" s="159"/>
      <c r="EO64" s="159"/>
      <c r="EP64" s="159"/>
      <c r="EQ64" s="159"/>
      <c r="ER64" s="159"/>
      <c r="ES64" s="159"/>
      <c r="ET64" s="159"/>
      <c r="EU64" s="159"/>
      <c r="EV64" s="159"/>
      <c r="EW64" s="159"/>
      <c r="EX64" s="159"/>
      <c r="EY64" s="159"/>
      <c r="EZ64" s="159"/>
      <c r="FA64" s="159"/>
      <c r="FB64" s="159"/>
      <c r="FC64" s="159"/>
      <c r="FD64" s="159"/>
      <c r="FE64" s="159"/>
      <c r="FF64" s="159"/>
      <c r="FG64" s="159"/>
      <c r="FH64" s="159"/>
      <c r="FI64" s="159"/>
      <c r="FJ64" s="159"/>
      <c r="FK64" s="159"/>
      <c r="FL64" s="159"/>
      <c r="FM64" s="159"/>
      <c r="FN64" s="159"/>
      <c r="FO64" s="159"/>
      <c r="FP64" s="159"/>
      <c r="FQ64" s="159"/>
      <c r="FR64" s="159"/>
      <c r="FS64" s="159"/>
      <c r="FT64" s="159"/>
      <c r="FU64" s="159"/>
      <c r="FV64" s="159"/>
      <c r="FW64" s="159"/>
      <c r="FX64" s="159"/>
      <c r="FY64" s="159"/>
      <c r="FZ64" s="159"/>
      <c r="GA64" s="159"/>
      <c r="GB64" s="159"/>
      <c r="GC64" s="159"/>
      <c r="GD64" s="159"/>
      <c r="GE64" s="159"/>
      <c r="GF64" s="159"/>
      <c r="GG64" s="159"/>
      <c r="GH64" s="159"/>
      <c r="GI64" s="159"/>
      <c r="GJ64" s="159"/>
      <c r="GK64" s="159"/>
      <c r="GL64" s="159"/>
      <c r="GM64" s="159"/>
      <c r="GN64" s="159"/>
      <c r="GO64" s="159"/>
      <c r="GP64" s="159"/>
      <c r="GQ64" s="159"/>
      <c r="GR64" s="159"/>
      <c r="GS64" s="159"/>
      <c r="GT64" s="159"/>
      <c r="GU64" s="159"/>
      <c r="GV64" s="159"/>
      <c r="GW64" s="159"/>
      <c r="GX64" s="159"/>
      <c r="GY64" s="159"/>
      <c r="GZ64" s="159"/>
      <c r="HA64" s="159"/>
      <c r="HB64" s="159"/>
      <c r="HC64" s="159"/>
      <c r="HD64" s="159"/>
      <c r="HE64" s="159"/>
      <c r="HF64" s="159"/>
      <c r="HG64" s="159"/>
      <c r="HH64" s="159"/>
      <c r="HI64" s="159"/>
      <c r="HJ64" s="159"/>
      <c r="HK64" s="159"/>
      <c r="HL64" s="159"/>
      <c r="HM64" s="159"/>
      <c r="HN64" s="159"/>
      <c r="HO64" s="159"/>
      <c r="HP64" s="159"/>
      <c r="HQ64" s="159"/>
      <c r="HR64" s="159"/>
      <c r="HS64" s="159"/>
      <c r="HT64" s="159"/>
      <c r="HU64" s="159"/>
      <c r="HV64" s="159"/>
      <c r="HW64" s="159"/>
      <c r="HX64" s="159"/>
      <c r="HY64" s="159"/>
      <c r="HZ64" s="159"/>
      <c r="IA64" s="159"/>
      <c r="IB64" s="159"/>
      <c r="IC64" s="159"/>
      <c r="ID64" s="159"/>
      <c r="IE64" s="159"/>
      <c r="IF64" s="159"/>
      <c r="IG64" s="159"/>
      <c r="IH64" s="159"/>
      <c r="II64" s="159"/>
      <c r="IJ64" s="159"/>
      <c r="IK64" s="159"/>
      <c r="IL64" s="159"/>
    </row>
    <row r="65" spans="1:246" s="163" customFormat="1" ht="15" customHeight="1">
      <c r="A65" s="162" t="s">
        <v>1706</v>
      </c>
      <c r="B65" s="158"/>
      <c r="C65" s="158">
        <v>184599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</row>
    <row r="66" spans="1:246" s="163" customFormat="1" ht="15" customHeight="1">
      <c r="A66" s="160" t="s">
        <v>1707</v>
      </c>
      <c r="B66" s="158"/>
      <c r="C66" s="158">
        <v>179774</v>
      </c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</row>
    <row r="67" spans="1:246" s="163" customFormat="1" ht="15" customHeight="1">
      <c r="A67" s="160" t="s">
        <v>1708</v>
      </c>
      <c r="B67" s="158"/>
      <c r="C67" s="158">
        <v>1190746</v>
      </c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</row>
    <row r="68" spans="1:246" s="163" customFormat="1" ht="15.75" customHeight="1">
      <c r="A68" s="157" t="s">
        <v>1065</v>
      </c>
      <c r="B68" s="158"/>
      <c r="C68" s="158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</row>
    <row r="69" spans="1:246" s="163" customFormat="1" ht="16.5" customHeight="1">
      <c r="A69" s="157" t="s">
        <v>1066</v>
      </c>
      <c r="B69" s="158"/>
      <c r="C69" s="158">
        <v>349465</v>
      </c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</row>
    <row r="70" spans="1:246" s="163" customFormat="1" ht="15" customHeight="1">
      <c r="A70" s="160" t="s">
        <v>1711</v>
      </c>
      <c r="B70" s="158"/>
      <c r="C70" s="158">
        <v>3665</v>
      </c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</row>
    <row r="71" spans="1:246" s="164" customFormat="1" ht="15" customHeight="1">
      <c r="A71" s="84" t="s">
        <v>38</v>
      </c>
      <c r="B71" s="122"/>
      <c r="C71" s="122">
        <v>363136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</row>
    <row r="72" spans="1:246" s="163" customFormat="1" ht="15" customHeight="1">
      <c r="A72" s="160" t="s">
        <v>1709</v>
      </c>
      <c r="B72" s="158"/>
      <c r="C72" s="158">
        <v>363136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</row>
    <row r="73" spans="1:246" s="156" customFormat="1" ht="15" customHeight="1">
      <c r="A73" s="84" t="s">
        <v>39</v>
      </c>
      <c r="B73" s="122"/>
      <c r="C73" s="122">
        <f>SUM(C74)</f>
        <v>1012246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</row>
    <row r="74" spans="1:246" s="163" customFormat="1" ht="15" customHeight="1">
      <c r="A74" s="160" t="s">
        <v>1710</v>
      </c>
      <c r="B74" s="158"/>
      <c r="C74" s="158">
        <v>1012246</v>
      </c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</row>
    <row r="75" spans="1:246" s="156" customFormat="1" ht="15" customHeight="1">
      <c r="A75" s="84"/>
      <c r="B75" s="122"/>
      <c r="C75" s="122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</row>
    <row r="76" spans="1:246" s="156" customFormat="1" ht="15" customHeight="1">
      <c r="A76" s="86"/>
      <c r="B76" s="122"/>
      <c r="C76" s="122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</row>
    <row r="78" spans="1:246" s="156" customFormat="1" ht="15" customHeight="1">
      <c r="A78" s="37"/>
      <c r="B78" s="122"/>
      <c r="C78" s="122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</row>
    <row r="79" spans="1:246" s="156" customFormat="1" ht="15" customHeight="1">
      <c r="A79" s="35" t="s">
        <v>40</v>
      </c>
      <c r="B79" s="122"/>
      <c r="C79" s="122" t="s">
        <v>41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</row>
    <row r="81" spans="1:246" s="156" customFormat="1" ht="15" customHeight="1">
      <c r="A81" s="37"/>
      <c r="B81" s="122"/>
      <c r="C81" s="122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</row>
    <row r="82" spans="1:246" s="156" customFormat="1" ht="15" customHeight="1">
      <c r="A82" s="35" t="s">
        <v>42</v>
      </c>
      <c r="B82" s="122"/>
      <c r="C82" s="122" t="s">
        <v>43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</row>
    <row r="83" spans="1:246" s="156" customFormat="1" ht="15" customHeight="1">
      <c r="A83" s="37"/>
      <c r="B83" s="122"/>
      <c r="C83" s="122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</row>
    <row r="84" spans="1:246" s="156" customFormat="1" ht="15" customHeight="1">
      <c r="A84" s="37"/>
      <c r="B84" s="122"/>
      <c r="C84" s="122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</row>
    <row r="85" spans="2:3" ht="15" customHeight="1">
      <c r="B85" s="122"/>
      <c r="C85" s="122"/>
    </row>
    <row r="86" spans="2:3" ht="15" customHeight="1">
      <c r="B86" s="122"/>
      <c r="C86" s="122"/>
    </row>
    <row r="87" spans="2:3" ht="15" customHeight="1">
      <c r="B87" s="122"/>
      <c r="C87" s="122"/>
    </row>
    <row r="88" spans="2:3" ht="15" customHeight="1">
      <c r="B88" s="122"/>
      <c r="C88" s="122"/>
    </row>
    <row r="89" spans="2:3" ht="15" customHeight="1">
      <c r="B89" s="122"/>
      <c r="C89" s="122"/>
    </row>
    <row r="90" spans="2:3" ht="15" customHeight="1">
      <c r="B90" s="122"/>
      <c r="C90" s="122"/>
    </row>
    <row r="91" spans="2:3" ht="15" customHeight="1">
      <c r="B91" s="122"/>
      <c r="C91" s="122"/>
    </row>
    <row r="92" spans="2:3" ht="15" customHeight="1">
      <c r="B92" s="122"/>
      <c r="C92" s="122"/>
    </row>
    <row r="93" spans="2:3" ht="15" customHeight="1">
      <c r="B93" s="122"/>
      <c r="C93" s="122"/>
    </row>
    <row r="94" spans="2:3" ht="15" customHeight="1">
      <c r="B94" s="122"/>
      <c r="C94" s="122"/>
    </row>
    <row r="95" spans="2:3" ht="15" customHeight="1">
      <c r="B95" s="122"/>
      <c r="C95" s="122"/>
    </row>
    <row r="96" spans="2:3" ht="15" customHeight="1">
      <c r="B96" s="122"/>
      <c r="C96" s="122"/>
    </row>
    <row r="97" spans="2:3" ht="15" customHeight="1">
      <c r="B97" s="122"/>
      <c r="C97" s="122"/>
    </row>
    <row r="98" spans="2:3" ht="15" customHeight="1">
      <c r="B98" s="122"/>
      <c r="C98" s="122"/>
    </row>
    <row r="99" spans="2:3" ht="15" customHeight="1">
      <c r="B99" s="122"/>
      <c r="C99" s="122"/>
    </row>
    <row r="100" spans="2:3" ht="15" customHeight="1">
      <c r="B100" s="122"/>
      <c r="C100" s="122"/>
    </row>
    <row r="101" spans="2:3" ht="15" customHeight="1">
      <c r="B101" s="122"/>
      <c r="C101" s="122"/>
    </row>
    <row r="102" spans="2:3" ht="15" customHeight="1">
      <c r="B102" s="122"/>
      <c r="C102" s="122"/>
    </row>
    <row r="103" spans="2:3" ht="15" customHeight="1">
      <c r="B103" s="122"/>
      <c r="C103" s="122"/>
    </row>
    <row r="104" spans="2:3" ht="15" customHeight="1">
      <c r="B104" s="122"/>
      <c r="C104" s="122"/>
    </row>
    <row r="105" spans="2:3" ht="15" customHeight="1">
      <c r="B105" s="122"/>
      <c r="C105" s="122"/>
    </row>
    <row r="106" spans="2:3" ht="15" customHeight="1">
      <c r="B106" s="122"/>
      <c r="C106" s="122"/>
    </row>
    <row r="107" spans="2:3" ht="15" customHeight="1">
      <c r="B107" s="122"/>
      <c r="C107" s="122"/>
    </row>
    <row r="108" spans="2:3" ht="15" customHeight="1">
      <c r="B108" s="122"/>
      <c r="C108" s="122"/>
    </row>
    <row r="109" spans="2:3" ht="15" customHeight="1">
      <c r="B109" s="122"/>
      <c r="C109" s="122"/>
    </row>
    <row r="110" spans="2:3" ht="15" customHeight="1">
      <c r="B110" s="122"/>
      <c r="C110" s="122"/>
    </row>
    <row r="111" spans="2:3" ht="15" customHeight="1">
      <c r="B111" s="122"/>
      <c r="C111" s="122"/>
    </row>
    <row r="112" spans="2:3" ht="15" customHeight="1">
      <c r="B112" s="122"/>
      <c r="C112" s="122"/>
    </row>
    <row r="113" spans="2:3" ht="15" customHeight="1">
      <c r="B113" s="122"/>
      <c r="C113" s="122"/>
    </row>
    <row r="114" spans="2:3" ht="15" customHeight="1">
      <c r="B114" s="122"/>
      <c r="C114" s="122"/>
    </row>
    <row r="115" spans="2:3" ht="15" customHeight="1">
      <c r="B115" s="122"/>
      <c r="C115" s="122"/>
    </row>
    <row r="116" spans="2:3" ht="15" customHeight="1">
      <c r="B116" s="122"/>
      <c r="C116" s="122"/>
    </row>
    <row r="117" spans="2:3" ht="15" customHeight="1">
      <c r="B117" s="122"/>
      <c r="C117" s="122"/>
    </row>
    <row r="118" spans="2:3" ht="15" customHeight="1">
      <c r="B118" s="122"/>
      <c r="C118" s="122"/>
    </row>
    <row r="119" spans="2:3" ht="15" customHeight="1">
      <c r="B119" s="122"/>
      <c r="C119" s="122"/>
    </row>
    <row r="120" spans="2:3" ht="15" customHeight="1">
      <c r="B120" s="122"/>
      <c r="C120" s="122"/>
    </row>
    <row r="121" spans="2:3" ht="15" customHeight="1">
      <c r="B121" s="122"/>
      <c r="C121" s="122"/>
    </row>
    <row r="122" spans="2:3" ht="15" customHeight="1">
      <c r="B122" s="122"/>
      <c r="C122" s="122"/>
    </row>
    <row r="123" spans="2:3" ht="15" customHeight="1">
      <c r="B123" s="122"/>
      <c r="C123" s="122"/>
    </row>
    <row r="124" spans="2:3" ht="15" customHeight="1">
      <c r="B124" s="122"/>
      <c r="C124" s="122"/>
    </row>
    <row r="125" spans="2:3" ht="15" customHeight="1">
      <c r="B125" s="122"/>
      <c r="C125" s="122"/>
    </row>
    <row r="126" spans="2:3" ht="15" customHeight="1">
      <c r="B126" s="122"/>
      <c r="C126" s="122"/>
    </row>
    <row r="127" spans="2:3" ht="15" customHeight="1">
      <c r="B127" s="122"/>
      <c r="C127" s="122"/>
    </row>
    <row r="128" spans="2:3" ht="15" customHeight="1">
      <c r="B128" s="122"/>
      <c r="C128" s="122"/>
    </row>
    <row r="129" spans="2:3" ht="15" customHeight="1">
      <c r="B129" s="122"/>
      <c r="C129" s="122"/>
    </row>
    <row r="130" spans="2:3" ht="15" customHeight="1">
      <c r="B130" s="122"/>
      <c r="C130" s="122"/>
    </row>
    <row r="131" spans="2:3" ht="15" customHeight="1">
      <c r="B131" s="122"/>
      <c r="C131" s="122"/>
    </row>
    <row r="132" spans="2:3" ht="15" customHeight="1">
      <c r="B132" s="122"/>
      <c r="C132" s="122"/>
    </row>
    <row r="133" spans="2:3" ht="15" customHeight="1">
      <c r="B133" s="122"/>
      <c r="C133" s="122"/>
    </row>
    <row r="134" spans="2:3" ht="15" customHeight="1">
      <c r="B134" s="122"/>
      <c r="C134" s="122"/>
    </row>
    <row r="135" spans="2:3" ht="15" customHeight="1">
      <c r="B135" s="122"/>
      <c r="C135" s="122"/>
    </row>
    <row r="136" spans="2:3" ht="15" customHeight="1">
      <c r="B136" s="122"/>
      <c r="C136" s="122"/>
    </row>
    <row r="137" spans="2:3" ht="15" customHeight="1">
      <c r="B137" s="122"/>
      <c r="C137" s="122"/>
    </row>
    <row r="138" spans="2:3" ht="15" customHeight="1">
      <c r="B138" s="122"/>
      <c r="C138" s="122"/>
    </row>
    <row r="139" spans="2:3" ht="15" customHeight="1">
      <c r="B139" s="122"/>
      <c r="C139" s="122"/>
    </row>
    <row r="140" spans="2:3" ht="15" customHeight="1">
      <c r="B140" s="122"/>
      <c r="C140" s="122"/>
    </row>
    <row r="141" spans="2:3" ht="15" customHeight="1">
      <c r="B141" s="122"/>
      <c r="C141" s="122"/>
    </row>
    <row r="142" spans="2:3" ht="15" customHeight="1">
      <c r="B142" s="122"/>
      <c r="C142" s="122"/>
    </row>
    <row r="143" spans="2:3" ht="15" customHeight="1">
      <c r="B143" s="122"/>
      <c r="C143" s="122"/>
    </row>
    <row r="144" spans="2:3" ht="15" customHeight="1">
      <c r="B144" s="122"/>
      <c r="C144" s="122"/>
    </row>
    <row r="145" spans="2:3" ht="15" customHeight="1">
      <c r="B145" s="122"/>
      <c r="C145" s="122"/>
    </row>
    <row r="146" spans="2:3" ht="15" customHeight="1">
      <c r="B146" s="122"/>
      <c r="C146" s="122"/>
    </row>
    <row r="147" spans="2:3" ht="15" customHeight="1">
      <c r="B147" s="122"/>
      <c r="C147" s="122"/>
    </row>
    <row r="148" spans="2:3" ht="15" customHeight="1">
      <c r="B148" s="122"/>
      <c r="C148" s="122"/>
    </row>
    <row r="149" spans="2:3" ht="15" customHeight="1">
      <c r="B149" s="122"/>
      <c r="C149" s="122"/>
    </row>
    <row r="150" spans="2:3" ht="15" customHeight="1">
      <c r="B150" s="122"/>
      <c r="C150" s="122"/>
    </row>
    <row r="151" spans="2:3" ht="15" customHeight="1">
      <c r="B151" s="122"/>
      <c r="C151" s="122"/>
    </row>
    <row r="152" spans="2:3" ht="15" customHeight="1">
      <c r="B152" s="122"/>
      <c r="C152" s="122"/>
    </row>
    <row r="153" spans="2:3" ht="15" customHeight="1">
      <c r="B153" s="122"/>
      <c r="C153" s="122"/>
    </row>
    <row r="154" spans="2:3" ht="15" customHeight="1">
      <c r="B154" s="122"/>
      <c r="C154" s="122"/>
    </row>
    <row r="155" spans="2:3" ht="15" customHeight="1">
      <c r="B155" s="122"/>
      <c r="C155" s="122"/>
    </row>
    <row r="156" spans="2:3" ht="15" customHeight="1">
      <c r="B156" s="122"/>
      <c r="C156" s="122"/>
    </row>
  </sheetData>
  <mergeCells count="2">
    <mergeCell ref="A1:C1"/>
    <mergeCell ref="A2:C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C1">
      <selection activeCell="F6" sqref="F6"/>
    </sheetView>
  </sheetViews>
  <sheetFormatPr defaultColWidth="9.140625" defaultRowHeight="12.75"/>
  <cols>
    <col min="1" max="1" width="19.28125" style="0" customWidth="1"/>
    <col min="2" max="2" width="13.7109375" style="0" customWidth="1"/>
    <col min="3" max="3" width="16.8515625" style="0" customWidth="1"/>
    <col min="4" max="4" width="16.28125" style="0" customWidth="1"/>
    <col min="5" max="5" width="15.00390625" style="0" customWidth="1"/>
    <col min="6" max="6" width="16.140625" style="0" customWidth="1"/>
    <col min="7" max="7" width="15.8515625" style="0" customWidth="1"/>
    <col min="8" max="8" width="13.140625" style="129" customWidth="1"/>
  </cols>
  <sheetData>
    <row r="1" spans="1:7" ht="14.25">
      <c r="A1" s="128"/>
      <c r="B1" s="128"/>
      <c r="C1" s="128"/>
      <c r="D1" s="128"/>
      <c r="E1" s="128"/>
      <c r="F1" s="128"/>
      <c r="G1" s="128"/>
    </row>
    <row r="2" spans="1:7" ht="15.75">
      <c r="A2" s="664" t="s">
        <v>1384</v>
      </c>
      <c r="B2" s="664"/>
      <c r="C2" s="664"/>
      <c r="D2" s="664"/>
      <c r="E2" s="664"/>
      <c r="F2" s="664"/>
      <c r="G2" s="664"/>
    </row>
    <row r="3" spans="1:8" ht="12.75">
      <c r="A3" s="128"/>
      <c r="B3" s="128"/>
      <c r="C3" s="128"/>
      <c r="D3" s="128"/>
      <c r="E3" s="128"/>
      <c r="F3" s="128"/>
      <c r="G3" s="128"/>
      <c r="H3" s="374" t="s">
        <v>1659</v>
      </c>
    </row>
    <row r="4" spans="1:8" ht="14.25">
      <c r="A4" s="667" t="s">
        <v>1824</v>
      </c>
      <c r="B4" s="669" t="s">
        <v>1825</v>
      </c>
      <c r="C4" s="670"/>
      <c r="D4" s="670"/>
      <c r="E4" s="670" t="s">
        <v>1385</v>
      </c>
      <c r="F4" s="670"/>
      <c r="G4" s="670"/>
      <c r="H4" s="671"/>
    </row>
    <row r="5" spans="1:8" ht="41.25" customHeight="1">
      <c r="A5" s="668"/>
      <c r="B5" s="130" t="s">
        <v>1826</v>
      </c>
      <c r="C5" s="131" t="s">
        <v>1827</v>
      </c>
      <c r="D5" s="131" t="s">
        <v>1828</v>
      </c>
      <c r="E5" s="132" t="s">
        <v>1826</v>
      </c>
      <c r="F5" s="131" t="s">
        <v>1086</v>
      </c>
      <c r="G5" s="131" t="s">
        <v>1083</v>
      </c>
      <c r="H5" s="133" t="s">
        <v>1084</v>
      </c>
    </row>
    <row r="6" spans="1:8" ht="14.25">
      <c r="A6" s="136" t="s">
        <v>1829</v>
      </c>
      <c r="B6" s="137">
        <f aca="true" t="shared" si="0" ref="B6:B17">C6+D6</f>
        <v>55921220</v>
      </c>
      <c r="C6" s="39">
        <v>43340000</v>
      </c>
      <c r="D6" s="39">
        <v>12581220</v>
      </c>
      <c r="E6" s="137">
        <f>F6+G6+H6</f>
        <v>39122792</v>
      </c>
      <c r="F6" s="39">
        <v>31490000</v>
      </c>
      <c r="G6" s="39">
        <v>825974</v>
      </c>
      <c r="H6" s="39">
        <v>6806818</v>
      </c>
    </row>
    <row r="7" spans="1:8" ht="14.25">
      <c r="A7" s="136" t="s">
        <v>1830</v>
      </c>
      <c r="B7" s="137">
        <f t="shared" si="0"/>
        <v>64273725</v>
      </c>
      <c r="C7" s="39">
        <v>51650000</v>
      </c>
      <c r="D7" s="39">
        <v>12623725</v>
      </c>
      <c r="E7" s="137">
        <f aca="true" t="shared" si="1" ref="E7:E17">F7+G7+H7</f>
        <v>44523769</v>
      </c>
      <c r="F7" s="39">
        <v>34290000</v>
      </c>
      <c r="G7" s="39">
        <v>3406952</v>
      </c>
      <c r="H7" s="39">
        <v>6826817</v>
      </c>
    </row>
    <row r="8" spans="1:8" ht="14.25">
      <c r="A8" s="136" t="s">
        <v>1831</v>
      </c>
      <c r="B8" s="137">
        <f t="shared" si="0"/>
        <v>63856656</v>
      </c>
      <c r="C8" s="39">
        <v>50000000</v>
      </c>
      <c r="D8" s="39">
        <v>13856656</v>
      </c>
      <c r="E8" s="137">
        <f t="shared" si="1"/>
        <v>47121575</v>
      </c>
      <c r="F8" s="39">
        <v>35690000</v>
      </c>
      <c r="G8" s="39">
        <v>5521648</v>
      </c>
      <c r="H8" s="39">
        <v>5909927</v>
      </c>
    </row>
    <row r="9" spans="1:8" ht="14.25">
      <c r="A9" s="136" t="s">
        <v>1832</v>
      </c>
      <c r="B9" s="137">
        <f t="shared" si="0"/>
        <v>104921559</v>
      </c>
      <c r="C9" s="39">
        <v>71000000</v>
      </c>
      <c r="D9" s="39">
        <v>33921559</v>
      </c>
      <c r="E9" s="137">
        <f t="shared" si="1"/>
        <v>54167065</v>
      </c>
      <c r="F9" s="39">
        <v>44050000</v>
      </c>
      <c r="G9" s="39">
        <v>2748143</v>
      </c>
      <c r="H9" s="39">
        <v>7368922</v>
      </c>
    </row>
    <row r="10" spans="1:8" ht="14.25">
      <c r="A10" s="136" t="s">
        <v>1833</v>
      </c>
      <c r="B10" s="137">
        <f t="shared" si="0"/>
        <v>111331850</v>
      </c>
      <c r="C10" s="39">
        <v>77000000</v>
      </c>
      <c r="D10" s="39">
        <v>34331850</v>
      </c>
      <c r="E10" s="137">
        <f t="shared" si="1"/>
        <v>46705825</v>
      </c>
      <c r="F10" s="39">
        <v>37810000</v>
      </c>
      <c r="G10" s="39">
        <v>1844269</v>
      </c>
      <c r="H10" s="39">
        <v>7051556</v>
      </c>
    </row>
    <row r="11" spans="1:8" ht="14.25">
      <c r="A11" s="136" t="s">
        <v>1834</v>
      </c>
      <c r="B11" s="137">
        <f t="shared" si="0"/>
        <v>103749016</v>
      </c>
      <c r="C11" s="39">
        <v>71000000</v>
      </c>
      <c r="D11" s="39">
        <v>32749016</v>
      </c>
      <c r="E11" s="137">
        <f t="shared" si="1"/>
        <v>65592587</v>
      </c>
      <c r="F11" s="39">
        <v>56290000</v>
      </c>
      <c r="G11" s="39"/>
      <c r="H11" s="39">
        <v>9302587</v>
      </c>
    </row>
    <row r="12" spans="1:8" ht="14.25">
      <c r="A12" s="136" t="s">
        <v>1835</v>
      </c>
      <c r="B12" s="137">
        <f t="shared" si="0"/>
        <v>129103565</v>
      </c>
      <c r="C12" s="39">
        <f>96000000</f>
        <v>96000000</v>
      </c>
      <c r="D12" s="39">
        <v>33103565</v>
      </c>
      <c r="E12" s="137">
        <f t="shared" si="1"/>
        <v>57803009</v>
      </c>
      <c r="F12" s="39">
        <v>43160000</v>
      </c>
      <c r="G12" s="39"/>
      <c r="H12" s="39">
        <v>14643009</v>
      </c>
    </row>
    <row r="13" spans="1:8" ht="14.25">
      <c r="A13" s="136" t="s">
        <v>1836</v>
      </c>
      <c r="B13" s="137">
        <f t="shared" si="0"/>
        <v>112817199</v>
      </c>
      <c r="C13" s="39">
        <f>15950000+64000000</f>
        <v>79950000</v>
      </c>
      <c r="D13" s="39">
        <v>32867199</v>
      </c>
      <c r="E13" s="137">
        <f t="shared" si="1"/>
        <v>74590398</v>
      </c>
      <c r="F13" s="39">
        <v>52450000</v>
      </c>
      <c r="G13" s="39">
        <v>6838041</v>
      </c>
      <c r="H13" s="39">
        <v>15302357</v>
      </c>
    </row>
    <row r="14" spans="1:8" ht="14.25">
      <c r="A14" s="136" t="s">
        <v>1837</v>
      </c>
      <c r="B14" s="137">
        <f t="shared" si="0"/>
        <v>99963830</v>
      </c>
      <c r="C14" s="39">
        <v>64000000</v>
      </c>
      <c r="D14" s="39">
        <v>35963830</v>
      </c>
      <c r="E14" s="137">
        <f t="shared" si="1"/>
        <v>71829526</v>
      </c>
      <c r="F14" s="39">
        <v>51170000</v>
      </c>
      <c r="G14" s="39">
        <v>8964818</v>
      </c>
      <c r="H14" s="39">
        <v>11694708</v>
      </c>
    </row>
    <row r="15" spans="1:8" ht="14.25">
      <c r="A15" s="136" t="s">
        <v>1838</v>
      </c>
      <c r="B15" s="137">
        <f t="shared" si="0"/>
        <v>99023057</v>
      </c>
      <c r="C15" s="39">
        <f>20490000+34000000</f>
        <v>54490000</v>
      </c>
      <c r="D15" s="39">
        <v>44533057</v>
      </c>
      <c r="E15" s="137">
        <f t="shared" si="1"/>
        <v>50365453</v>
      </c>
      <c r="F15" s="39">
        <v>44600000</v>
      </c>
      <c r="G15" s="39">
        <v>2756353</v>
      </c>
      <c r="H15" s="39">
        <v>3009100</v>
      </c>
    </row>
    <row r="16" spans="1:8" ht="14.25">
      <c r="A16" s="136" t="s">
        <v>1839</v>
      </c>
      <c r="B16" s="137">
        <f t="shared" si="0"/>
        <v>101052487</v>
      </c>
      <c r="C16" s="39">
        <f>34850000+23000000</f>
        <v>57850000</v>
      </c>
      <c r="D16" s="39">
        <v>43202487</v>
      </c>
      <c r="E16" s="137">
        <f t="shared" si="1"/>
        <v>33082684</v>
      </c>
      <c r="F16" s="39">
        <v>28520000</v>
      </c>
      <c r="G16" s="39">
        <v>2357384</v>
      </c>
      <c r="H16" s="39">
        <v>2205300</v>
      </c>
    </row>
    <row r="17" spans="1:8" ht="14.25">
      <c r="A17" s="136" t="s">
        <v>1840</v>
      </c>
      <c r="B17" s="137">
        <f t="shared" si="0"/>
        <v>74650081</v>
      </c>
      <c r="C17" s="39">
        <f>17150000+13000000</f>
        <v>30150000</v>
      </c>
      <c r="D17" s="39">
        <v>44500081</v>
      </c>
      <c r="E17" s="137">
        <f t="shared" si="1"/>
        <v>19691250</v>
      </c>
      <c r="F17" s="39">
        <v>17370000</v>
      </c>
      <c r="G17" s="39">
        <v>1183250</v>
      </c>
      <c r="H17" s="39">
        <v>1138000</v>
      </c>
    </row>
    <row r="18" spans="1:8" s="135" customFormat="1" ht="45">
      <c r="A18" s="134" t="s">
        <v>1841</v>
      </c>
      <c r="B18" s="138">
        <f>B17</f>
        <v>74650081</v>
      </c>
      <c r="C18" s="139">
        <f aca="true" t="shared" si="2" ref="C18:H18">C17</f>
        <v>30150000</v>
      </c>
      <c r="D18" s="139">
        <f t="shared" si="2"/>
        <v>44500081</v>
      </c>
      <c r="E18" s="138">
        <f t="shared" si="2"/>
        <v>19691250</v>
      </c>
      <c r="F18" s="139">
        <f t="shared" si="2"/>
        <v>17370000</v>
      </c>
      <c r="G18" s="139">
        <f t="shared" si="2"/>
        <v>1183250</v>
      </c>
      <c r="H18" s="139">
        <f t="shared" si="2"/>
        <v>1138000</v>
      </c>
    </row>
    <row r="19" spans="1:7" ht="14.25">
      <c r="A19" s="128"/>
      <c r="B19" s="128"/>
      <c r="C19" s="128"/>
      <c r="D19" s="128"/>
      <c r="E19" s="128"/>
      <c r="F19" s="128"/>
      <c r="G19" s="128"/>
    </row>
    <row r="20" spans="1:7" ht="14.25">
      <c r="A20" s="128"/>
      <c r="B20" s="128"/>
      <c r="C20" s="128"/>
      <c r="D20" s="128"/>
      <c r="E20" s="128"/>
      <c r="F20" s="128"/>
      <c r="G20" s="128"/>
    </row>
    <row r="21" spans="1:7" ht="14.25">
      <c r="A21" s="128"/>
      <c r="B21" s="128"/>
      <c r="C21" s="128"/>
      <c r="D21" s="128"/>
      <c r="E21" s="128"/>
      <c r="F21" s="128"/>
      <c r="G21" s="128"/>
    </row>
    <row r="22" spans="1:7" ht="14.25">
      <c r="A22" s="128"/>
      <c r="B22" s="128"/>
      <c r="C22" s="128"/>
      <c r="D22" s="128"/>
      <c r="E22" s="128"/>
      <c r="F22" s="128"/>
      <c r="G22" s="128"/>
    </row>
    <row r="23" spans="1:7" ht="14.25">
      <c r="A23" s="128"/>
      <c r="B23" s="128"/>
      <c r="C23" s="128"/>
      <c r="D23" s="128"/>
      <c r="E23" s="128"/>
      <c r="F23" s="128"/>
      <c r="G23" s="128"/>
    </row>
    <row r="24" spans="1:7" ht="14.25">
      <c r="A24" s="128" t="s">
        <v>1435</v>
      </c>
      <c r="B24" s="128"/>
      <c r="C24" s="128"/>
      <c r="D24" s="128"/>
      <c r="E24" s="128"/>
      <c r="F24" s="128" t="s">
        <v>1842</v>
      </c>
      <c r="G24" s="128"/>
    </row>
  </sheetData>
  <mergeCells count="4">
    <mergeCell ref="A2:G2"/>
    <mergeCell ref="A4:A5"/>
    <mergeCell ref="B4:D4"/>
    <mergeCell ref="E4:H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33"/>
  <sheetViews>
    <sheetView workbookViewId="0" topLeftCell="A66">
      <selection activeCell="A75" sqref="A75"/>
    </sheetView>
  </sheetViews>
  <sheetFormatPr defaultColWidth="9.140625" defaultRowHeight="21" customHeight="1"/>
  <cols>
    <col min="1" max="1" width="39.57421875" style="0" customWidth="1"/>
    <col min="2" max="2" width="20.00390625" style="36" customWidth="1"/>
    <col min="3" max="3" width="18.140625" style="0" customWidth="1"/>
  </cols>
  <sheetData>
    <row r="1" spans="1:3" ht="21" customHeight="1">
      <c r="A1" s="673" t="s">
        <v>945</v>
      </c>
      <c r="B1" s="673"/>
      <c r="C1" s="673"/>
    </row>
    <row r="2" spans="1:3" ht="21" customHeight="1">
      <c r="A2" s="664" t="s">
        <v>946</v>
      </c>
      <c r="B2" s="664"/>
      <c r="C2" s="664"/>
    </row>
    <row r="3" spans="1:3" ht="21" customHeight="1">
      <c r="A3" s="666" t="s">
        <v>947</v>
      </c>
      <c r="B3" s="666"/>
      <c r="C3" s="666"/>
    </row>
    <row r="4" spans="1:3" ht="21" customHeight="1">
      <c r="A4" s="201"/>
      <c r="B4" s="201"/>
      <c r="C4" s="201"/>
    </row>
    <row r="5" spans="1:3" ht="33" customHeight="1">
      <c r="A5" s="335" t="s">
        <v>948</v>
      </c>
      <c r="B5" s="336" t="s">
        <v>949</v>
      </c>
      <c r="C5" s="336" t="s">
        <v>950</v>
      </c>
    </row>
    <row r="6" spans="1:3" ht="21" customHeight="1">
      <c r="A6" s="334"/>
      <c r="B6" s="2"/>
      <c r="C6" s="2"/>
    </row>
    <row r="7" spans="1:3" ht="21" customHeight="1">
      <c r="A7" s="1" t="s">
        <v>951</v>
      </c>
      <c r="B7" s="2"/>
      <c r="C7" s="2"/>
    </row>
    <row r="8" spans="1:3" ht="21" customHeight="1">
      <c r="A8" s="672" t="s">
        <v>952</v>
      </c>
      <c r="B8" s="672"/>
      <c r="C8" s="3"/>
    </row>
    <row r="9" spans="1:3" ht="21" customHeight="1">
      <c r="A9" s="4" t="s">
        <v>953</v>
      </c>
      <c r="B9" s="5">
        <f>B10+B11+B12+B13+B14</f>
        <v>1064795.260000005</v>
      </c>
      <c r="C9" s="6"/>
    </row>
    <row r="10" spans="1:3" s="9" customFormat="1" ht="18.75" customHeight="1">
      <c r="A10" s="7" t="s">
        <v>954</v>
      </c>
      <c r="B10" s="8">
        <v>-122866785.97</v>
      </c>
      <c r="C10" s="8"/>
    </row>
    <row r="11" spans="1:3" s="9" customFormat="1" ht="17.25" customHeight="1">
      <c r="A11" s="7" t="s">
        <v>955</v>
      </c>
      <c r="B11" s="8">
        <v>122906078.59</v>
      </c>
      <c r="C11" s="8"/>
    </row>
    <row r="12" spans="1:3" s="9" customFormat="1" ht="15.75" customHeight="1">
      <c r="A12" s="7" t="s">
        <v>956</v>
      </c>
      <c r="B12" s="8">
        <v>484000</v>
      </c>
      <c r="C12" s="8"/>
    </row>
    <row r="13" spans="1:3" s="9" customFormat="1" ht="27" customHeight="1">
      <c r="A13" s="7" t="s">
        <v>957</v>
      </c>
      <c r="B13" s="8">
        <v>3292.16</v>
      </c>
      <c r="C13" s="8"/>
    </row>
    <row r="14" spans="1:3" s="9" customFormat="1" ht="26.25" customHeight="1">
      <c r="A14" s="7" t="s">
        <v>958</v>
      </c>
      <c r="B14" s="8">
        <v>538210.48</v>
      </c>
      <c r="C14" s="8"/>
    </row>
    <row r="15" spans="1:3" s="9" customFormat="1" ht="26.25" customHeight="1">
      <c r="A15" s="7"/>
      <c r="B15" s="8"/>
      <c r="C15" s="8"/>
    </row>
    <row r="16" spans="1:3" ht="21" customHeight="1">
      <c r="A16" s="4" t="s">
        <v>959</v>
      </c>
      <c r="B16" s="5">
        <f>B17+B56+B59-1</f>
        <v>8655601.170000013</v>
      </c>
      <c r="C16" s="6"/>
    </row>
    <row r="17" spans="1:3" ht="15" customHeight="1">
      <c r="A17" s="4" t="s">
        <v>960</v>
      </c>
      <c r="B17" s="5">
        <f>B18+B26+B28+B32+B34</f>
        <v>7096572.410000013</v>
      </c>
      <c r="C17" s="6"/>
    </row>
    <row r="18" spans="1:3" ht="21" customHeight="1">
      <c r="A18" s="10" t="s">
        <v>961</v>
      </c>
      <c r="B18" s="11">
        <f>SUM(B19:B25)</f>
        <v>1007084.8600000002</v>
      </c>
      <c r="C18" s="11"/>
    </row>
    <row r="19" spans="1:3" ht="15" customHeight="1">
      <c r="A19" s="7" t="s">
        <v>962</v>
      </c>
      <c r="B19" s="8">
        <v>455481.45</v>
      </c>
      <c r="C19" s="12"/>
    </row>
    <row r="20" spans="1:3" ht="15" customHeight="1">
      <c r="A20" s="7" t="s">
        <v>963</v>
      </c>
      <c r="B20" s="8">
        <v>42966.58</v>
      </c>
      <c r="C20" s="12"/>
    </row>
    <row r="21" spans="1:3" ht="15" customHeight="1">
      <c r="A21" s="7" t="s">
        <v>964</v>
      </c>
      <c r="B21" s="8">
        <v>122669.41</v>
      </c>
      <c r="C21" s="12"/>
    </row>
    <row r="22" spans="1:3" ht="15" customHeight="1">
      <c r="A22" s="7" t="s">
        <v>965</v>
      </c>
      <c r="B22" s="8">
        <v>163477.67</v>
      </c>
      <c r="C22" s="12"/>
    </row>
    <row r="23" spans="1:3" ht="15" customHeight="1">
      <c r="A23" s="7" t="s">
        <v>966</v>
      </c>
      <c r="B23" s="8">
        <v>17554.15</v>
      </c>
      <c r="C23" s="12"/>
    </row>
    <row r="24" spans="1:3" ht="15" customHeight="1">
      <c r="A24" s="7" t="s">
        <v>967</v>
      </c>
      <c r="B24" s="8">
        <v>62800.18</v>
      </c>
      <c r="C24" s="12"/>
    </row>
    <row r="25" spans="1:3" ht="15" customHeight="1">
      <c r="A25" s="7" t="s">
        <v>968</v>
      </c>
      <c r="B25" s="8">
        <v>142135.42</v>
      </c>
      <c r="C25" s="12"/>
    </row>
    <row r="26" spans="1:3" ht="12.75">
      <c r="A26" s="10" t="s">
        <v>969</v>
      </c>
      <c r="B26" s="11">
        <f>B27</f>
        <v>108307.18</v>
      </c>
      <c r="C26" s="5"/>
    </row>
    <row r="27" spans="1:3" ht="15" customHeight="1">
      <c r="A27" s="7" t="s">
        <v>970</v>
      </c>
      <c r="B27" s="8">
        <v>108307.18</v>
      </c>
      <c r="C27" s="12"/>
    </row>
    <row r="28" spans="1:3" ht="21" customHeight="1">
      <c r="A28" s="10" t="s">
        <v>971</v>
      </c>
      <c r="B28" s="11">
        <f>B30+B31+B29</f>
        <v>221888.13</v>
      </c>
      <c r="C28" s="5"/>
    </row>
    <row r="29" spans="1:3" s="9" customFormat="1" ht="17.25" customHeight="1">
      <c r="A29" s="7" t="s">
        <v>972</v>
      </c>
      <c r="B29" s="8">
        <v>5983</v>
      </c>
      <c r="C29" s="8"/>
    </row>
    <row r="30" spans="1:3" ht="15.75" customHeight="1">
      <c r="A30" s="7" t="s">
        <v>973</v>
      </c>
      <c r="B30" s="8">
        <v>122109.4</v>
      </c>
      <c r="C30" s="12"/>
    </row>
    <row r="31" spans="1:3" ht="18" customHeight="1">
      <c r="A31" s="7" t="s">
        <v>974</v>
      </c>
      <c r="B31" s="8">
        <v>93795.73</v>
      </c>
      <c r="C31" s="12"/>
    </row>
    <row r="32" spans="1:3" ht="21" customHeight="1">
      <c r="A32" s="10" t="s">
        <v>975</v>
      </c>
      <c r="B32" s="11">
        <f>B33</f>
        <v>1203094.89</v>
      </c>
      <c r="C32" s="5"/>
    </row>
    <row r="33" spans="1:3" ht="21" customHeight="1">
      <c r="A33" s="7" t="s">
        <v>976</v>
      </c>
      <c r="B33" s="8">
        <v>1203094.89</v>
      </c>
      <c r="C33" s="12"/>
    </row>
    <row r="34" spans="1:3" ht="21" customHeight="1">
      <c r="A34" s="10" t="s">
        <v>977</v>
      </c>
      <c r="B34" s="11">
        <f>SUM(B35:B54)</f>
        <v>4556197.350000013</v>
      </c>
      <c r="C34" s="5"/>
    </row>
    <row r="35" spans="1:3" ht="15" customHeight="1">
      <c r="A35" s="7" t="s">
        <v>978</v>
      </c>
      <c r="B35" s="8">
        <v>287257.76</v>
      </c>
      <c r="C35" s="12"/>
    </row>
    <row r="36" spans="1:3" ht="15" customHeight="1">
      <c r="A36" s="7" t="s">
        <v>979</v>
      </c>
      <c r="B36" s="8">
        <v>3474298.02</v>
      </c>
      <c r="C36" s="12"/>
    </row>
    <row r="37" spans="1:3" ht="15" customHeight="1">
      <c r="A37" s="7" t="s">
        <v>980</v>
      </c>
      <c r="B37" s="8">
        <v>8598.25</v>
      </c>
      <c r="C37" s="13"/>
    </row>
    <row r="38" spans="1:3" ht="15" customHeight="1">
      <c r="A38" s="7" t="s">
        <v>981</v>
      </c>
      <c r="B38" s="8">
        <v>32729.44999999972</v>
      </c>
      <c r="C38" s="13"/>
    </row>
    <row r="39" spans="1:3" ht="15" customHeight="1">
      <c r="A39" s="7" t="s">
        <v>982</v>
      </c>
      <c r="B39" s="8">
        <v>55361.4800000079</v>
      </c>
      <c r="C39" s="13"/>
    </row>
    <row r="40" spans="1:3" ht="15" customHeight="1">
      <c r="A40" s="7" t="s">
        <v>983</v>
      </c>
      <c r="B40" s="8">
        <v>95054.08000000194</v>
      </c>
      <c r="C40" s="13"/>
    </row>
    <row r="41" spans="1:3" ht="15" customHeight="1">
      <c r="A41" s="7" t="s">
        <v>984</v>
      </c>
      <c r="B41" s="8">
        <v>13415.250000001863</v>
      </c>
      <c r="C41" s="13"/>
    </row>
    <row r="42" spans="1:3" ht="15" customHeight="1">
      <c r="A42" s="7" t="s">
        <v>985</v>
      </c>
      <c r="B42" s="8">
        <v>36033.650000001304</v>
      </c>
      <c r="C42" s="13"/>
    </row>
    <row r="43" spans="1:3" ht="15" customHeight="1">
      <c r="A43" s="7" t="s">
        <v>986</v>
      </c>
      <c r="B43" s="8">
        <v>49005.479999998584</v>
      </c>
      <c r="C43" s="13"/>
    </row>
    <row r="44" spans="1:3" ht="15" customHeight="1">
      <c r="A44" s="7" t="s">
        <v>987</v>
      </c>
      <c r="B44" s="8">
        <v>38149.82999999914</v>
      </c>
      <c r="C44" s="13"/>
    </row>
    <row r="45" spans="1:3" ht="15" customHeight="1">
      <c r="A45" s="7" t="s">
        <v>988</v>
      </c>
      <c r="B45" s="8">
        <v>16488.389999999665</v>
      </c>
      <c r="C45" s="13"/>
    </row>
    <row r="46" spans="1:3" ht="15" customHeight="1">
      <c r="A46" s="7" t="s">
        <v>989</v>
      </c>
      <c r="B46" s="8">
        <v>30342.799999999814</v>
      </c>
      <c r="C46" s="13"/>
    </row>
    <row r="47" spans="1:3" ht="15" customHeight="1">
      <c r="A47" s="7" t="s">
        <v>990</v>
      </c>
      <c r="B47" s="8">
        <v>71107.09999999404</v>
      </c>
      <c r="C47" s="13"/>
    </row>
    <row r="48" spans="1:3" ht="15" customHeight="1">
      <c r="A48" s="7" t="s">
        <v>991</v>
      </c>
      <c r="B48" s="8">
        <v>27416.250000001863</v>
      </c>
      <c r="C48" s="13"/>
    </row>
    <row r="49" spans="1:3" ht="15" customHeight="1">
      <c r="A49" s="7" t="s">
        <v>992</v>
      </c>
      <c r="B49" s="8">
        <v>39287.70999999903</v>
      </c>
      <c r="C49" s="13"/>
    </row>
    <row r="50" spans="1:3" ht="15" customHeight="1">
      <c r="A50" s="7" t="s">
        <v>993</v>
      </c>
      <c r="B50" s="8">
        <v>35769.83999999985</v>
      </c>
      <c r="C50" s="13"/>
    </row>
    <row r="51" spans="1:3" ht="15" customHeight="1">
      <c r="A51" s="7" t="s">
        <v>994</v>
      </c>
      <c r="B51" s="8">
        <v>39607.77000000421</v>
      </c>
      <c r="C51" s="13"/>
    </row>
    <row r="52" spans="1:3" ht="15" customHeight="1">
      <c r="A52" s="7" t="s">
        <v>995</v>
      </c>
      <c r="B52" s="8">
        <v>45328.85000000149</v>
      </c>
      <c r="C52" s="13"/>
    </row>
    <row r="53" spans="1:3" ht="15" customHeight="1">
      <c r="A53" s="7" t="s">
        <v>996</v>
      </c>
      <c r="B53" s="8">
        <v>55872.109999999404</v>
      </c>
      <c r="C53" s="13"/>
    </row>
    <row r="54" spans="1:3" ht="15" customHeight="1">
      <c r="A54" s="7" t="s">
        <v>997</v>
      </c>
      <c r="B54" s="8">
        <v>105073.28000000212</v>
      </c>
      <c r="C54" s="13"/>
    </row>
    <row r="55" spans="1:3" ht="15" customHeight="1">
      <c r="A55" s="14"/>
      <c r="B55" s="6"/>
      <c r="C55" s="15"/>
    </row>
    <row r="56" spans="1:3" ht="27.75" customHeight="1">
      <c r="A56" s="4" t="s">
        <v>998</v>
      </c>
      <c r="B56" s="5">
        <f>B57</f>
        <v>9182.31</v>
      </c>
      <c r="C56" s="6"/>
    </row>
    <row r="57" spans="1:3" ht="21" customHeight="1">
      <c r="A57" s="7" t="s">
        <v>999</v>
      </c>
      <c r="B57" s="8">
        <v>9182.31</v>
      </c>
      <c r="C57" s="12"/>
    </row>
    <row r="58" spans="1:3" ht="10.5" customHeight="1" hidden="1">
      <c r="A58" s="7"/>
      <c r="B58" s="8"/>
      <c r="C58" s="12"/>
    </row>
    <row r="59" spans="1:3" ht="29.25" customHeight="1">
      <c r="A59" s="4" t="s">
        <v>1000</v>
      </c>
      <c r="B59" s="5">
        <f>B60+B61</f>
        <v>1549847.45</v>
      </c>
      <c r="C59" s="6"/>
    </row>
    <row r="60" spans="1:3" ht="28.5" customHeight="1">
      <c r="A60" s="7" t="s">
        <v>686</v>
      </c>
      <c r="B60" s="8">
        <v>291510.96</v>
      </c>
      <c r="C60" s="12"/>
    </row>
    <row r="61" spans="1:3" ht="28.5" customHeight="1">
      <c r="A61" s="7" t="s">
        <v>687</v>
      </c>
      <c r="B61" s="8">
        <v>1258336.49</v>
      </c>
      <c r="C61" s="12"/>
    </row>
    <row r="62" spans="1:3" ht="13.5" customHeight="1">
      <c r="A62" s="16"/>
      <c r="B62" s="12"/>
      <c r="C62" s="12"/>
    </row>
    <row r="63" spans="1:3" ht="21" customHeight="1">
      <c r="A63" s="672" t="s">
        <v>1001</v>
      </c>
      <c r="B63" s="672"/>
      <c r="C63" s="17"/>
    </row>
    <row r="64" spans="1:3" ht="21" customHeight="1">
      <c r="A64" s="4" t="s">
        <v>953</v>
      </c>
      <c r="B64" s="5">
        <f>B65+B71+B77+B84</f>
        <v>6514948.0200000005</v>
      </c>
      <c r="C64" s="6"/>
    </row>
    <row r="65" spans="1:3" ht="21" customHeight="1">
      <c r="A65" s="18" t="s">
        <v>1002</v>
      </c>
      <c r="B65" s="19">
        <f>SUM(B66:B69)</f>
        <v>2839799.02</v>
      </c>
      <c r="C65" s="6"/>
    </row>
    <row r="66" spans="1:3" ht="15" customHeight="1">
      <c r="A66" s="7" t="s">
        <v>1003</v>
      </c>
      <c r="B66" s="8">
        <v>45983.21</v>
      </c>
      <c r="C66" s="8">
        <v>80814.08</v>
      </c>
    </row>
    <row r="67" spans="1:3" ht="15" customHeight="1">
      <c r="A67" s="7" t="s">
        <v>1004</v>
      </c>
      <c r="B67" s="8">
        <v>2151924.45</v>
      </c>
      <c r="C67" s="8">
        <v>3781941.03</v>
      </c>
    </row>
    <row r="68" spans="1:3" ht="15" customHeight="1">
      <c r="A68" s="7" t="s">
        <v>1005</v>
      </c>
      <c r="B68" s="8">
        <v>625783.94</v>
      </c>
      <c r="C68" s="8">
        <v>1099796.03</v>
      </c>
    </row>
    <row r="69" spans="1:3" ht="15" customHeight="1">
      <c r="A69" s="7" t="s">
        <v>1006</v>
      </c>
      <c r="B69" s="8">
        <v>16107.42</v>
      </c>
      <c r="C69" s="8">
        <v>28308.3</v>
      </c>
    </row>
    <row r="70" spans="1:3" ht="12" customHeight="1">
      <c r="A70" s="7"/>
      <c r="B70" s="8"/>
      <c r="C70" s="8"/>
    </row>
    <row r="71" spans="1:3" s="20" customFormat="1" ht="24" customHeight="1">
      <c r="A71" s="18" t="s">
        <v>1007</v>
      </c>
      <c r="B71" s="19">
        <f>SUM(B72:B74)</f>
        <v>16987.54</v>
      </c>
      <c r="C71" s="6"/>
    </row>
    <row r="72" spans="1:3" ht="24.75" customHeight="1">
      <c r="A72" s="7" t="s">
        <v>1008</v>
      </c>
      <c r="B72" s="8">
        <v>5070.07</v>
      </c>
      <c r="C72" s="8">
        <v>8910.49</v>
      </c>
    </row>
    <row r="73" spans="1:3" ht="24.75" customHeight="1">
      <c r="A73" s="7" t="s">
        <v>1009</v>
      </c>
      <c r="B73" s="8">
        <v>11886.75</v>
      </c>
      <c r="C73" s="8">
        <v>34961.02</v>
      </c>
    </row>
    <row r="74" spans="1:3" ht="24.75" customHeight="1">
      <c r="A74" s="7" t="s">
        <v>1010</v>
      </c>
      <c r="B74" s="8">
        <v>30.72</v>
      </c>
      <c r="C74" s="8">
        <v>53.99</v>
      </c>
    </row>
    <row r="75" spans="1:3" ht="24.75" customHeight="1">
      <c r="A75" s="7"/>
      <c r="B75" s="8"/>
      <c r="C75" s="8"/>
    </row>
    <row r="76" spans="1:3" ht="21" customHeight="1">
      <c r="A76" s="7"/>
      <c r="B76" s="8"/>
      <c r="C76" s="8"/>
    </row>
    <row r="77" spans="1:3" ht="21" customHeight="1">
      <c r="A77" s="21" t="s">
        <v>1011</v>
      </c>
      <c r="B77" s="22">
        <f>SUM(B78:B82)</f>
        <v>1730142.58</v>
      </c>
      <c r="C77" s="8"/>
    </row>
    <row r="78" spans="1:3" ht="15" customHeight="1">
      <c r="A78" s="7" t="s">
        <v>1012</v>
      </c>
      <c r="B78" s="8">
        <v>98115.66</v>
      </c>
      <c r="C78" s="8">
        <v>288575.47</v>
      </c>
    </row>
    <row r="79" spans="1:3" ht="15" customHeight="1">
      <c r="A79" s="7" t="s">
        <v>1013</v>
      </c>
      <c r="B79" s="8">
        <v>64976.55</v>
      </c>
      <c r="C79" s="8">
        <v>114194.29</v>
      </c>
    </row>
    <row r="80" spans="1:3" ht="15" customHeight="1">
      <c r="A80" s="7" t="s">
        <v>1014</v>
      </c>
      <c r="B80" s="8">
        <v>135126.39</v>
      </c>
      <c r="C80" s="8">
        <v>237480.48</v>
      </c>
    </row>
    <row r="81" spans="1:3" ht="15" customHeight="1">
      <c r="A81" s="7" t="s">
        <v>1015</v>
      </c>
      <c r="B81" s="8">
        <v>1059900.25</v>
      </c>
      <c r="C81" s="8">
        <v>1862742.1</v>
      </c>
    </row>
    <row r="82" spans="1:3" ht="15" customHeight="1">
      <c r="A82" s="7" t="s">
        <v>1016</v>
      </c>
      <c r="B82" s="8">
        <v>372023.73</v>
      </c>
      <c r="C82" s="8">
        <v>1094187.45</v>
      </c>
    </row>
    <row r="83" spans="1:3" ht="9" customHeight="1">
      <c r="A83" s="7"/>
      <c r="B83" s="8"/>
      <c r="C83" s="8"/>
    </row>
    <row r="84" spans="1:3" ht="28.5" customHeight="1">
      <c r="A84" s="21" t="s">
        <v>1017</v>
      </c>
      <c r="B84" s="22">
        <f>SUM(B85:B87)</f>
        <v>1928018.88</v>
      </c>
      <c r="C84" s="8"/>
    </row>
    <row r="85" spans="1:3" ht="15" customHeight="1">
      <c r="A85" s="7" t="s">
        <v>1018</v>
      </c>
      <c r="B85" s="8">
        <v>385288.06</v>
      </c>
      <c r="C85" s="8">
        <v>677131.92</v>
      </c>
    </row>
    <row r="86" spans="1:3" ht="15" customHeight="1">
      <c r="A86" s="7" t="s">
        <v>1019</v>
      </c>
      <c r="B86" s="8">
        <v>48158.4</v>
      </c>
      <c r="C86" s="8">
        <v>141642.35</v>
      </c>
    </row>
    <row r="87" spans="1:3" ht="15" customHeight="1">
      <c r="A87" s="7" t="s">
        <v>1020</v>
      </c>
      <c r="B87" s="8">
        <v>1494572.42</v>
      </c>
      <c r="C87" s="8">
        <v>2626665.06</v>
      </c>
    </row>
    <row r="88" spans="1:3" ht="21" customHeight="1">
      <c r="A88" s="7"/>
      <c r="B88" s="8"/>
      <c r="C88" s="8"/>
    </row>
    <row r="89" spans="1:3" ht="21" customHeight="1">
      <c r="A89" s="4" t="s">
        <v>1021</v>
      </c>
      <c r="B89" s="5">
        <f>B90+B95+B122+B125+B132+B135</f>
        <v>3701065.2399999998</v>
      </c>
      <c r="C89" s="6"/>
    </row>
    <row r="90" spans="1:3" ht="21" customHeight="1">
      <c r="A90" s="10" t="s">
        <v>1022</v>
      </c>
      <c r="B90" s="11">
        <f>SUM(B91:B94)</f>
        <v>205995.15000000002</v>
      </c>
      <c r="C90" s="5"/>
    </row>
    <row r="91" spans="1:3" ht="15" customHeight="1">
      <c r="A91" s="7" t="s">
        <v>1023</v>
      </c>
      <c r="B91" s="8">
        <v>0.02</v>
      </c>
      <c r="C91" s="8">
        <v>0.75</v>
      </c>
    </row>
    <row r="92" spans="1:3" ht="15" customHeight="1">
      <c r="A92" s="7" t="s">
        <v>1024</v>
      </c>
      <c r="B92" s="8">
        <v>364.54</v>
      </c>
      <c r="C92" s="8">
        <v>803.49</v>
      </c>
    </row>
    <row r="93" spans="1:3" ht="15" customHeight="1">
      <c r="A93" s="7" t="s">
        <v>1025</v>
      </c>
      <c r="B93" s="8">
        <v>154252.45</v>
      </c>
      <c r="C93" s="8">
        <v>271093.94</v>
      </c>
    </row>
    <row r="94" spans="1:3" ht="15" customHeight="1">
      <c r="A94" s="7" t="s">
        <v>1026</v>
      </c>
      <c r="B94" s="8">
        <v>51378.14</v>
      </c>
      <c r="C94" s="8">
        <v>10400434</v>
      </c>
    </row>
    <row r="95" spans="1:3" ht="21" customHeight="1">
      <c r="A95" s="10" t="s">
        <v>1027</v>
      </c>
      <c r="B95" s="11">
        <f>SUM(B96:B121)</f>
        <v>2127001.3699999996</v>
      </c>
      <c r="C95" s="5"/>
    </row>
    <row r="96" spans="1:3" ht="15" customHeight="1">
      <c r="A96" s="7" t="s">
        <v>1028</v>
      </c>
      <c r="B96" s="8">
        <v>1773610.47</v>
      </c>
      <c r="C96" s="8">
        <v>3117065.85</v>
      </c>
    </row>
    <row r="97" spans="1:3" ht="15" customHeight="1">
      <c r="A97" s="7" t="s">
        <v>1029</v>
      </c>
      <c r="B97" s="8">
        <v>38170.67</v>
      </c>
      <c r="C97" s="8">
        <v>112266.67</v>
      </c>
    </row>
    <row r="98" spans="1:3" ht="15" customHeight="1">
      <c r="A98" s="7" t="s">
        <v>1030</v>
      </c>
      <c r="B98" s="8">
        <v>546.77</v>
      </c>
      <c r="C98" s="8">
        <v>11296.91</v>
      </c>
    </row>
    <row r="99" spans="1:3" ht="15" customHeight="1">
      <c r="A99" s="7" t="s">
        <v>1031</v>
      </c>
      <c r="B99" s="8">
        <v>414.58</v>
      </c>
      <c r="C99" s="8">
        <v>25126.13</v>
      </c>
    </row>
    <row r="100" spans="1:3" ht="15" customHeight="1">
      <c r="A100" s="7" t="s">
        <v>1032</v>
      </c>
      <c r="B100" s="8">
        <v>1432.69</v>
      </c>
      <c r="C100" s="8">
        <v>3903.79</v>
      </c>
    </row>
    <row r="101" spans="1:3" ht="15" customHeight="1">
      <c r="A101" s="7" t="s">
        <v>1033</v>
      </c>
      <c r="B101" s="8">
        <v>982.57</v>
      </c>
      <c r="C101" s="8">
        <v>2356.29</v>
      </c>
    </row>
    <row r="102" spans="1:3" ht="15" customHeight="1">
      <c r="A102" s="7" t="s">
        <v>1034</v>
      </c>
      <c r="B102" s="8">
        <v>3566.14</v>
      </c>
      <c r="C102" s="8">
        <v>39889.76</v>
      </c>
    </row>
    <row r="103" spans="1:3" ht="15" customHeight="1">
      <c r="A103" s="7" t="s">
        <v>1035</v>
      </c>
      <c r="B103" s="8">
        <v>73436</v>
      </c>
      <c r="C103" s="8">
        <v>109769.8</v>
      </c>
    </row>
    <row r="104" spans="1:3" ht="15" customHeight="1">
      <c r="A104" s="7" t="s">
        <v>1036</v>
      </c>
      <c r="B104" s="8">
        <v>395.74</v>
      </c>
      <c r="C104" s="8">
        <v>3533.38</v>
      </c>
    </row>
    <row r="105" spans="1:3" ht="15" customHeight="1">
      <c r="A105" s="7" t="s">
        <v>1037</v>
      </c>
      <c r="B105" s="8">
        <v>36029.59</v>
      </c>
      <c r="C105" s="8">
        <v>356728.59</v>
      </c>
    </row>
    <row r="106" spans="1:3" ht="15" customHeight="1">
      <c r="A106" s="7" t="s">
        <v>1038</v>
      </c>
      <c r="B106" s="8">
        <v>557.79</v>
      </c>
      <c r="C106" s="8">
        <v>585.3</v>
      </c>
    </row>
    <row r="107" spans="1:3" ht="15" customHeight="1">
      <c r="A107" s="7" t="s">
        <v>1039</v>
      </c>
      <c r="B107" s="8">
        <v>324.12</v>
      </c>
      <c r="C107" s="8">
        <v>1073.25</v>
      </c>
    </row>
    <row r="108" spans="1:3" ht="15" customHeight="1">
      <c r="A108" s="7" t="s">
        <v>1040</v>
      </c>
      <c r="B108" s="8">
        <v>11.67</v>
      </c>
      <c r="C108" s="8">
        <v>275.86</v>
      </c>
    </row>
    <row r="109" spans="1:3" ht="15" customHeight="1">
      <c r="A109" s="7" t="s">
        <v>1041</v>
      </c>
      <c r="B109" s="8">
        <v>257.38</v>
      </c>
      <c r="C109" s="8">
        <v>3661.2</v>
      </c>
    </row>
    <row r="110" spans="1:3" ht="15" customHeight="1">
      <c r="A110" s="7" t="s">
        <v>1042</v>
      </c>
      <c r="B110" s="8">
        <v>27315.74</v>
      </c>
      <c r="C110" s="8">
        <v>48006.58</v>
      </c>
    </row>
    <row r="111" spans="1:3" ht="15" customHeight="1">
      <c r="A111" s="7" t="s">
        <v>1043</v>
      </c>
      <c r="B111" s="8">
        <v>308.2</v>
      </c>
      <c r="C111" s="8">
        <v>541.65</v>
      </c>
    </row>
    <row r="112" spans="1:3" ht="15" customHeight="1">
      <c r="A112" s="7" t="s">
        <v>1044</v>
      </c>
      <c r="B112" s="8">
        <v>900.63</v>
      </c>
      <c r="C112" s="8">
        <v>1582.83</v>
      </c>
    </row>
    <row r="113" spans="1:3" ht="15" customHeight="1">
      <c r="A113" s="7" t="s">
        <v>1045</v>
      </c>
      <c r="B113" s="8">
        <v>42675</v>
      </c>
      <c r="C113" s="8">
        <v>75000</v>
      </c>
    </row>
    <row r="114" spans="1:3" ht="15" customHeight="1">
      <c r="A114" s="7" t="s">
        <v>1046</v>
      </c>
      <c r="B114" s="8">
        <v>40.48</v>
      </c>
      <c r="C114" s="8">
        <v>117686.05</v>
      </c>
    </row>
    <row r="115" spans="1:3" ht="15" customHeight="1">
      <c r="A115" s="7" t="s">
        <v>1047</v>
      </c>
      <c r="B115" s="8">
        <v>5983.19</v>
      </c>
      <c r="C115" s="8"/>
    </row>
    <row r="116" spans="1:3" ht="15" customHeight="1">
      <c r="A116" s="7" t="s">
        <v>1048</v>
      </c>
      <c r="B116" s="8">
        <v>1107.66</v>
      </c>
      <c r="C116" s="8">
        <v>1655.7</v>
      </c>
    </row>
    <row r="117" spans="1:3" ht="15" customHeight="1">
      <c r="A117" s="7" t="s">
        <v>1049</v>
      </c>
      <c r="B117" s="8">
        <v>58039.2</v>
      </c>
      <c r="C117" s="8">
        <v>86755.15</v>
      </c>
    </row>
    <row r="118" spans="1:3" ht="15" customHeight="1">
      <c r="A118" s="7" t="s">
        <v>1050</v>
      </c>
      <c r="B118" s="8">
        <v>60631.57</v>
      </c>
      <c r="C118" s="8">
        <v>90630.15</v>
      </c>
    </row>
    <row r="119" spans="1:3" ht="15" customHeight="1">
      <c r="A119" s="7" t="s">
        <v>1051</v>
      </c>
      <c r="B119" s="8">
        <v>9.23</v>
      </c>
      <c r="C119" s="8">
        <v>13.79</v>
      </c>
    </row>
    <row r="120" spans="1:3" ht="15" customHeight="1">
      <c r="A120" s="7" t="s">
        <v>1052</v>
      </c>
      <c r="B120" s="8">
        <v>53.34</v>
      </c>
      <c r="C120" s="8">
        <v>79.73</v>
      </c>
    </row>
    <row r="121" spans="1:3" ht="15" customHeight="1">
      <c r="A121" s="7" t="s">
        <v>1053</v>
      </c>
      <c r="B121" s="8">
        <v>200.95</v>
      </c>
      <c r="C121" s="8">
        <v>300.38</v>
      </c>
    </row>
    <row r="122" spans="1:3" ht="21" customHeight="1">
      <c r="A122" s="10" t="s">
        <v>977</v>
      </c>
      <c r="B122" s="11">
        <f>B123+B124</f>
        <v>126.32000000000001</v>
      </c>
      <c r="C122" s="5"/>
    </row>
    <row r="123" spans="1:3" ht="15" customHeight="1">
      <c r="A123" s="7" t="s">
        <v>1054</v>
      </c>
      <c r="B123" s="8">
        <v>100.79</v>
      </c>
      <c r="C123" s="8">
        <v>177.13</v>
      </c>
    </row>
    <row r="124" spans="1:3" ht="15" customHeight="1">
      <c r="A124" s="7" t="s">
        <v>1055</v>
      </c>
      <c r="B124" s="8">
        <v>25.53</v>
      </c>
      <c r="C124" s="8">
        <v>44.86</v>
      </c>
    </row>
    <row r="125" spans="1:3" ht="21" customHeight="1">
      <c r="A125" s="10" t="s">
        <v>1056</v>
      </c>
      <c r="B125" s="11">
        <f>SUM(B126:B131)</f>
        <v>314194</v>
      </c>
      <c r="C125" s="5"/>
    </row>
    <row r="126" spans="1:3" ht="15" customHeight="1">
      <c r="A126" s="7" t="s">
        <v>1057</v>
      </c>
      <c r="B126" s="8">
        <v>8456.09</v>
      </c>
      <c r="C126" s="8">
        <v>14332.35</v>
      </c>
    </row>
    <row r="127" spans="1:3" ht="15" customHeight="1">
      <c r="A127" s="7" t="s">
        <v>1058</v>
      </c>
      <c r="B127" s="8">
        <v>156092.52</v>
      </c>
      <c r="C127" s="8">
        <v>264563.6</v>
      </c>
    </row>
    <row r="128" spans="1:3" ht="15" customHeight="1">
      <c r="A128" s="7" t="s">
        <v>1059</v>
      </c>
      <c r="B128" s="8">
        <v>3255.4</v>
      </c>
      <c r="C128" s="8">
        <v>5721.27</v>
      </c>
    </row>
    <row r="129" spans="1:3" ht="15" customHeight="1">
      <c r="A129" s="7" t="s">
        <v>1060</v>
      </c>
      <c r="B129" s="8">
        <v>132292.5</v>
      </c>
      <c r="C129" s="8">
        <v>232500</v>
      </c>
    </row>
    <row r="130" spans="1:3" ht="15" customHeight="1">
      <c r="A130" s="7" t="s">
        <v>1061</v>
      </c>
      <c r="B130" s="8">
        <v>12879.27</v>
      </c>
      <c r="C130" s="8">
        <v>37880.22</v>
      </c>
    </row>
    <row r="131" spans="1:3" ht="15" customHeight="1">
      <c r="A131" s="7" t="s">
        <v>1062</v>
      </c>
      <c r="B131" s="8">
        <v>1218.22</v>
      </c>
      <c r="C131" s="8">
        <v>3582.99</v>
      </c>
    </row>
    <row r="132" spans="1:3" ht="21" customHeight="1">
      <c r="A132" s="10" t="s">
        <v>1063</v>
      </c>
      <c r="B132" s="11">
        <f>SUM(B133:B134)</f>
        <v>682283.3400000001</v>
      </c>
      <c r="C132" s="5"/>
    </row>
    <row r="133" spans="1:3" ht="15" customHeight="1">
      <c r="A133" s="7" t="s">
        <v>1064</v>
      </c>
      <c r="B133" s="8">
        <v>50573.92</v>
      </c>
      <c r="C133" s="8">
        <v>85718.51</v>
      </c>
    </row>
    <row r="134" spans="1:3" ht="15" customHeight="1">
      <c r="A134" s="7" t="s">
        <v>1088</v>
      </c>
      <c r="B134" s="8">
        <v>631709.42</v>
      </c>
      <c r="C134" s="8">
        <v>1110209.87</v>
      </c>
    </row>
    <row r="135" spans="1:3" ht="21" customHeight="1">
      <c r="A135" s="10" t="s">
        <v>1089</v>
      </c>
      <c r="B135" s="11">
        <f>SUM(B136:B144)</f>
        <v>371465.06</v>
      </c>
      <c r="C135" s="5"/>
    </row>
    <row r="136" spans="1:3" ht="15" customHeight="1">
      <c r="A136" s="7" t="s">
        <v>1090</v>
      </c>
      <c r="B136" s="8">
        <v>12430.31</v>
      </c>
      <c r="C136" s="8">
        <v>21845.88</v>
      </c>
    </row>
    <row r="137" spans="1:3" ht="15" customHeight="1">
      <c r="A137" s="7" t="s">
        <v>1091</v>
      </c>
      <c r="B137" s="8">
        <v>27558.63</v>
      </c>
      <c r="C137" s="8">
        <v>48433.44</v>
      </c>
    </row>
    <row r="138" spans="1:3" ht="15" customHeight="1">
      <c r="A138" s="7" t="s">
        <v>1092</v>
      </c>
      <c r="B138" s="8">
        <v>167932.27</v>
      </c>
      <c r="C138" s="8">
        <v>295135.8</v>
      </c>
    </row>
    <row r="139" spans="1:3" ht="15" customHeight="1">
      <c r="A139" s="7" t="s">
        <v>1093</v>
      </c>
      <c r="B139" s="8">
        <v>27535.73</v>
      </c>
      <c r="C139" s="8">
        <v>48393.19</v>
      </c>
    </row>
    <row r="140" spans="1:3" ht="15" customHeight="1">
      <c r="A140" s="7" t="s">
        <v>1094</v>
      </c>
      <c r="B140" s="8">
        <v>22171.81</v>
      </c>
      <c r="C140" s="8">
        <v>38966.27</v>
      </c>
    </row>
    <row r="141" spans="1:3" ht="15" customHeight="1">
      <c r="A141" s="7" t="s">
        <v>1095</v>
      </c>
      <c r="B141" s="8">
        <v>96683.85</v>
      </c>
      <c r="C141" s="8">
        <v>169918.9</v>
      </c>
    </row>
    <row r="142" spans="1:3" ht="15" customHeight="1">
      <c r="A142" s="7" t="s">
        <v>1096</v>
      </c>
      <c r="B142" s="8">
        <v>4687.65</v>
      </c>
      <c r="C142" s="8">
        <v>8238.4</v>
      </c>
    </row>
    <row r="143" spans="1:3" ht="15" customHeight="1">
      <c r="A143" s="7" t="s">
        <v>1097</v>
      </c>
      <c r="B143" s="8">
        <v>1201.23</v>
      </c>
      <c r="C143" s="8">
        <v>2111.13</v>
      </c>
    </row>
    <row r="144" spans="1:3" ht="15" customHeight="1">
      <c r="A144" s="7" t="s">
        <v>1098</v>
      </c>
      <c r="B144" s="8">
        <v>11263.58</v>
      </c>
      <c r="C144" s="8">
        <v>19795.39</v>
      </c>
    </row>
    <row r="145" spans="1:3" ht="15" customHeight="1">
      <c r="A145" s="7"/>
      <c r="B145" s="8"/>
      <c r="C145" s="8"/>
    </row>
    <row r="146" spans="1:3" ht="21" customHeight="1">
      <c r="A146" s="672" t="s">
        <v>1099</v>
      </c>
      <c r="B146" s="672"/>
      <c r="C146" s="17"/>
    </row>
    <row r="147" spans="1:3" ht="21" customHeight="1">
      <c r="A147" s="4" t="s">
        <v>1100</v>
      </c>
      <c r="B147" s="5">
        <f>SUM(B149+B159+B164)</f>
        <v>94341331.13</v>
      </c>
      <c r="C147" s="5"/>
    </row>
    <row r="148" spans="1:3" ht="21" customHeight="1">
      <c r="A148" s="4"/>
      <c r="B148" s="5"/>
      <c r="C148" s="5"/>
    </row>
    <row r="149" spans="1:3" ht="21" customHeight="1">
      <c r="A149" s="4" t="s">
        <v>1101</v>
      </c>
      <c r="B149" s="5">
        <f>B151+B156+B150</f>
        <v>48703250.4</v>
      </c>
      <c r="C149" s="5"/>
    </row>
    <row r="150" spans="1:3" s="9" customFormat="1" ht="21" customHeight="1">
      <c r="A150" s="14" t="s">
        <v>1102</v>
      </c>
      <c r="B150" s="6">
        <f>17150000+13000000</f>
        <v>30150000</v>
      </c>
      <c r="C150" s="5"/>
    </row>
    <row r="151" spans="1:3" ht="21" customHeight="1">
      <c r="A151" s="18" t="s">
        <v>1103</v>
      </c>
      <c r="B151" s="19">
        <f>SUM(B152:B155)</f>
        <v>17370000</v>
      </c>
      <c r="C151" s="6"/>
    </row>
    <row r="152" spans="1:3" ht="15" customHeight="1">
      <c r="A152" s="7" t="s">
        <v>1104</v>
      </c>
      <c r="B152" s="8">
        <v>5000000</v>
      </c>
      <c r="C152" s="12"/>
    </row>
    <row r="153" spans="1:3" ht="15" customHeight="1">
      <c r="A153" s="7" t="s">
        <v>1105</v>
      </c>
      <c r="B153" s="8">
        <v>10000000</v>
      </c>
      <c r="C153" s="12"/>
    </row>
    <row r="154" spans="1:3" ht="15" customHeight="1">
      <c r="A154" s="7" t="s">
        <v>1106</v>
      </c>
      <c r="B154" s="8">
        <v>2170000</v>
      </c>
      <c r="C154" s="12"/>
    </row>
    <row r="155" spans="1:3" ht="15" customHeight="1">
      <c r="A155" s="7" t="s">
        <v>1107</v>
      </c>
      <c r="B155" s="8">
        <f>200000000/1000</f>
        <v>200000</v>
      </c>
      <c r="C155" s="12"/>
    </row>
    <row r="156" spans="1:3" ht="27.75" customHeight="1">
      <c r="A156" s="18" t="s">
        <v>1108</v>
      </c>
      <c r="B156" s="19">
        <f>B157</f>
        <v>1183250.4</v>
      </c>
      <c r="C156" s="6"/>
    </row>
    <row r="157" spans="1:3" ht="21" customHeight="1">
      <c r="A157" s="7" t="s">
        <v>1107</v>
      </c>
      <c r="B157" s="8">
        <v>1183250.4</v>
      </c>
      <c r="C157" s="12"/>
    </row>
    <row r="158" spans="1:3" ht="21" customHeight="1">
      <c r="A158" s="7"/>
      <c r="B158" s="8"/>
      <c r="C158" s="12"/>
    </row>
    <row r="159" spans="1:3" ht="26.25" customHeight="1">
      <c r="A159" s="4" t="s">
        <v>1397</v>
      </c>
      <c r="B159" s="5">
        <f>SUM(B160:B162)</f>
        <v>44500080.730000004</v>
      </c>
      <c r="C159" s="5"/>
    </row>
    <row r="160" spans="1:3" ht="21" customHeight="1">
      <c r="A160" s="7" t="s">
        <v>1109</v>
      </c>
      <c r="B160" s="8">
        <f>1806462.05+22997600</f>
        <v>24804062.05</v>
      </c>
      <c r="C160" s="8">
        <f>5313123.69+67640000</f>
        <v>72953123.69</v>
      </c>
    </row>
    <row r="161" spans="1:3" ht="21" customHeight="1">
      <c r="A161" s="7" t="s">
        <v>1110</v>
      </c>
      <c r="B161" s="8">
        <v>5204134.88</v>
      </c>
      <c r="C161" s="8">
        <v>7778975.91</v>
      </c>
    </row>
    <row r="162" spans="1:3" ht="21" customHeight="1">
      <c r="A162" s="7" t="s">
        <v>1111</v>
      </c>
      <c r="B162" s="8">
        <f>2299131.56+11562029.96+630722.28</f>
        <v>14491883.8</v>
      </c>
      <c r="C162" s="8">
        <f>4040653.05+20319912.06+1108475</f>
        <v>25469040.11</v>
      </c>
    </row>
    <row r="163" spans="1:3" ht="21" customHeight="1">
      <c r="A163" s="7"/>
      <c r="B163" s="8"/>
      <c r="C163" s="8"/>
    </row>
    <row r="164" spans="1:3" ht="26.25" customHeight="1">
      <c r="A164" s="4" t="s">
        <v>1112</v>
      </c>
      <c r="B164" s="5">
        <f>B165</f>
        <v>1138000</v>
      </c>
      <c r="C164" s="5"/>
    </row>
    <row r="165" spans="1:3" ht="21" customHeight="1">
      <c r="A165" s="7" t="s">
        <v>1113</v>
      </c>
      <c r="B165" s="8">
        <v>1138000</v>
      </c>
      <c r="C165" s="8">
        <f>2000000000/1000</f>
        <v>2000000</v>
      </c>
    </row>
    <row r="166" spans="1:3" ht="21" customHeight="1">
      <c r="A166" s="14"/>
      <c r="B166" s="6"/>
      <c r="C166" s="6"/>
    </row>
    <row r="167" spans="1:3" s="135" customFormat="1" ht="23.25" customHeight="1">
      <c r="A167" s="369" t="s">
        <v>1394</v>
      </c>
      <c r="B167" s="359">
        <f>B9+B17+B56+B59+B64+B89+B147-2</f>
        <v>114277739.82000001</v>
      </c>
      <c r="C167" s="359"/>
    </row>
    <row r="168" spans="1:3" s="23" customFormat="1" ht="23.25" customHeight="1">
      <c r="A168" s="21"/>
      <c r="B168" s="22"/>
      <c r="C168" s="22"/>
    </row>
    <row r="169" spans="1:3" s="23" customFormat="1" ht="49.5" customHeight="1">
      <c r="A169" s="674" t="s">
        <v>1390</v>
      </c>
      <c r="B169" s="674"/>
      <c r="C169" s="674"/>
    </row>
    <row r="170" spans="1:3" s="23" customFormat="1" ht="49.5" customHeight="1">
      <c r="A170" s="674" t="s">
        <v>1391</v>
      </c>
      <c r="B170" s="674"/>
      <c r="C170" s="674"/>
    </row>
    <row r="171" spans="1:3" s="23" customFormat="1" ht="40.5" customHeight="1">
      <c r="A171" s="674" t="s">
        <v>1396</v>
      </c>
      <c r="B171" s="674"/>
      <c r="C171" s="674"/>
    </row>
    <row r="172" spans="1:3" s="23" customFormat="1" ht="49.5" customHeight="1">
      <c r="A172" s="674" t="s">
        <v>1392</v>
      </c>
      <c r="B172" s="674"/>
      <c r="C172" s="674"/>
    </row>
    <row r="173" spans="1:3" s="23" customFormat="1" ht="53.25" customHeight="1">
      <c r="A173" s="674" t="s">
        <v>1393</v>
      </c>
      <c r="B173" s="674"/>
      <c r="C173" s="674"/>
    </row>
    <row r="174" spans="1:3" s="23" customFormat="1" ht="12">
      <c r="A174" s="21" t="s">
        <v>1386</v>
      </c>
      <c r="B174" s="21"/>
      <c r="C174" s="21"/>
    </row>
    <row r="175" spans="1:3" s="23" customFormat="1" ht="12">
      <c r="A175" s="21" t="s">
        <v>1387</v>
      </c>
      <c r="B175" s="22">
        <v>15029679</v>
      </c>
      <c r="C175" s="24"/>
    </row>
    <row r="176" spans="1:3" s="23" customFormat="1" ht="12">
      <c r="A176" s="21" t="s">
        <v>1388</v>
      </c>
      <c r="B176" s="22">
        <v>13147809</v>
      </c>
      <c r="C176" s="24"/>
    </row>
    <row r="177" spans="1:3" s="368" customFormat="1" ht="29.25" customHeight="1">
      <c r="A177" s="365" t="s">
        <v>1389</v>
      </c>
      <c r="B177" s="366">
        <v>142455228</v>
      </c>
      <c r="C177" s="367"/>
    </row>
    <row r="178" spans="1:3" s="27" customFormat="1" ht="21" customHeight="1">
      <c r="A178" s="25"/>
      <c r="B178" s="26"/>
      <c r="C178" s="28"/>
    </row>
    <row r="179" spans="1:3" s="31" customFormat="1" ht="21" customHeight="1">
      <c r="A179" s="29" t="s">
        <v>1395</v>
      </c>
      <c r="B179" s="8"/>
      <c r="C179" s="30"/>
    </row>
    <row r="180" spans="1:3" s="27" customFormat="1" ht="21" customHeight="1">
      <c r="A180" s="25"/>
      <c r="B180" s="26"/>
      <c r="C180" s="28"/>
    </row>
    <row r="181" spans="1:3" s="27" customFormat="1" ht="21" customHeight="1">
      <c r="A181" s="25"/>
      <c r="B181" s="26"/>
      <c r="C181" s="28"/>
    </row>
    <row r="182" spans="1:3" ht="21" customHeight="1">
      <c r="A182" s="34" t="s">
        <v>1114</v>
      </c>
      <c r="B182" s="32"/>
      <c r="C182" s="33"/>
    </row>
    <row r="183" ht="21" customHeight="1">
      <c r="A183" s="35"/>
    </row>
    <row r="184" spans="1:3" ht="21" customHeight="1">
      <c r="A184" s="34" t="s">
        <v>1115</v>
      </c>
      <c r="B184" s="32"/>
      <c r="C184" s="33"/>
    </row>
    <row r="185" ht="21" customHeight="1">
      <c r="A185" s="35"/>
    </row>
    <row r="186" ht="21" customHeight="1">
      <c r="A186" s="35"/>
    </row>
    <row r="187" ht="21" customHeight="1">
      <c r="A187" s="35"/>
    </row>
    <row r="188" ht="21" customHeight="1">
      <c r="A188" s="35"/>
    </row>
    <row r="189" ht="21" customHeight="1">
      <c r="A189" s="35"/>
    </row>
    <row r="190" ht="21" customHeight="1">
      <c r="A190" s="35"/>
    </row>
    <row r="191" ht="21" customHeight="1">
      <c r="A191" s="35"/>
    </row>
    <row r="192" ht="21" customHeight="1">
      <c r="A192" s="35"/>
    </row>
    <row r="193" ht="21" customHeight="1">
      <c r="A193" s="35"/>
    </row>
    <row r="194" ht="21" customHeight="1">
      <c r="A194" s="35"/>
    </row>
    <row r="195" ht="21" customHeight="1">
      <c r="A195" s="35"/>
    </row>
    <row r="196" ht="21" customHeight="1">
      <c r="A196" s="35"/>
    </row>
    <row r="197" ht="21" customHeight="1">
      <c r="A197" s="35"/>
    </row>
    <row r="198" ht="21" customHeight="1">
      <c r="A198" s="35"/>
    </row>
    <row r="199" ht="21" customHeight="1">
      <c r="A199" s="35"/>
    </row>
    <row r="200" ht="21" customHeight="1">
      <c r="A200" s="35"/>
    </row>
    <row r="201" ht="21" customHeight="1">
      <c r="A201" s="35"/>
    </row>
    <row r="202" ht="21" customHeight="1">
      <c r="A202" s="35"/>
    </row>
    <row r="203" ht="21" customHeight="1">
      <c r="A203" s="35"/>
    </row>
    <row r="204" ht="21" customHeight="1">
      <c r="A204" s="35"/>
    </row>
    <row r="205" ht="21" customHeight="1">
      <c r="A205" s="35"/>
    </row>
    <row r="206" ht="21" customHeight="1">
      <c r="A206" s="35"/>
    </row>
    <row r="207" ht="21" customHeight="1">
      <c r="A207" s="35"/>
    </row>
    <row r="208" ht="21" customHeight="1">
      <c r="A208" s="35"/>
    </row>
    <row r="209" ht="21" customHeight="1">
      <c r="A209" s="35"/>
    </row>
    <row r="210" ht="21" customHeight="1">
      <c r="A210" s="35"/>
    </row>
    <row r="211" ht="21" customHeight="1">
      <c r="A211" s="35"/>
    </row>
    <row r="212" ht="21" customHeight="1">
      <c r="A212" s="35"/>
    </row>
    <row r="213" ht="21" customHeight="1">
      <c r="A213" s="35"/>
    </row>
    <row r="214" ht="21" customHeight="1">
      <c r="A214" s="35"/>
    </row>
    <row r="215" ht="21" customHeight="1">
      <c r="A215" s="35"/>
    </row>
    <row r="216" ht="21" customHeight="1">
      <c r="A216" s="35"/>
    </row>
    <row r="217" ht="21" customHeight="1">
      <c r="A217" s="35"/>
    </row>
    <row r="218" ht="21" customHeight="1">
      <c r="A218" s="35"/>
    </row>
    <row r="219" ht="21" customHeight="1">
      <c r="A219" s="35"/>
    </row>
    <row r="220" ht="21" customHeight="1">
      <c r="A220" s="35"/>
    </row>
    <row r="221" ht="21" customHeight="1">
      <c r="A221" s="35"/>
    </row>
    <row r="222" ht="21" customHeight="1">
      <c r="A222" s="35"/>
    </row>
    <row r="223" ht="21" customHeight="1">
      <c r="A223" s="35"/>
    </row>
    <row r="224" ht="21" customHeight="1">
      <c r="A224" s="35"/>
    </row>
    <row r="225" ht="21" customHeight="1">
      <c r="A225" s="35"/>
    </row>
    <row r="226" ht="21" customHeight="1">
      <c r="A226" s="35"/>
    </row>
    <row r="227" ht="21" customHeight="1">
      <c r="A227" s="35"/>
    </row>
    <row r="228" ht="21" customHeight="1">
      <c r="A228" s="35"/>
    </row>
    <row r="229" ht="21" customHeight="1">
      <c r="A229" s="35"/>
    </row>
    <row r="230" ht="21" customHeight="1">
      <c r="A230" s="35"/>
    </row>
    <row r="231" ht="21" customHeight="1">
      <c r="A231" s="35"/>
    </row>
    <row r="232" ht="21" customHeight="1">
      <c r="A232" s="35"/>
    </row>
    <row r="233" ht="21" customHeight="1">
      <c r="A233" s="35"/>
    </row>
  </sheetData>
  <mergeCells count="11">
    <mergeCell ref="A173:C173"/>
    <mergeCell ref="A169:C169"/>
    <mergeCell ref="A170:C170"/>
    <mergeCell ref="A171:C171"/>
    <mergeCell ref="A172:C172"/>
    <mergeCell ref="A63:B63"/>
    <mergeCell ref="A146:B146"/>
    <mergeCell ref="A1:C1"/>
    <mergeCell ref="A2:C2"/>
    <mergeCell ref="A3:C3"/>
    <mergeCell ref="A8:B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64"/>
  <sheetViews>
    <sheetView workbookViewId="0" topLeftCell="A1">
      <selection activeCell="B8" sqref="B8"/>
    </sheetView>
  </sheetViews>
  <sheetFormatPr defaultColWidth="9.140625" defaultRowHeight="12.75"/>
  <cols>
    <col min="1" max="1" width="26.140625" style="199" customWidth="1"/>
    <col min="2" max="2" width="9.140625" style="199" customWidth="1"/>
    <col min="3" max="3" width="15.421875" style="199" customWidth="1"/>
    <col min="4" max="4" width="8.7109375" style="199" customWidth="1"/>
    <col min="5" max="16384" width="9.140625" style="199" customWidth="1"/>
  </cols>
  <sheetData>
    <row r="1" spans="1:13" ht="16.5">
      <c r="A1" s="412"/>
      <c r="B1" s="413"/>
      <c r="C1" s="414"/>
      <c r="D1" s="415"/>
      <c r="E1" s="416" t="s">
        <v>1731</v>
      </c>
      <c r="F1" s="415"/>
      <c r="G1" s="415"/>
      <c r="H1" s="415"/>
      <c r="I1" s="417"/>
      <c r="J1" s="418"/>
      <c r="K1" s="417"/>
      <c r="L1" s="419"/>
      <c r="M1" s="418"/>
    </row>
    <row r="2" spans="1:13" ht="12">
      <c r="A2" s="420"/>
      <c r="B2" s="421"/>
      <c r="C2" s="421"/>
      <c r="D2" s="421"/>
      <c r="E2" s="422"/>
      <c r="F2" s="422"/>
      <c r="G2" s="422"/>
      <c r="H2" s="422"/>
      <c r="I2" s="423"/>
      <c r="J2" s="421"/>
      <c r="K2" s="423" t="s">
        <v>1732</v>
      </c>
      <c r="L2" s="423"/>
      <c r="M2" s="418"/>
    </row>
    <row r="3" spans="1:13" ht="12">
      <c r="A3" s="424"/>
      <c r="B3" s="381"/>
      <c r="C3" s="381"/>
      <c r="D3" s="381"/>
      <c r="E3" s="675">
        <v>1999</v>
      </c>
      <c r="F3" s="676"/>
      <c r="G3" s="676"/>
      <c r="H3" s="677"/>
      <c r="I3" s="425"/>
      <c r="J3" s="426"/>
      <c r="K3" s="427"/>
      <c r="L3" s="427"/>
      <c r="M3" s="428"/>
    </row>
    <row r="4" spans="1:13" ht="33.75">
      <c r="A4" s="429" t="s">
        <v>1733</v>
      </c>
      <c r="B4" s="430" t="s">
        <v>1734</v>
      </c>
      <c r="C4" s="430" t="s">
        <v>1735</v>
      </c>
      <c r="D4" s="430" t="s">
        <v>1736</v>
      </c>
      <c r="E4" s="431" t="s">
        <v>1737</v>
      </c>
      <c r="F4" s="431" t="s">
        <v>1738</v>
      </c>
      <c r="G4" s="431" t="s">
        <v>1739</v>
      </c>
      <c r="H4" s="431" t="s">
        <v>1740</v>
      </c>
      <c r="I4" s="432">
        <v>1999</v>
      </c>
      <c r="J4" s="433">
        <v>2000</v>
      </c>
      <c r="K4" s="434">
        <v>2001</v>
      </c>
      <c r="L4" s="434">
        <v>2002</v>
      </c>
      <c r="M4" s="435">
        <v>2003</v>
      </c>
    </row>
    <row r="5" spans="1:13" ht="12">
      <c r="A5" s="436"/>
      <c r="B5" s="437">
        <v>11.73</v>
      </c>
      <c r="C5" s="438" t="s">
        <v>1741</v>
      </c>
      <c r="D5" s="426"/>
      <c r="E5" s="439">
        <v>0</v>
      </c>
      <c r="F5" s="439">
        <v>0</v>
      </c>
      <c r="G5" s="439">
        <v>0</v>
      </c>
      <c r="H5" s="439">
        <v>0</v>
      </c>
      <c r="I5" s="440">
        <v>0</v>
      </c>
      <c r="J5" s="441">
        <v>0</v>
      </c>
      <c r="K5" s="440"/>
      <c r="L5" s="440"/>
      <c r="M5" s="442"/>
    </row>
    <row r="6" spans="1:13" ht="12">
      <c r="A6" s="443" t="s">
        <v>463</v>
      </c>
      <c r="B6" s="444" t="s">
        <v>472</v>
      </c>
      <c r="C6" s="445" t="s">
        <v>1742</v>
      </c>
      <c r="D6" s="444" t="s">
        <v>472</v>
      </c>
      <c r="E6" s="446">
        <v>0.841197</v>
      </c>
      <c r="F6" s="446">
        <v>0</v>
      </c>
      <c r="G6" s="446">
        <v>0.833681</v>
      </c>
      <c r="H6" s="446">
        <v>0</v>
      </c>
      <c r="I6" s="447">
        <v>1.674878</v>
      </c>
      <c r="J6" s="448">
        <v>1.13951</v>
      </c>
      <c r="K6" s="449"/>
      <c r="L6" s="449"/>
      <c r="M6" s="450"/>
    </row>
    <row r="7" spans="1:13" ht="12">
      <c r="A7" s="451"/>
      <c r="B7" s="433"/>
      <c r="C7" s="452" t="s">
        <v>1743</v>
      </c>
      <c r="D7" s="433"/>
      <c r="E7" s="453">
        <v>0.030363</v>
      </c>
      <c r="F7" s="453">
        <v>0</v>
      </c>
      <c r="G7" s="453">
        <v>0.015181</v>
      </c>
      <c r="H7" s="453">
        <v>0</v>
      </c>
      <c r="I7" s="454">
        <v>0.045544</v>
      </c>
      <c r="J7" s="455">
        <v>0.027</v>
      </c>
      <c r="K7" s="456"/>
      <c r="L7" s="456"/>
      <c r="M7" s="457"/>
    </row>
    <row r="8" spans="1:13" ht="12">
      <c r="A8" s="458"/>
      <c r="B8" s="278"/>
      <c r="C8" s="438" t="s">
        <v>1741</v>
      </c>
      <c r="D8" s="444"/>
      <c r="E8" s="459">
        <v>0</v>
      </c>
      <c r="F8" s="459">
        <v>0</v>
      </c>
      <c r="G8" s="459">
        <v>0</v>
      </c>
      <c r="H8" s="459">
        <v>0</v>
      </c>
      <c r="I8" s="440">
        <v>0</v>
      </c>
      <c r="J8" s="460">
        <v>0</v>
      </c>
      <c r="K8" s="461"/>
      <c r="L8" s="461"/>
      <c r="M8" s="450"/>
    </row>
    <row r="9" spans="1:13" ht="12">
      <c r="A9" s="458"/>
      <c r="B9" s="278"/>
      <c r="C9" s="445" t="s">
        <v>1742</v>
      </c>
      <c r="D9" s="444" t="s">
        <v>461</v>
      </c>
      <c r="E9" s="446">
        <v>0</v>
      </c>
      <c r="F9" s="446">
        <v>0.31802062</v>
      </c>
      <c r="G9" s="446">
        <v>0</v>
      </c>
      <c r="H9" s="446">
        <v>0.31802062</v>
      </c>
      <c r="I9" s="447">
        <v>0.63604124</v>
      </c>
      <c r="J9" s="462">
        <v>0.63604124</v>
      </c>
      <c r="K9" s="463">
        <v>0.5289195</v>
      </c>
      <c r="L9" s="463">
        <v>0.5289195</v>
      </c>
      <c r="M9" s="463">
        <v>0.5289195</v>
      </c>
    </row>
    <row r="10" spans="1:13" ht="12">
      <c r="A10" s="458" t="s">
        <v>1744</v>
      </c>
      <c r="B10" s="464">
        <v>50</v>
      </c>
      <c r="C10" s="452" t="s">
        <v>1743</v>
      </c>
      <c r="D10" s="433"/>
      <c r="E10" s="453">
        <v>0</v>
      </c>
      <c r="F10" s="453">
        <v>0.10143346456880001</v>
      </c>
      <c r="G10" s="453">
        <v>0</v>
      </c>
      <c r="H10" s="453">
        <v>0.0920971890972</v>
      </c>
      <c r="I10" s="454">
        <v>0.193530653666</v>
      </c>
      <c r="J10" s="465">
        <v>0.16301161</v>
      </c>
      <c r="K10" s="466">
        <v>0.12302499</v>
      </c>
      <c r="L10" s="466">
        <v>0.08439044</v>
      </c>
      <c r="M10" s="457">
        <v>0.07</v>
      </c>
    </row>
    <row r="11" spans="1:13" ht="12">
      <c r="A11" s="458"/>
      <c r="B11" s="444" t="s">
        <v>1745</v>
      </c>
      <c r="C11" s="438" t="s">
        <v>1741</v>
      </c>
      <c r="D11" s="444"/>
      <c r="E11" s="459">
        <v>0</v>
      </c>
      <c r="F11" s="459">
        <v>0</v>
      </c>
      <c r="G11" s="459">
        <v>0</v>
      </c>
      <c r="H11" s="459">
        <v>0</v>
      </c>
      <c r="I11" s="440">
        <v>0</v>
      </c>
      <c r="J11" s="460"/>
      <c r="K11" s="461"/>
      <c r="L11" s="461"/>
      <c r="M11" s="450"/>
    </row>
    <row r="12" spans="1:13" ht="12">
      <c r="A12" s="458"/>
      <c r="B12" s="467"/>
      <c r="C12" s="445" t="s">
        <v>1742</v>
      </c>
      <c r="D12" s="444" t="s">
        <v>472</v>
      </c>
      <c r="E12" s="446">
        <v>0</v>
      </c>
      <c r="F12" s="446">
        <v>0.4917973</v>
      </c>
      <c r="G12" s="446">
        <v>0</v>
      </c>
      <c r="H12" s="446">
        <v>0.4917973</v>
      </c>
      <c r="I12" s="447">
        <v>0.9835946</v>
      </c>
      <c r="J12" s="462">
        <v>0.9835946</v>
      </c>
      <c r="K12" s="463">
        <v>0.8269947</v>
      </c>
      <c r="L12" s="463">
        <v>0.8269947</v>
      </c>
      <c r="M12" s="463">
        <v>0.8269947</v>
      </c>
    </row>
    <row r="13" spans="1:13" ht="12">
      <c r="A13" s="468"/>
      <c r="B13" s="469"/>
      <c r="C13" s="452" t="s">
        <v>1743</v>
      </c>
      <c r="D13" s="433"/>
      <c r="E13" s="453">
        <v>0</v>
      </c>
      <c r="F13" s="453">
        <v>0.0969949677666667</v>
      </c>
      <c r="G13" s="453">
        <v>0</v>
      </c>
      <c r="H13" s="453">
        <v>0.0881530268375</v>
      </c>
      <c r="I13" s="454">
        <v>0.1851479946041667</v>
      </c>
      <c r="J13" s="470">
        <v>0.19530365</v>
      </c>
      <c r="K13" s="471">
        <v>0.14784217</v>
      </c>
      <c r="L13" s="471">
        <v>0.082652</v>
      </c>
      <c r="M13" s="457">
        <v>0.06</v>
      </c>
    </row>
    <row r="14" spans="1:13" ht="12">
      <c r="A14" s="472" t="s">
        <v>1746</v>
      </c>
      <c r="B14" s="473">
        <v>9.32</v>
      </c>
      <c r="C14" s="438" t="s">
        <v>1741</v>
      </c>
      <c r="D14" s="474"/>
      <c r="E14" s="459">
        <v>0</v>
      </c>
      <c r="F14" s="459">
        <v>0</v>
      </c>
      <c r="G14" s="459">
        <v>0</v>
      </c>
      <c r="H14" s="459">
        <v>0</v>
      </c>
      <c r="I14" s="440">
        <v>0</v>
      </c>
      <c r="J14" s="475"/>
      <c r="K14" s="447"/>
      <c r="L14" s="447"/>
      <c r="M14" s="450"/>
    </row>
    <row r="15" spans="1:13" ht="12">
      <c r="A15" s="472" t="s">
        <v>1747</v>
      </c>
      <c r="B15" s="232" t="s">
        <v>461</v>
      </c>
      <c r="C15" s="445" t="s">
        <v>1742</v>
      </c>
      <c r="D15" s="232" t="s">
        <v>461</v>
      </c>
      <c r="E15" s="446">
        <v>0</v>
      </c>
      <c r="F15" s="446">
        <v>0</v>
      </c>
      <c r="G15" s="446">
        <v>0</v>
      </c>
      <c r="H15" s="446">
        <v>0.38828653999999996</v>
      </c>
      <c r="I15" s="447">
        <v>0.38828653999999996</v>
      </c>
      <c r="J15" s="448">
        <v>0.38828654</v>
      </c>
      <c r="K15" s="449">
        <v>0.38828654</v>
      </c>
      <c r="L15" s="449">
        <v>0.38828654</v>
      </c>
      <c r="M15" s="476">
        <v>0.38828654</v>
      </c>
    </row>
    <row r="16" spans="1:13" ht="12">
      <c r="A16" s="472"/>
      <c r="B16" s="242"/>
      <c r="C16" s="452" t="s">
        <v>1743</v>
      </c>
      <c r="D16" s="242"/>
      <c r="E16" s="453">
        <v>0</v>
      </c>
      <c r="F16" s="453">
        <v>0</v>
      </c>
      <c r="G16" s="453">
        <v>0</v>
      </c>
      <c r="H16" s="453">
        <v>0.188966</v>
      </c>
      <c r="I16" s="454">
        <v>0.188966</v>
      </c>
      <c r="J16" s="455">
        <v>0.256</v>
      </c>
      <c r="K16" s="456">
        <v>0.245</v>
      </c>
      <c r="L16" s="456">
        <v>0.23</v>
      </c>
      <c r="M16" s="457">
        <v>0.21</v>
      </c>
    </row>
    <row r="17" spans="1:13" ht="12">
      <c r="A17" s="436"/>
      <c r="B17" s="477">
        <v>6</v>
      </c>
      <c r="C17" s="438" t="s">
        <v>1741</v>
      </c>
      <c r="D17" s="444"/>
      <c r="E17" s="459">
        <v>0</v>
      </c>
      <c r="F17" s="459">
        <v>0</v>
      </c>
      <c r="G17" s="459">
        <v>0</v>
      </c>
      <c r="H17" s="459">
        <v>0</v>
      </c>
      <c r="I17" s="440">
        <v>0</v>
      </c>
      <c r="J17" s="448"/>
      <c r="K17" s="447"/>
      <c r="L17" s="447"/>
      <c r="M17" s="450"/>
    </row>
    <row r="18" spans="1:13" ht="22.5">
      <c r="A18" s="478" t="s">
        <v>1748</v>
      </c>
      <c r="B18" s="444" t="s">
        <v>505</v>
      </c>
      <c r="C18" s="445" t="s">
        <v>1742</v>
      </c>
      <c r="D18" s="444" t="s">
        <v>505</v>
      </c>
      <c r="E18" s="446">
        <v>0.30272655000000004</v>
      </c>
      <c r="F18" s="446">
        <v>0.29326019999999997</v>
      </c>
      <c r="G18" s="446">
        <v>0.30272655000000004</v>
      </c>
      <c r="H18" s="446">
        <v>0.2932603</v>
      </c>
      <c r="I18" s="447">
        <v>1.1919736</v>
      </c>
      <c r="J18" s="448">
        <v>1.0392959499999999</v>
      </c>
      <c r="K18" s="449">
        <v>0.7410493999999999</v>
      </c>
      <c r="L18" s="449">
        <v>0.5612591499999999</v>
      </c>
      <c r="M18" s="450">
        <v>0.11611389999999999</v>
      </c>
    </row>
    <row r="19" spans="1:13" ht="12">
      <c r="A19" s="479"/>
      <c r="B19" s="480"/>
      <c r="C19" s="452" t="s">
        <v>1743</v>
      </c>
      <c r="D19" s="433"/>
      <c r="E19" s="453">
        <v>0.04070940000000001</v>
      </c>
      <c r="F19" s="453">
        <v>0.03583825</v>
      </c>
      <c r="G19" s="453">
        <v>0.03258</v>
      </c>
      <c r="H19" s="453">
        <v>0.029654750000000004</v>
      </c>
      <c r="I19" s="454">
        <v>0.1387824</v>
      </c>
      <c r="J19" s="455">
        <v>0.03</v>
      </c>
      <c r="K19" s="456">
        <v>0.02</v>
      </c>
      <c r="L19" s="456">
        <v>0.02</v>
      </c>
      <c r="M19" s="456">
        <v>0.01</v>
      </c>
    </row>
    <row r="20" spans="1:13" ht="12">
      <c r="A20" s="481"/>
      <c r="B20" s="482">
        <v>40</v>
      </c>
      <c r="C20" s="438" t="s">
        <v>1741</v>
      </c>
      <c r="D20" s="444"/>
      <c r="E20" s="459">
        <v>0</v>
      </c>
      <c r="F20" s="459">
        <v>0</v>
      </c>
      <c r="G20" s="459">
        <v>0</v>
      </c>
      <c r="H20" s="459">
        <v>0</v>
      </c>
      <c r="I20" s="440">
        <v>0</v>
      </c>
      <c r="J20" s="448"/>
      <c r="K20" s="449"/>
      <c r="L20" s="449"/>
      <c r="M20" s="450"/>
    </row>
    <row r="21" spans="1:13" ht="12">
      <c r="A21" s="481" t="s">
        <v>1749</v>
      </c>
      <c r="B21" s="445" t="s">
        <v>1750</v>
      </c>
      <c r="C21" s="445" t="s">
        <v>1742</v>
      </c>
      <c r="D21" s="444" t="s">
        <v>1750</v>
      </c>
      <c r="E21" s="446">
        <v>0</v>
      </c>
      <c r="F21" s="446">
        <v>0</v>
      </c>
      <c r="G21" s="446">
        <v>0</v>
      </c>
      <c r="H21" s="446">
        <v>0</v>
      </c>
      <c r="I21" s="447">
        <v>0</v>
      </c>
      <c r="J21" s="448">
        <v>40</v>
      </c>
      <c r="K21" s="449"/>
      <c r="L21" s="449"/>
      <c r="M21" s="450"/>
    </row>
    <row r="22" spans="1:13" ht="12">
      <c r="A22" s="479"/>
      <c r="B22" s="483"/>
      <c r="C22" s="452" t="s">
        <v>1743</v>
      </c>
      <c r="D22" s="433"/>
      <c r="E22" s="453">
        <v>0.81220736</v>
      </c>
      <c r="F22" s="453">
        <v>0</v>
      </c>
      <c r="G22" s="453">
        <v>0.817207</v>
      </c>
      <c r="H22" s="453">
        <v>0</v>
      </c>
      <c r="I22" s="454">
        <v>1.6294143600000002</v>
      </c>
      <c r="J22" s="455">
        <v>0.91</v>
      </c>
      <c r="K22" s="456"/>
      <c r="L22" s="456"/>
      <c r="M22" s="457"/>
    </row>
    <row r="23" spans="1:13" ht="12">
      <c r="A23" s="472" t="s">
        <v>1751</v>
      </c>
      <c r="B23" s="482">
        <v>21</v>
      </c>
      <c r="C23" s="438" t="s">
        <v>1741</v>
      </c>
      <c r="D23" s="444"/>
      <c r="E23" s="459">
        <v>0</v>
      </c>
      <c r="F23" s="459">
        <v>0</v>
      </c>
      <c r="G23" s="459">
        <v>0</v>
      </c>
      <c r="H23" s="459">
        <v>0</v>
      </c>
      <c r="I23" s="440">
        <v>0</v>
      </c>
      <c r="J23" s="475"/>
      <c r="K23" s="447"/>
      <c r="L23" s="447"/>
      <c r="M23" s="450"/>
    </row>
    <row r="24" spans="1:13" ht="12">
      <c r="A24" s="472"/>
      <c r="B24" s="482" t="s">
        <v>461</v>
      </c>
      <c r="C24" s="445" t="s">
        <v>1742</v>
      </c>
      <c r="D24" s="444" t="s">
        <v>461</v>
      </c>
      <c r="E24" s="446">
        <v>0</v>
      </c>
      <c r="F24" s="446">
        <v>0</v>
      </c>
      <c r="G24" s="446">
        <v>0</v>
      </c>
      <c r="H24" s="446">
        <v>0</v>
      </c>
      <c r="I24" s="447">
        <v>0</v>
      </c>
      <c r="J24" s="448">
        <v>13.36</v>
      </c>
      <c r="K24" s="449"/>
      <c r="L24" s="449"/>
      <c r="M24" s="450"/>
    </row>
    <row r="25" spans="1:13" ht="12">
      <c r="A25" s="429"/>
      <c r="B25" s="484"/>
      <c r="C25" s="452" t="s">
        <v>1743</v>
      </c>
      <c r="D25" s="433"/>
      <c r="E25" s="453">
        <v>0.407316</v>
      </c>
      <c r="F25" s="453">
        <v>0</v>
      </c>
      <c r="G25" s="453">
        <v>0.4061757</v>
      </c>
      <c r="H25" s="453">
        <v>0</v>
      </c>
      <c r="I25" s="454">
        <v>0.8134916999999999</v>
      </c>
      <c r="J25" s="455">
        <v>0.907594565972222</v>
      </c>
      <c r="K25" s="456"/>
      <c r="L25" s="456"/>
      <c r="M25" s="457"/>
    </row>
    <row r="26" spans="1:13" ht="12">
      <c r="A26" s="485"/>
      <c r="B26" s="486">
        <v>22.88</v>
      </c>
      <c r="C26" s="438" t="s">
        <v>1741</v>
      </c>
      <c r="D26" s="486"/>
      <c r="E26" s="487">
        <v>0</v>
      </c>
      <c r="F26" s="487">
        <v>0</v>
      </c>
      <c r="G26" s="487">
        <v>0</v>
      </c>
      <c r="H26" s="487">
        <v>0</v>
      </c>
      <c r="I26" s="449">
        <v>0</v>
      </c>
      <c r="J26" s="448"/>
      <c r="K26" s="449"/>
      <c r="L26" s="449"/>
      <c r="M26" s="476"/>
    </row>
    <row r="27" spans="1:13" ht="12">
      <c r="A27" s="485" t="s">
        <v>1752</v>
      </c>
      <c r="B27" s="486" t="s">
        <v>1753</v>
      </c>
      <c r="C27" s="445" t="s">
        <v>1742</v>
      </c>
      <c r="D27" s="486" t="s">
        <v>1753</v>
      </c>
      <c r="E27" s="487">
        <v>1.14375</v>
      </c>
      <c r="F27" s="487">
        <v>1.14375</v>
      </c>
      <c r="G27" s="487">
        <v>1.14375</v>
      </c>
      <c r="H27" s="487">
        <v>0</v>
      </c>
      <c r="I27" s="449">
        <v>3.43125</v>
      </c>
      <c r="J27" s="448"/>
      <c r="K27" s="449"/>
      <c r="L27" s="449"/>
      <c r="M27" s="476"/>
    </row>
    <row r="28" spans="1:13" ht="12">
      <c r="A28" s="488"/>
      <c r="B28" s="489"/>
      <c r="C28" s="452" t="s">
        <v>1743</v>
      </c>
      <c r="D28" s="489"/>
      <c r="E28" s="490">
        <v>0.370857</v>
      </c>
      <c r="F28" s="490">
        <v>0.2340771</v>
      </c>
      <c r="G28" s="490">
        <v>0.1113981</v>
      </c>
      <c r="H28" s="490">
        <v>0</v>
      </c>
      <c r="I28" s="454">
        <v>0.7163322000000001</v>
      </c>
      <c r="J28" s="455"/>
      <c r="K28" s="456"/>
      <c r="L28" s="456"/>
      <c r="M28" s="491"/>
    </row>
    <row r="29" spans="1:13" ht="12">
      <c r="A29" s="481"/>
      <c r="B29" s="464">
        <v>22.875</v>
      </c>
      <c r="C29" s="438" t="s">
        <v>1741</v>
      </c>
      <c r="D29" s="444"/>
      <c r="E29" s="487">
        <v>0</v>
      </c>
      <c r="F29" s="487">
        <v>0</v>
      </c>
      <c r="G29" s="487">
        <v>0</v>
      </c>
      <c r="H29" s="487">
        <v>0</v>
      </c>
      <c r="I29" s="449">
        <v>0</v>
      </c>
      <c r="J29" s="475"/>
      <c r="K29" s="447"/>
      <c r="L29" s="447"/>
      <c r="M29" s="450"/>
    </row>
    <row r="30" spans="1:13" ht="12">
      <c r="A30" s="481" t="s">
        <v>1754</v>
      </c>
      <c r="B30" s="444" t="s">
        <v>1753</v>
      </c>
      <c r="C30" s="445" t="s">
        <v>1742</v>
      </c>
      <c r="D30" s="444" t="s">
        <v>1753</v>
      </c>
      <c r="E30" s="487">
        <v>0</v>
      </c>
      <c r="F30" s="487">
        <v>1.90625</v>
      </c>
      <c r="G30" s="487">
        <v>0</v>
      </c>
      <c r="H30" s="487">
        <v>1.90625</v>
      </c>
      <c r="I30" s="449">
        <v>3.8125</v>
      </c>
      <c r="J30" s="448">
        <v>3.81</v>
      </c>
      <c r="K30" s="449">
        <v>3.81</v>
      </c>
      <c r="L30" s="449">
        <v>3.81</v>
      </c>
      <c r="M30" s="476">
        <v>3.81</v>
      </c>
    </row>
    <row r="31" spans="1:13" ht="12">
      <c r="A31" s="479"/>
      <c r="B31" s="492"/>
      <c r="C31" s="452" t="s">
        <v>1743</v>
      </c>
      <c r="D31" s="433"/>
      <c r="E31" s="490">
        <v>0.23065625</v>
      </c>
      <c r="F31" s="490">
        <v>0.21207031</v>
      </c>
      <c r="G31" s="490">
        <v>0.20897266</v>
      </c>
      <c r="H31" s="490">
        <v>0.19729688</v>
      </c>
      <c r="I31" s="454">
        <v>0.8489961</v>
      </c>
      <c r="J31" s="455">
        <v>0.71</v>
      </c>
      <c r="K31" s="456">
        <v>0.43</v>
      </c>
      <c r="L31" s="456">
        <v>0.18</v>
      </c>
      <c r="M31" s="457">
        <v>0.12</v>
      </c>
    </row>
    <row r="32" spans="1:13" ht="12">
      <c r="A32" s="481"/>
      <c r="B32" s="467">
        <v>22.875</v>
      </c>
      <c r="C32" s="438" t="s">
        <v>1741</v>
      </c>
      <c r="D32" s="444"/>
      <c r="E32" s="487">
        <v>0</v>
      </c>
      <c r="F32" s="487">
        <v>0</v>
      </c>
      <c r="G32" s="487">
        <v>0</v>
      </c>
      <c r="H32" s="487">
        <v>0</v>
      </c>
      <c r="I32" s="449">
        <v>0</v>
      </c>
      <c r="J32" s="448"/>
      <c r="K32" s="449"/>
      <c r="L32" s="449"/>
      <c r="M32" s="450"/>
    </row>
    <row r="33" spans="1:13" ht="12">
      <c r="A33" s="481" t="s">
        <v>1755</v>
      </c>
      <c r="B33" s="467" t="s">
        <v>1753</v>
      </c>
      <c r="C33" s="445" t="s">
        <v>1742</v>
      </c>
      <c r="D33" s="444" t="s">
        <v>1753</v>
      </c>
      <c r="E33" s="487">
        <v>1.90625</v>
      </c>
      <c r="F33" s="487">
        <v>0</v>
      </c>
      <c r="G33" s="487">
        <v>1.90625</v>
      </c>
      <c r="H33" s="487">
        <v>0</v>
      </c>
      <c r="I33" s="449">
        <v>3.8125</v>
      </c>
      <c r="J33" s="448">
        <v>3.82</v>
      </c>
      <c r="K33" s="449">
        <v>3.82</v>
      </c>
      <c r="L33" s="449">
        <v>3.82</v>
      </c>
      <c r="M33" s="476">
        <v>3.82</v>
      </c>
    </row>
    <row r="34" spans="1:13" ht="12">
      <c r="A34" s="479"/>
      <c r="B34" s="492"/>
      <c r="C34" s="452" t="s">
        <v>1743</v>
      </c>
      <c r="D34" s="433"/>
      <c r="E34" s="490">
        <v>0.25996484</v>
      </c>
      <c r="F34" s="490">
        <v>0.23327734</v>
      </c>
      <c r="G34" s="490">
        <v>0.23804297</v>
      </c>
      <c r="H34" s="490">
        <v>0.21921875</v>
      </c>
      <c r="I34" s="454">
        <v>0.9505039</v>
      </c>
      <c r="J34" s="455">
        <v>0.8</v>
      </c>
      <c r="K34" s="456">
        <v>0.71</v>
      </c>
      <c r="L34" s="456">
        <v>0.43</v>
      </c>
      <c r="M34" s="457">
        <v>0.2</v>
      </c>
    </row>
    <row r="35" spans="1:13" ht="12">
      <c r="A35" s="493" t="s">
        <v>1756</v>
      </c>
      <c r="B35" s="494">
        <v>41.86</v>
      </c>
      <c r="C35" s="438" t="s">
        <v>1741</v>
      </c>
      <c r="D35" s="444"/>
      <c r="E35" s="487">
        <v>0</v>
      </c>
      <c r="F35" s="487">
        <v>0</v>
      </c>
      <c r="G35" s="487">
        <v>0</v>
      </c>
      <c r="H35" s="487">
        <v>0</v>
      </c>
      <c r="I35" s="449">
        <v>0</v>
      </c>
      <c r="J35" s="475"/>
      <c r="K35" s="447"/>
      <c r="L35" s="447"/>
      <c r="M35" s="450"/>
    </row>
    <row r="36" spans="1:13" ht="12">
      <c r="A36" s="472" t="s">
        <v>1757</v>
      </c>
      <c r="B36" s="444" t="s">
        <v>461</v>
      </c>
      <c r="C36" s="445" t="s">
        <v>1742</v>
      </c>
      <c r="D36" s="444" t="s">
        <v>461</v>
      </c>
      <c r="E36" s="487">
        <v>1.745</v>
      </c>
      <c r="F36" s="487">
        <v>0</v>
      </c>
      <c r="G36" s="487">
        <v>1.745</v>
      </c>
      <c r="H36" s="487">
        <v>0</v>
      </c>
      <c r="I36" s="449">
        <v>3.49</v>
      </c>
      <c r="J36" s="448">
        <v>3.48672174</v>
      </c>
      <c r="K36" s="449">
        <v>3.48672174</v>
      </c>
      <c r="L36" s="449">
        <v>3.48672174</v>
      </c>
      <c r="M36" s="476">
        <v>3.48672174</v>
      </c>
    </row>
    <row r="37" spans="1:13" ht="12">
      <c r="A37" s="479"/>
      <c r="B37" s="492"/>
      <c r="C37" s="452" t="s">
        <v>1743</v>
      </c>
      <c r="D37" s="433"/>
      <c r="E37" s="490">
        <v>1.25563835</v>
      </c>
      <c r="F37" s="490">
        <v>0</v>
      </c>
      <c r="G37" s="490">
        <v>1.21225794</v>
      </c>
      <c r="H37" s="490">
        <v>0</v>
      </c>
      <c r="I37" s="454">
        <v>2.4678962899999997</v>
      </c>
      <c r="J37" s="455">
        <v>2.4</v>
      </c>
      <c r="K37" s="456">
        <v>2.16</v>
      </c>
      <c r="L37" s="456">
        <v>1.91748569</v>
      </c>
      <c r="M37" s="457">
        <v>1.5</v>
      </c>
    </row>
    <row r="38" spans="1:13" ht="12">
      <c r="A38" s="472" t="s">
        <v>1758</v>
      </c>
      <c r="B38" s="495">
        <v>3599.36</v>
      </c>
      <c r="C38" s="438" t="s">
        <v>1741</v>
      </c>
      <c r="D38" s="444"/>
      <c r="E38" s="487">
        <v>0</v>
      </c>
      <c r="F38" s="487">
        <v>0</v>
      </c>
      <c r="G38" s="487">
        <v>0</v>
      </c>
      <c r="H38" s="487">
        <v>0</v>
      </c>
      <c r="I38" s="449">
        <v>0</v>
      </c>
      <c r="J38" s="475"/>
      <c r="K38" s="447"/>
      <c r="L38" s="447"/>
      <c r="M38" s="450"/>
    </row>
    <row r="39" spans="1:13" ht="12">
      <c r="A39" s="472" t="s">
        <v>1757</v>
      </c>
      <c r="B39" s="444" t="s">
        <v>616</v>
      </c>
      <c r="C39" s="445" t="s">
        <v>1742</v>
      </c>
      <c r="D39" s="444" t="s">
        <v>616</v>
      </c>
      <c r="E39" s="487">
        <v>109.345</v>
      </c>
      <c r="F39" s="487">
        <v>0</v>
      </c>
      <c r="G39" s="487">
        <v>109.345</v>
      </c>
      <c r="H39" s="487">
        <v>0</v>
      </c>
      <c r="I39" s="449">
        <v>218.69</v>
      </c>
      <c r="J39" s="448">
        <v>218.69</v>
      </c>
      <c r="K39" s="449">
        <v>218.69</v>
      </c>
      <c r="L39" s="449">
        <v>218.69</v>
      </c>
      <c r="M39" s="476">
        <v>218.69</v>
      </c>
    </row>
    <row r="40" spans="1:13" ht="12">
      <c r="A40" s="479"/>
      <c r="B40" s="496"/>
      <c r="C40" s="452" t="s">
        <v>1743</v>
      </c>
      <c r="D40" s="433"/>
      <c r="E40" s="490">
        <v>49.577287</v>
      </c>
      <c r="F40" s="490">
        <v>0</v>
      </c>
      <c r="G40" s="490">
        <v>34.153327</v>
      </c>
      <c r="H40" s="490">
        <v>0</v>
      </c>
      <c r="I40" s="454">
        <v>83.730614</v>
      </c>
      <c r="J40" s="455">
        <v>73.7</v>
      </c>
      <c r="K40" s="456">
        <v>66.13799999999999</v>
      </c>
      <c r="L40" s="456">
        <v>58.64</v>
      </c>
      <c r="M40" s="457">
        <v>48.6</v>
      </c>
    </row>
    <row r="41" spans="1:13" ht="12">
      <c r="A41" s="472" t="s">
        <v>1759</v>
      </c>
      <c r="B41" s="467">
        <v>10.4</v>
      </c>
      <c r="C41" s="438" t="s">
        <v>1741</v>
      </c>
      <c r="D41" s="444"/>
      <c r="E41" s="487">
        <v>0</v>
      </c>
      <c r="F41" s="487">
        <v>0</v>
      </c>
      <c r="G41" s="487">
        <v>0</v>
      </c>
      <c r="H41" s="487">
        <v>0</v>
      </c>
      <c r="I41" s="449">
        <v>0</v>
      </c>
      <c r="J41" s="475"/>
      <c r="K41" s="447"/>
      <c r="L41" s="447"/>
      <c r="M41" s="450"/>
    </row>
    <row r="42" spans="1:13" ht="12">
      <c r="A42" s="472" t="s">
        <v>1760</v>
      </c>
      <c r="B42" s="444" t="s">
        <v>461</v>
      </c>
      <c r="C42" s="445" t="s">
        <v>1742</v>
      </c>
      <c r="D42" s="444" t="s">
        <v>461</v>
      </c>
      <c r="E42" s="487">
        <v>0.433</v>
      </c>
      <c r="F42" s="487">
        <v>0</v>
      </c>
      <c r="G42" s="497">
        <v>0.433</v>
      </c>
      <c r="H42" s="487">
        <v>0</v>
      </c>
      <c r="I42" s="449">
        <v>0.866</v>
      </c>
      <c r="J42" s="448">
        <v>0.87</v>
      </c>
      <c r="K42" s="449">
        <v>0.87</v>
      </c>
      <c r="L42" s="449">
        <v>0.87</v>
      </c>
      <c r="M42" s="476">
        <v>0.87</v>
      </c>
    </row>
    <row r="43" spans="1:13" ht="12">
      <c r="A43" s="479"/>
      <c r="B43" s="492"/>
      <c r="C43" s="452" t="s">
        <v>1743</v>
      </c>
      <c r="D43" s="433"/>
      <c r="E43" s="490">
        <v>0.316501</v>
      </c>
      <c r="F43" s="490">
        <v>0</v>
      </c>
      <c r="G43" s="498">
        <v>0.28934766</v>
      </c>
      <c r="H43" s="490">
        <v>0</v>
      </c>
      <c r="I43" s="454">
        <v>0.6058486599999999</v>
      </c>
      <c r="J43" s="455">
        <v>0.6</v>
      </c>
      <c r="K43" s="456">
        <v>0.56</v>
      </c>
      <c r="L43" s="456">
        <v>0.5</v>
      </c>
      <c r="M43" s="457">
        <v>0.46</v>
      </c>
    </row>
    <row r="44" spans="1:13" ht="12">
      <c r="A44" s="472" t="s">
        <v>1758</v>
      </c>
      <c r="B44" s="464">
        <v>3183.75</v>
      </c>
      <c r="C44" s="438" t="s">
        <v>1741</v>
      </c>
      <c r="D44" s="444"/>
      <c r="E44" s="459">
        <v>56.25</v>
      </c>
      <c r="F44" s="459">
        <v>0</v>
      </c>
      <c r="G44" s="459">
        <v>0</v>
      </c>
      <c r="H44" s="459">
        <v>0</v>
      </c>
      <c r="I44" s="449">
        <v>56.25</v>
      </c>
      <c r="J44" s="447">
        <v>114.01599</v>
      </c>
      <c r="K44" s="447">
        <v>114.01599</v>
      </c>
      <c r="L44" s="447"/>
      <c r="M44" s="450"/>
    </row>
    <row r="45" spans="1:13" ht="12">
      <c r="A45" s="472" t="s">
        <v>1761</v>
      </c>
      <c r="B45" s="444" t="s">
        <v>616</v>
      </c>
      <c r="C45" s="445" t="s">
        <v>1742</v>
      </c>
      <c r="D45" s="444" t="s">
        <v>616</v>
      </c>
      <c r="E45" s="459">
        <v>45.988</v>
      </c>
      <c r="F45" s="459">
        <v>0</v>
      </c>
      <c r="G45" s="459">
        <v>45.988</v>
      </c>
      <c r="H45" s="459">
        <v>0</v>
      </c>
      <c r="I45" s="447">
        <v>91.976</v>
      </c>
      <c r="J45" s="448">
        <v>299.981</v>
      </c>
      <c r="K45" s="449">
        <v>299.981</v>
      </c>
      <c r="L45" s="449">
        <v>299.981</v>
      </c>
      <c r="M45" s="476">
        <v>299.981</v>
      </c>
    </row>
    <row r="46" spans="1:13" ht="12">
      <c r="A46" s="479"/>
      <c r="B46" s="499"/>
      <c r="C46" s="452" t="s">
        <v>1743</v>
      </c>
      <c r="D46" s="433"/>
      <c r="E46" s="453">
        <v>49.564535547000006</v>
      </c>
      <c r="F46" s="453">
        <v>0</v>
      </c>
      <c r="G46" s="453">
        <v>49.7317803463163</v>
      </c>
      <c r="H46" s="453">
        <v>0</v>
      </c>
      <c r="I46" s="454">
        <v>99.2963158933163</v>
      </c>
      <c r="J46" s="455">
        <v>128.42</v>
      </c>
      <c r="K46" s="456">
        <v>127.32</v>
      </c>
      <c r="L46" s="456">
        <v>126.22</v>
      </c>
      <c r="M46" s="457">
        <v>115.68</v>
      </c>
    </row>
    <row r="47" spans="1:13" ht="12">
      <c r="A47" s="500"/>
      <c r="B47" s="501"/>
      <c r="C47" s="438" t="s">
        <v>1741</v>
      </c>
      <c r="D47" s="444"/>
      <c r="E47" s="459">
        <v>0</v>
      </c>
      <c r="F47" s="459">
        <v>0</v>
      </c>
      <c r="G47" s="459">
        <v>0</v>
      </c>
      <c r="H47" s="459">
        <v>0</v>
      </c>
      <c r="I47" s="449">
        <v>0</v>
      </c>
      <c r="J47" s="475"/>
      <c r="K47" s="447"/>
      <c r="L47" s="447"/>
      <c r="M47" s="450"/>
    </row>
    <row r="48" spans="1:13" ht="12">
      <c r="A48" s="502"/>
      <c r="B48" s="503"/>
      <c r="C48" s="445" t="s">
        <v>1742</v>
      </c>
      <c r="D48" s="444" t="s">
        <v>461</v>
      </c>
      <c r="E48" s="459">
        <v>0</v>
      </c>
      <c r="F48" s="459">
        <v>0</v>
      </c>
      <c r="G48" s="459">
        <v>0</v>
      </c>
      <c r="H48" s="459">
        <v>0</v>
      </c>
      <c r="I48" s="447">
        <v>0</v>
      </c>
      <c r="J48" s="448">
        <v>2.5</v>
      </c>
      <c r="K48" s="449">
        <v>2.5</v>
      </c>
      <c r="L48" s="449">
        <v>2.5</v>
      </c>
      <c r="M48" s="476">
        <v>3.01</v>
      </c>
    </row>
    <row r="49" spans="1:13" ht="12">
      <c r="A49" s="478" t="s">
        <v>1756</v>
      </c>
      <c r="B49" s="464">
        <v>35</v>
      </c>
      <c r="C49" s="452" t="s">
        <v>1743</v>
      </c>
      <c r="D49" s="433"/>
      <c r="E49" s="453">
        <v>0.2945</v>
      </c>
      <c r="F49" s="453">
        <v>0.698</v>
      </c>
      <c r="G49" s="453">
        <v>0.2945</v>
      </c>
      <c r="H49" s="453">
        <v>0.698</v>
      </c>
      <c r="I49" s="454">
        <v>1.985</v>
      </c>
      <c r="J49" s="455">
        <v>1.69</v>
      </c>
      <c r="K49" s="456">
        <v>1.65</v>
      </c>
      <c r="L49" s="456">
        <v>1.5</v>
      </c>
      <c r="M49" s="456">
        <v>1.48</v>
      </c>
    </row>
    <row r="50" spans="1:13" ht="12">
      <c r="A50" s="478" t="s">
        <v>1762</v>
      </c>
      <c r="B50" s="464" t="s">
        <v>461</v>
      </c>
      <c r="C50" s="438" t="s">
        <v>1741</v>
      </c>
      <c r="D50" s="444"/>
      <c r="E50" s="459">
        <v>0</v>
      </c>
      <c r="F50" s="459">
        <v>0</v>
      </c>
      <c r="G50" s="459">
        <v>0</v>
      </c>
      <c r="H50" s="459">
        <v>0</v>
      </c>
      <c r="I50" s="449">
        <v>0</v>
      </c>
      <c r="J50" s="475"/>
      <c r="K50" s="447"/>
      <c r="L50" s="447"/>
      <c r="M50" s="450"/>
    </row>
    <row r="51" spans="1:13" ht="12">
      <c r="A51" s="481"/>
      <c r="B51" s="464"/>
      <c r="C51" s="445" t="s">
        <v>1742</v>
      </c>
      <c r="D51" s="444" t="s">
        <v>472</v>
      </c>
      <c r="E51" s="459">
        <v>0</v>
      </c>
      <c r="F51" s="459">
        <v>0</v>
      </c>
      <c r="G51" s="459">
        <v>0</v>
      </c>
      <c r="H51" s="459">
        <v>0</v>
      </c>
      <c r="I51" s="447">
        <v>0</v>
      </c>
      <c r="J51" s="448">
        <v>0.708</v>
      </c>
      <c r="K51" s="449">
        <v>0.708</v>
      </c>
      <c r="L51" s="449">
        <v>0.708</v>
      </c>
      <c r="M51" s="476">
        <v>0.708</v>
      </c>
    </row>
    <row r="52" spans="1:13" ht="12">
      <c r="A52" s="479"/>
      <c r="B52" s="499"/>
      <c r="C52" s="452" t="s">
        <v>1743</v>
      </c>
      <c r="D52" s="433"/>
      <c r="E52" s="453">
        <v>0.147475</v>
      </c>
      <c r="F52" s="453">
        <v>0</v>
      </c>
      <c r="G52" s="453">
        <v>0.147475</v>
      </c>
      <c r="H52" s="453">
        <v>0</v>
      </c>
      <c r="I52" s="454">
        <v>0.29495</v>
      </c>
      <c r="J52" s="455">
        <v>0.28879075</v>
      </c>
      <c r="K52" s="456">
        <v>0.26415375</v>
      </c>
      <c r="L52" s="456">
        <v>0.23951675</v>
      </c>
      <c r="M52" s="456">
        <v>0.21487935</v>
      </c>
    </row>
    <row r="53" spans="1:13" ht="12">
      <c r="A53" s="493" t="s">
        <v>1756</v>
      </c>
      <c r="B53" s="464">
        <v>25</v>
      </c>
      <c r="C53" s="438" t="s">
        <v>1741</v>
      </c>
      <c r="D53" s="444"/>
      <c r="E53" s="459">
        <v>0</v>
      </c>
      <c r="F53" s="459">
        <v>0</v>
      </c>
      <c r="G53" s="459">
        <v>0</v>
      </c>
      <c r="H53" s="459">
        <v>0</v>
      </c>
      <c r="I53" s="449">
        <v>0</v>
      </c>
      <c r="J53" s="475"/>
      <c r="K53" s="447"/>
      <c r="L53" s="447"/>
      <c r="M53" s="450"/>
    </row>
    <row r="54" spans="1:13" ht="12">
      <c r="A54" s="472" t="s">
        <v>1763</v>
      </c>
      <c r="B54" s="464" t="s">
        <v>461</v>
      </c>
      <c r="C54" s="445" t="s">
        <v>1742</v>
      </c>
      <c r="D54" s="444" t="s">
        <v>461</v>
      </c>
      <c r="E54" s="459">
        <v>0.61</v>
      </c>
      <c r="F54" s="459">
        <v>0</v>
      </c>
      <c r="G54" s="459">
        <v>0.63</v>
      </c>
      <c r="H54" s="459">
        <v>0</v>
      </c>
      <c r="I54" s="447">
        <v>1.24</v>
      </c>
      <c r="J54" s="448">
        <v>1.335</v>
      </c>
      <c r="K54" s="449">
        <v>1.44</v>
      </c>
      <c r="L54" s="449">
        <v>1.545</v>
      </c>
      <c r="M54" s="450">
        <v>1.66</v>
      </c>
    </row>
    <row r="55" spans="1:13" ht="12">
      <c r="A55" s="479"/>
      <c r="B55" s="499"/>
      <c r="C55" s="452" t="s">
        <v>1743</v>
      </c>
      <c r="D55" s="433"/>
      <c r="E55" s="453">
        <v>0.676276679</v>
      </c>
      <c r="F55" s="453">
        <v>0</v>
      </c>
      <c r="G55" s="453">
        <v>0.670421162</v>
      </c>
      <c r="H55" s="453">
        <v>0</v>
      </c>
      <c r="I55" s="454">
        <v>1.3466978410000001</v>
      </c>
      <c r="J55" s="455">
        <v>1.619888</v>
      </c>
      <c r="K55" s="456">
        <v>1.59</v>
      </c>
      <c r="L55" s="456">
        <v>1.37</v>
      </c>
      <c r="M55" s="457">
        <v>1.3</v>
      </c>
    </row>
    <row r="56" spans="1:13" ht="12">
      <c r="A56" s="504"/>
      <c r="B56" s="467">
        <v>4</v>
      </c>
      <c r="C56" s="438" t="s">
        <v>1741</v>
      </c>
      <c r="D56" s="444"/>
      <c r="E56" s="459">
        <v>0.111328125</v>
      </c>
      <c r="F56" s="459">
        <v>0.040234875</v>
      </c>
      <c r="G56" s="459">
        <v>0</v>
      </c>
      <c r="H56" s="459">
        <v>0</v>
      </c>
      <c r="I56" s="449">
        <v>0.151563</v>
      </c>
      <c r="J56" s="475"/>
      <c r="K56" s="447"/>
      <c r="L56" s="447"/>
      <c r="M56" s="450"/>
    </row>
    <row r="57" spans="1:13" ht="12">
      <c r="A57" s="478" t="s">
        <v>1764</v>
      </c>
      <c r="B57" s="464" t="s">
        <v>461</v>
      </c>
      <c r="C57" s="445" t="s">
        <v>1742</v>
      </c>
      <c r="D57" s="444" t="s">
        <v>461</v>
      </c>
      <c r="E57" s="459">
        <v>0</v>
      </c>
      <c r="F57" s="459">
        <v>0</v>
      </c>
      <c r="G57" s="459">
        <v>0</v>
      </c>
      <c r="H57" s="459">
        <v>0</v>
      </c>
      <c r="I57" s="447">
        <v>0</v>
      </c>
      <c r="J57" s="448">
        <v>0.165</v>
      </c>
      <c r="K57" s="449">
        <v>0.33</v>
      </c>
      <c r="L57" s="449">
        <v>0.33</v>
      </c>
      <c r="M57" s="476">
        <v>0.33</v>
      </c>
    </row>
    <row r="58" spans="1:13" ht="12">
      <c r="A58" s="479"/>
      <c r="B58" s="499"/>
      <c r="C58" s="452" t="s">
        <v>1743</v>
      </c>
      <c r="D58" s="433"/>
      <c r="E58" s="453">
        <v>0.09999363400000001</v>
      </c>
      <c r="F58" s="453">
        <v>0</v>
      </c>
      <c r="G58" s="453">
        <v>0.11076732</v>
      </c>
      <c r="H58" s="453">
        <v>0</v>
      </c>
      <c r="I58" s="454">
        <v>0.210760954</v>
      </c>
      <c r="J58" s="455">
        <v>0.32</v>
      </c>
      <c r="K58" s="456">
        <v>0.3</v>
      </c>
      <c r="L58" s="456">
        <v>0.27</v>
      </c>
      <c r="M58" s="457">
        <v>0.24</v>
      </c>
    </row>
    <row r="59" spans="1:13" ht="12">
      <c r="A59" s="481"/>
      <c r="B59" s="464">
        <v>14</v>
      </c>
      <c r="C59" s="438" t="s">
        <v>1741</v>
      </c>
      <c r="D59" s="444"/>
      <c r="E59" s="459">
        <v>0.608984373</v>
      </c>
      <c r="F59" s="459">
        <v>0.214941406</v>
      </c>
      <c r="G59" s="459">
        <v>0.429882812</v>
      </c>
      <c r="H59" s="459">
        <v>0.214941406</v>
      </c>
      <c r="I59" s="449">
        <v>1.4687499969999998</v>
      </c>
      <c r="J59" s="475"/>
      <c r="K59" s="447"/>
      <c r="L59" s="447"/>
      <c r="M59" s="450"/>
    </row>
    <row r="60" spans="1:13" ht="12">
      <c r="A60" s="481" t="s">
        <v>1765</v>
      </c>
      <c r="B60" s="464" t="s">
        <v>461</v>
      </c>
      <c r="C60" s="445" t="s">
        <v>1742</v>
      </c>
      <c r="D60" s="444" t="s">
        <v>461</v>
      </c>
      <c r="E60" s="446">
        <v>0</v>
      </c>
      <c r="F60" s="446">
        <v>0</v>
      </c>
      <c r="G60" s="446">
        <v>0</v>
      </c>
      <c r="H60" s="446">
        <v>0</v>
      </c>
      <c r="I60" s="447">
        <v>0</v>
      </c>
      <c r="J60" s="448">
        <v>0.585</v>
      </c>
      <c r="K60" s="449">
        <v>1.17</v>
      </c>
      <c r="L60" s="449">
        <v>1.17</v>
      </c>
      <c r="M60" s="476">
        <v>1.17</v>
      </c>
    </row>
    <row r="61" spans="1:13" ht="12">
      <c r="A61" s="479"/>
      <c r="B61" s="499"/>
      <c r="C61" s="452" t="s">
        <v>1743</v>
      </c>
      <c r="D61" s="433"/>
      <c r="E61" s="505">
        <v>0</v>
      </c>
      <c r="F61" s="505">
        <v>0</v>
      </c>
      <c r="G61" s="505">
        <v>0</v>
      </c>
      <c r="H61" s="505">
        <v>0</v>
      </c>
      <c r="I61" s="454">
        <v>0</v>
      </c>
      <c r="J61" s="455">
        <v>0.98</v>
      </c>
      <c r="K61" s="456">
        <v>1.8372000000000002</v>
      </c>
      <c r="L61" s="456">
        <v>1.6734</v>
      </c>
      <c r="M61" s="457">
        <v>1.52</v>
      </c>
    </row>
    <row r="62" spans="1:13" ht="12">
      <c r="A62" s="493" t="s">
        <v>1756</v>
      </c>
      <c r="B62" s="464">
        <v>27.3</v>
      </c>
      <c r="C62" s="438" t="s">
        <v>1741</v>
      </c>
      <c r="D62" s="444"/>
      <c r="E62" s="459">
        <v>2.361378864</v>
      </c>
      <c r="F62" s="459">
        <v>1.1537254000000001</v>
      </c>
      <c r="G62" s="459">
        <v>1.11197931</v>
      </c>
      <c r="H62" s="459">
        <v>1.11197931</v>
      </c>
      <c r="I62" s="449">
        <v>5.739062883999998</v>
      </c>
      <c r="J62" s="475"/>
      <c r="K62" s="447"/>
      <c r="L62" s="447"/>
      <c r="M62" s="450"/>
    </row>
    <row r="63" spans="1:13" ht="12">
      <c r="A63" s="472" t="s">
        <v>1766</v>
      </c>
      <c r="B63" s="464" t="s">
        <v>461</v>
      </c>
      <c r="C63" s="445" t="s">
        <v>1742</v>
      </c>
      <c r="D63" s="444" t="s">
        <v>461</v>
      </c>
      <c r="E63" s="459">
        <v>0</v>
      </c>
      <c r="F63" s="459">
        <v>0</v>
      </c>
      <c r="G63" s="459">
        <v>0</v>
      </c>
      <c r="H63" s="459">
        <v>0</v>
      </c>
      <c r="I63" s="447">
        <v>0</v>
      </c>
      <c r="J63" s="448">
        <v>1.34</v>
      </c>
      <c r="K63" s="449">
        <v>1.435</v>
      </c>
      <c r="L63" s="449">
        <v>1.535</v>
      </c>
      <c r="M63" s="450">
        <v>1.65</v>
      </c>
    </row>
    <row r="64" spans="1:13" ht="12">
      <c r="A64" s="429"/>
      <c r="B64" s="499"/>
      <c r="C64" s="452" t="s">
        <v>1743</v>
      </c>
      <c r="D64" s="433"/>
      <c r="E64" s="453">
        <v>0</v>
      </c>
      <c r="F64" s="453">
        <v>0.624273</v>
      </c>
      <c r="G64" s="453">
        <v>0</v>
      </c>
      <c r="H64" s="453">
        <v>0.7212</v>
      </c>
      <c r="I64" s="454">
        <v>1.345473</v>
      </c>
      <c r="J64" s="455">
        <v>1.8630000000000002</v>
      </c>
      <c r="K64" s="456">
        <v>1.725</v>
      </c>
      <c r="L64" s="456">
        <v>1.608</v>
      </c>
      <c r="M64" s="457">
        <v>1.45</v>
      </c>
    </row>
    <row r="65" spans="1:13" ht="12">
      <c r="A65" s="493" t="s">
        <v>1756</v>
      </c>
      <c r="B65" s="464">
        <v>30.4</v>
      </c>
      <c r="C65" s="438" t="s">
        <v>1741</v>
      </c>
      <c r="D65" s="444"/>
      <c r="E65" s="459">
        <v>1.1713550700000002</v>
      </c>
      <c r="F65" s="459">
        <v>4.496415</v>
      </c>
      <c r="G65" s="459">
        <v>4.496415</v>
      </c>
      <c r="H65" s="459">
        <v>4.496415</v>
      </c>
      <c r="I65" s="449">
        <v>14.660600070000005</v>
      </c>
      <c r="J65" s="506">
        <v>2.3660892000000002</v>
      </c>
      <c r="K65" s="507">
        <v>1.1433070399999998</v>
      </c>
      <c r="L65" s="507">
        <v>0.61887136</v>
      </c>
      <c r="M65" s="450"/>
    </row>
    <row r="66" spans="1:13" ht="12">
      <c r="A66" s="472" t="s">
        <v>1767</v>
      </c>
      <c r="B66" s="464" t="s">
        <v>472</v>
      </c>
      <c r="C66" s="445" t="s">
        <v>1742</v>
      </c>
      <c r="D66" s="444" t="s">
        <v>472</v>
      </c>
      <c r="E66" s="459">
        <v>0</v>
      </c>
      <c r="F66" s="459">
        <v>0</v>
      </c>
      <c r="G66" s="459">
        <v>0</v>
      </c>
      <c r="H66" s="459">
        <v>0</v>
      </c>
      <c r="I66" s="447">
        <v>0</v>
      </c>
      <c r="J66" s="506"/>
      <c r="K66" s="507">
        <v>0.03625</v>
      </c>
      <c r="L66" s="507">
        <v>0.0725</v>
      </c>
      <c r="M66" s="507">
        <v>0.0725</v>
      </c>
    </row>
    <row r="67" spans="1:13" ht="12">
      <c r="A67" s="429"/>
      <c r="B67" s="499"/>
      <c r="C67" s="452" t="s">
        <v>1743</v>
      </c>
      <c r="D67" s="433"/>
      <c r="E67" s="453">
        <v>0</v>
      </c>
      <c r="F67" s="453">
        <v>0.65</v>
      </c>
      <c r="G67" s="453">
        <v>0</v>
      </c>
      <c r="H67" s="453">
        <v>0.9055555</v>
      </c>
      <c r="I67" s="454">
        <v>1.5555555</v>
      </c>
      <c r="J67" s="508">
        <v>1.86</v>
      </c>
      <c r="K67" s="509">
        <v>1.88</v>
      </c>
      <c r="L67" s="509">
        <v>1.86</v>
      </c>
      <c r="M67" s="457">
        <v>1.82</v>
      </c>
    </row>
    <row r="68" spans="1:13" ht="12">
      <c r="A68" s="493" t="s">
        <v>1756</v>
      </c>
      <c r="B68" s="464">
        <v>20</v>
      </c>
      <c r="C68" s="438" t="s">
        <v>1741</v>
      </c>
      <c r="D68" s="444"/>
      <c r="E68" s="459">
        <v>2.0066</v>
      </c>
      <c r="F68" s="459">
        <v>1.0033</v>
      </c>
      <c r="G68" s="459">
        <v>2.0066</v>
      </c>
      <c r="H68" s="459">
        <v>1.0033</v>
      </c>
      <c r="I68" s="449">
        <v>6.019800000000001</v>
      </c>
      <c r="J68" s="448">
        <v>1.98</v>
      </c>
      <c r="K68" s="449"/>
      <c r="L68" s="449"/>
      <c r="M68" s="450"/>
    </row>
    <row r="69" spans="1:13" ht="12">
      <c r="A69" s="472" t="s">
        <v>1760</v>
      </c>
      <c r="B69" s="464" t="s">
        <v>461</v>
      </c>
      <c r="C69" s="445" t="s">
        <v>1742</v>
      </c>
      <c r="D69" s="444" t="s">
        <v>461</v>
      </c>
      <c r="E69" s="459">
        <v>0</v>
      </c>
      <c r="F69" s="459">
        <v>0</v>
      </c>
      <c r="G69" s="459">
        <v>0</v>
      </c>
      <c r="H69" s="459">
        <v>0</v>
      </c>
      <c r="I69" s="447">
        <v>0</v>
      </c>
      <c r="J69" s="448"/>
      <c r="K69" s="449"/>
      <c r="L69" s="449">
        <v>0.83</v>
      </c>
      <c r="M69" s="476">
        <v>1.666666</v>
      </c>
    </row>
    <row r="70" spans="1:13" ht="12">
      <c r="A70" s="479"/>
      <c r="B70" s="499"/>
      <c r="C70" s="452" t="s">
        <v>1743</v>
      </c>
      <c r="D70" s="433"/>
      <c r="E70" s="453">
        <v>0.366121</v>
      </c>
      <c r="F70" s="453">
        <v>0</v>
      </c>
      <c r="G70" s="453">
        <v>0.452186</v>
      </c>
      <c r="H70" s="453">
        <v>0</v>
      </c>
      <c r="I70" s="454">
        <v>0.8183069999999999</v>
      </c>
      <c r="J70" s="455">
        <v>1.11</v>
      </c>
      <c r="K70" s="456">
        <v>1.12</v>
      </c>
      <c r="L70" s="456">
        <v>1.06</v>
      </c>
      <c r="M70" s="457">
        <v>1.01</v>
      </c>
    </row>
    <row r="71" spans="1:13" ht="12">
      <c r="A71" s="472" t="s">
        <v>1768</v>
      </c>
      <c r="B71" s="464">
        <v>3.48</v>
      </c>
      <c r="C71" s="438" t="s">
        <v>1741</v>
      </c>
      <c r="D71" s="444"/>
      <c r="E71" s="459">
        <v>0</v>
      </c>
      <c r="F71" s="459">
        <v>0</v>
      </c>
      <c r="G71" s="459">
        <v>0</v>
      </c>
      <c r="H71" s="459">
        <v>0</v>
      </c>
      <c r="I71" s="449">
        <v>0</v>
      </c>
      <c r="J71" s="475"/>
      <c r="K71" s="447"/>
      <c r="L71" s="447"/>
      <c r="M71" s="450"/>
    </row>
    <row r="72" spans="1:13" ht="12">
      <c r="A72" s="472" t="s">
        <v>1769</v>
      </c>
      <c r="B72" s="464" t="s">
        <v>461</v>
      </c>
      <c r="C72" s="445" t="s">
        <v>1742</v>
      </c>
      <c r="D72" s="444" t="s">
        <v>461</v>
      </c>
      <c r="E72" s="459">
        <v>0</v>
      </c>
      <c r="F72" s="459">
        <v>0.35388277</v>
      </c>
      <c r="G72" s="459">
        <v>0</v>
      </c>
      <c r="H72" s="459">
        <v>0.35388277</v>
      </c>
      <c r="I72" s="447">
        <v>0.70776554</v>
      </c>
      <c r="J72" s="448">
        <v>0.71</v>
      </c>
      <c r="K72" s="449">
        <v>0.7</v>
      </c>
      <c r="L72" s="449"/>
      <c r="M72" s="450"/>
    </row>
    <row r="73" spans="1:13" ht="12">
      <c r="A73" s="429" t="s">
        <v>1770</v>
      </c>
      <c r="B73" s="499"/>
      <c r="C73" s="452" t="s">
        <v>1743</v>
      </c>
      <c r="D73" s="433"/>
      <c r="E73" s="453">
        <v>0</v>
      </c>
      <c r="F73" s="453">
        <v>0.133437</v>
      </c>
      <c r="G73" s="453">
        <v>0</v>
      </c>
      <c r="H73" s="453">
        <v>0.053517</v>
      </c>
      <c r="I73" s="454">
        <v>0.186954</v>
      </c>
      <c r="J73" s="455">
        <v>0.1</v>
      </c>
      <c r="K73" s="456">
        <v>0.06</v>
      </c>
      <c r="L73" s="456"/>
      <c r="M73" s="457"/>
    </row>
    <row r="74" spans="1:13" ht="12">
      <c r="A74" s="493" t="s">
        <v>1756</v>
      </c>
      <c r="B74" s="464">
        <v>90.6</v>
      </c>
      <c r="C74" s="438" t="s">
        <v>1741</v>
      </c>
      <c r="D74" s="444"/>
      <c r="E74" s="459">
        <v>0</v>
      </c>
      <c r="F74" s="459">
        <v>0</v>
      </c>
      <c r="G74" s="459">
        <v>0</v>
      </c>
      <c r="H74" s="459">
        <v>0</v>
      </c>
      <c r="I74" s="449">
        <v>0</v>
      </c>
      <c r="J74" s="475"/>
      <c r="K74" s="447"/>
      <c r="L74" s="447"/>
      <c r="M74" s="450"/>
    </row>
    <row r="75" spans="1:13" ht="12">
      <c r="A75" s="472" t="s">
        <v>1771</v>
      </c>
      <c r="B75" s="464" t="s">
        <v>472</v>
      </c>
      <c r="C75" s="445" t="s">
        <v>1742</v>
      </c>
      <c r="D75" s="444" t="s">
        <v>472</v>
      </c>
      <c r="E75" s="459">
        <v>0</v>
      </c>
      <c r="F75" s="459">
        <v>0</v>
      </c>
      <c r="G75" s="459">
        <v>0</v>
      </c>
      <c r="H75" s="459">
        <v>0</v>
      </c>
      <c r="I75" s="447">
        <v>0</v>
      </c>
      <c r="J75" s="448">
        <v>5.03</v>
      </c>
      <c r="K75" s="449">
        <v>10.07</v>
      </c>
      <c r="L75" s="449">
        <v>10.07</v>
      </c>
      <c r="M75" s="476">
        <v>10.07</v>
      </c>
    </row>
    <row r="76" spans="1:13" ht="12">
      <c r="A76" s="479"/>
      <c r="B76" s="499"/>
      <c r="C76" s="452" t="s">
        <v>1743</v>
      </c>
      <c r="D76" s="433"/>
      <c r="E76" s="453">
        <v>0</v>
      </c>
      <c r="F76" s="453">
        <v>2.290167</v>
      </c>
      <c r="G76" s="453">
        <v>0</v>
      </c>
      <c r="H76" s="453">
        <v>2.30275</v>
      </c>
      <c r="I76" s="454">
        <v>4.592917</v>
      </c>
      <c r="J76" s="455">
        <v>5.55</v>
      </c>
      <c r="K76" s="456">
        <v>4.69</v>
      </c>
      <c r="L76" s="456">
        <v>4.07</v>
      </c>
      <c r="M76" s="457">
        <v>3.44</v>
      </c>
    </row>
    <row r="77" spans="1:13" ht="12">
      <c r="A77" s="472" t="s">
        <v>1772</v>
      </c>
      <c r="B77" s="510">
        <v>2.43</v>
      </c>
      <c r="C77" s="438" t="s">
        <v>1741</v>
      </c>
      <c r="D77" s="444"/>
      <c r="E77" s="459">
        <v>0</v>
      </c>
      <c r="F77" s="459">
        <v>0</v>
      </c>
      <c r="G77" s="459">
        <v>0</v>
      </c>
      <c r="H77" s="459">
        <v>0</v>
      </c>
      <c r="I77" s="449">
        <v>0</v>
      </c>
      <c r="J77" s="475"/>
      <c r="K77" s="447"/>
      <c r="L77" s="447"/>
      <c r="M77" s="450"/>
    </row>
    <row r="78" spans="1:13" ht="12">
      <c r="A78" s="472" t="s">
        <v>1773</v>
      </c>
      <c r="B78" s="444" t="s">
        <v>461</v>
      </c>
      <c r="C78" s="445" t="s">
        <v>1742</v>
      </c>
      <c r="D78" s="444" t="s">
        <v>461</v>
      </c>
      <c r="E78" s="459">
        <v>0.14304896</v>
      </c>
      <c r="F78" s="459">
        <v>0</v>
      </c>
      <c r="G78" s="459">
        <v>0.14304896</v>
      </c>
      <c r="H78" s="459">
        <v>0</v>
      </c>
      <c r="I78" s="447">
        <v>0.28609792</v>
      </c>
      <c r="J78" s="448">
        <v>0.29</v>
      </c>
      <c r="K78" s="449">
        <v>0.29</v>
      </c>
      <c r="L78" s="449">
        <v>0.29</v>
      </c>
      <c r="M78" s="476">
        <v>0.29</v>
      </c>
    </row>
    <row r="79" spans="1:13" ht="12">
      <c r="A79" s="479"/>
      <c r="B79" s="511"/>
      <c r="C79" s="452" t="s">
        <v>1743</v>
      </c>
      <c r="D79" s="433"/>
      <c r="E79" s="453">
        <v>0</v>
      </c>
      <c r="F79" s="453">
        <v>0</v>
      </c>
      <c r="G79" s="453">
        <v>0</v>
      </c>
      <c r="H79" s="453">
        <v>0</v>
      </c>
      <c r="I79" s="454">
        <v>0</v>
      </c>
      <c r="J79" s="455"/>
      <c r="K79" s="456"/>
      <c r="L79" s="456"/>
      <c r="M79" s="457"/>
    </row>
    <row r="80" spans="1:13" ht="12">
      <c r="A80" s="472" t="s">
        <v>1772</v>
      </c>
      <c r="B80" s="464" t="s">
        <v>1774</v>
      </c>
      <c r="C80" s="438" t="s">
        <v>1741</v>
      </c>
      <c r="D80" s="444" t="s">
        <v>546</v>
      </c>
      <c r="E80" s="459">
        <v>0</v>
      </c>
      <c r="F80" s="459">
        <v>0</v>
      </c>
      <c r="G80" s="459">
        <v>0</v>
      </c>
      <c r="H80" s="459">
        <v>0</v>
      </c>
      <c r="I80" s="449">
        <v>0</v>
      </c>
      <c r="J80" s="475"/>
      <c r="K80" s="447"/>
      <c r="L80" s="447"/>
      <c r="M80" s="450"/>
    </row>
    <row r="81" spans="1:13" ht="12">
      <c r="A81" s="472" t="s">
        <v>1775</v>
      </c>
      <c r="B81" s="444" t="s">
        <v>461</v>
      </c>
      <c r="C81" s="445" t="s">
        <v>1742</v>
      </c>
      <c r="D81" s="444" t="s">
        <v>461</v>
      </c>
      <c r="E81" s="459">
        <v>0.034</v>
      </c>
      <c r="F81" s="459">
        <v>0</v>
      </c>
      <c r="G81" s="459">
        <v>0.034</v>
      </c>
      <c r="H81" s="459">
        <v>0</v>
      </c>
      <c r="I81" s="447">
        <v>0.068</v>
      </c>
      <c r="J81" s="448">
        <v>0.07</v>
      </c>
      <c r="K81" s="449">
        <v>0.07</v>
      </c>
      <c r="L81" s="449">
        <v>0.07</v>
      </c>
      <c r="M81" s="476">
        <v>0.07</v>
      </c>
    </row>
    <row r="82" spans="1:13" ht="12">
      <c r="A82" s="479"/>
      <c r="B82" s="492"/>
      <c r="C82" s="452" t="s">
        <v>1743</v>
      </c>
      <c r="D82" s="433"/>
      <c r="E82" s="453">
        <v>0</v>
      </c>
      <c r="F82" s="453">
        <v>0</v>
      </c>
      <c r="G82" s="453">
        <v>0</v>
      </c>
      <c r="H82" s="453">
        <v>0</v>
      </c>
      <c r="I82" s="454">
        <v>0</v>
      </c>
      <c r="J82" s="455"/>
      <c r="K82" s="456"/>
      <c r="L82" s="456"/>
      <c r="M82" s="457"/>
    </row>
    <row r="83" spans="1:13" ht="12">
      <c r="A83" s="472" t="s">
        <v>1776</v>
      </c>
      <c r="B83" s="473">
        <v>0.43</v>
      </c>
      <c r="C83" s="438" t="s">
        <v>1741</v>
      </c>
      <c r="D83" s="512"/>
      <c r="E83" s="459">
        <v>0</v>
      </c>
      <c r="F83" s="459">
        <v>0</v>
      </c>
      <c r="G83" s="459">
        <v>0</v>
      </c>
      <c r="H83" s="459">
        <v>0</v>
      </c>
      <c r="I83" s="449">
        <v>0</v>
      </c>
      <c r="J83" s="475"/>
      <c r="K83" s="447"/>
      <c r="L83" s="447"/>
      <c r="M83" s="450"/>
    </row>
    <row r="84" spans="1:13" ht="12">
      <c r="A84" s="472" t="s">
        <v>1777</v>
      </c>
      <c r="B84" s="232" t="s">
        <v>461</v>
      </c>
      <c r="C84" s="445" t="s">
        <v>1742</v>
      </c>
      <c r="D84" s="513" t="s">
        <v>461</v>
      </c>
      <c r="E84" s="459">
        <v>0</v>
      </c>
      <c r="F84" s="459">
        <v>0</v>
      </c>
      <c r="G84" s="459">
        <v>0.02865397</v>
      </c>
      <c r="H84" s="459">
        <v>0</v>
      </c>
      <c r="I84" s="449">
        <v>0.02865397</v>
      </c>
      <c r="J84" s="448">
        <v>0.06</v>
      </c>
      <c r="K84" s="449">
        <v>0.06</v>
      </c>
      <c r="L84" s="449">
        <v>0.06</v>
      </c>
      <c r="M84" s="476">
        <v>0.06</v>
      </c>
    </row>
    <row r="85" spans="1:13" ht="12">
      <c r="A85" s="429"/>
      <c r="B85" s="242"/>
      <c r="C85" s="452" t="s">
        <v>1743</v>
      </c>
      <c r="D85" s="514"/>
      <c r="E85" s="453">
        <v>0</v>
      </c>
      <c r="F85" s="453">
        <v>0</v>
      </c>
      <c r="G85" s="453">
        <v>0</v>
      </c>
      <c r="H85" s="453">
        <v>0</v>
      </c>
      <c r="I85" s="454">
        <v>0</v>
      </c>
      <c r="J85" s="455"/>
      <c r="K85" s="456"/>
      <c r="L85" s="456"/>
      <c r="M85" s="457"/>
    </row>
    <row r="86" spans="1:13" ht="12">
      <c r="A86" s="472" t="s">
        <v>1776</v>
      </c>
      <c r="B86" s="473">
        <v>2.44</v>
      </c>
      <c r="C86" s="438" t="s">
        <v>1741</v>
      </c>
      <c r="D86" s="512"/>
      <c r="E86" s="459">
        <v>0</v>
      </c>
      <c r="F86" s="459">
        <v>0</v>
      </c>
      <c r="G86" s="459">
        <v>0</v>
      </c>
      <c r="H86" s="459">
        <v>0</v>
      </c>
      <c r="I86" s="449">
        <v>0</v>
      </c>
      <c r="J86" s="448"/>
      <c r="K86" s="449"/>
      <c r="L86" s="449"/>
      <c r="M86" s="476"/>
    </row>
    <row r="87" spans="1:13" ht="12">
      <c r="A87" s="472" t="s">
        <v>1778</v>
      </c>
      <c r="B87" s="232" t="s">
        <v>461</v>
      </c>
      <c r="C87" s="445" t="s">
        <v>1742</v>
      </c>
      <c r="D87" s="513" t="s">
        <v>461</v>
      </c>
      <c r="E87" s="459">
        <v>0</v>
      </c>
      <c r="F87" s="459">
        <v>0</v>
      </c>
      <c r="G87" s="459">
        <v>0.16261719</v>
      </c>
      <c r="H87" s="459">
        <v>0</v>
      </c>
      <c r="I87" s="449">
        <v>0.16261719</v>
      </c>
      <c r="J87" s="448">
        <v>0.34</v>
      </c>
      <c r="K87" s="449">
        <v>0.34</v>
      </c>
      <c r="L87" s="449">
        <v>0.34</v>
      </c>
      <c r="M87" s="476">
        <v>0.34</v>
      </c>
    </row>
    <row r="88" spans="1:13" ht="12">
      <c r="A88" s="429"/>
      <c r="B88" s="242"/>
      <c r="C88" s="452" t="s">
        <v>1743</v>
      </c>
      <c r="D88" s="514"/>
      <c r="E88" s="453">
        <v>0</v>
      </c>
      <c r="F88" s="453">
        <v>0</v>
      </c>
      <c r="G88" s="453">
        <v>0</v>
      </c>
      <c r="H88" s="453">
        <v>0</v>
      </c>
      <c r="I88" s="454">
        <v>0</v>
      </c>
      <c r="J88" s="455"/>
      <c r="K88" s="456"/>
      <c r="L88" s="456"/>
      <c r="M88" s="457"/>
    </row>
    <row r="89" spans="1:13" ht="12">
      <c r="A89" s="472" t="s">
        <v>1776</v>
      </c>
      <c r="B89" s="473">
        <v>0.07</v>
      </c>
      <c r="C89" s="438" t="s">
        <v>1741</v>
      </c>
      <c r="D89" s="512"/>
      <c r="E89" s="459">
        <v>0</v>
      </c>
      <c r="F89" s="459">
        <v>0</v>
      </c>
      <c r="G89" s="459">
        <v>0</v>
      </c>
      <c r="H89" s="459">
        <v>0</v>
      </c>
      <c r="I89" s="449">
        <v>0</v>
      </c>
      <c r="J89" s="475"/>
      <c r="K89" s="447"/>
      <c r="L89" s="447"/>
      <c r="M89" s="450"/>
    </row>
    <row r="90" spans="1:13" ht="12">
      <c r="A90" s="472" t="s">
        <v>1779</v>
      </c>
      <c r="B90" s="232" t="s">
        <v>461</v>
      </c>
      <c r="C90" s="445" t="s">
        <v>1742</v>
      </c>
      <c r="D90" s="513" t="s">
        <v>461</v>
      </c>
      <c r="E90" s="459">
        <v>0</v>
      </c>
      <c r="F90" s="459">
        <v>0</v>
      </c>
      <c r="G90" s="515">
        <v>0.00457747</v>
      </c>
      <c r="H90" s="459">
        <v>0</v>
      </c>
      <c r="I90" s="516">
        <v>0.00457747</v>
      </c>
      <c r="J90" s="448">
        <v>0.01</v>
      </c>
      <c r="K90" s="449">
        <v>0.01</v>
      </c>
      <c r="L90" s="449">
        <v>0.01</v>
      </c>
      <c r="M90" s="476">
        <v>0.01</v>
      </c>
    </row>
    <row r="91" spans="1:13" ht="12">
      <c r="A91" s="429"/>
      <c r="B91" s="242"/>
      <c r="C91" s="452" t="s">
        <v>1743</v>
      </c>
      <c r="D91" s="514"/>
      <c r="E91" s="453">
        <v>0</v>
      </c>
      <c r="F91" s="453">
        <v>0</v>
      </c>
      <c r="G91" s="453">
        <v>0</v>
      </c>
      <c r="H91" s="453">
        <v>0</v>
      </c>
      <c r="I91" s="454">
        <v>0</v>
      </c>
      <c r="J91" s="455"/>
      <c r="K91" s="456"/>
      <c r="L91" s="456"/>
      <c r="M91" s="457"/>
    </row>
    <row r="92" spans="1:13" ht="12">
      <c r="A92" s="472" t="s">
        <v>474</v>
      </c>
      <c r="B92" s="467">
        <v>1.44</v>
      </c>
      <c r="C92" s="438" t="s">
        <v>1741</v>
      </c>
      <c r="D92" s="444"/>
      <c r="E92" s="459">
        <v>0</v>
      </c>
      <c r="F92" s="459">
        <v>0</v>
      </c>
      <c r="G92" s="459">
        <v>0</v>
      </c>
      <c r="H92" s="459">
        <v>0</v>
      </c>
      <c r="I92" s="449">
        <v>0</v>
      </c>
      <c r="J92" s="475"/>
      <c r="K92" s="447"/>
      <c r="L92" s="447"/>
      <c r="M92" s="450"/>
    </row>
    <row r="93" spans="1:13" ht="12">
      <c r="A93" s="472" t="s">
        <v>1780</v>
      </c>
      <c r="B93" s="444" t="s">
        <v>472</v>
      </c>
      <c r="C93" s="445" t="s">
        <v>1742</v>
      </c>
      <c r="D93" s="444" t="s">
        <v>472</v>
      </c>
      <c r="E93" s="459">
        <v>0</v>
      </c>
      <c r="F93" s="459">
        <v>0.14434529999999998</v>
      </c>
      <c r="G93" s="459">
        <v>0</v>
      </c>
      <c r="H93" s="459">
        <v>0.14434529999999998</v>
      </c>
      <c r="I93" s="449">
        <v>0.28869059999999996</v>
      </c>
      <c r="J93" s="448">
        <v>0.285</v>
      </c>
      <c r="K93" s="517">
        <v>0.15</v>
      </c>
      <c r="L93" s="449"/>
      <c r="M93" s="450"/>
    </row>
    <row r="94" spans="1:13" ht="12">
      <c r="A94" s="479"/>
      <c r="B94" s="492"/>
      <c r="C94" s="452" t="s">
        <v>1743</v>
      </c>
      <c r="D94" s="433"/>
      <c r="E94" s="453">
        <v>0</v>
      </c>
      <c r="F94" s="453">
        <v>0.023661</v>
      </c>
      <c r="G94" s="453">
        <v>0</v>
      </c>
      <c r="H94" s="453">
        <v>0.019059</v>
      </c>
      <c r="I94" s="454">
        <v>0.04272</v>
      </c>
      <c r="J94" s="455">
        <v>0.012006</v>
      </c>
      <c r="K94" s="456">
        <v>0.00654</v>
      </c>
      <c r="L94" s="456"/>
      <c r="M94" s="457"/>
    </row>
    <row r="95" spans="1:13" ht="12">
      <c r="A95" s="472" t="s">
        <v>509</v>
      </c>
      <c r="B95" s="467">
        <v>1.16</v>
      </c>
      <c r="C95" s="438" t="s">
        <v>1741</v>
      </c>
      <c r="D95" s="444"/>
      <c r="E95" s="459">
        <v>0</v>
      </c>
      <c r="F95" s="459">
        <v>0</v>
      </c>
      <c r="G95" s="459">
        <v>0</v>
      </c>
      <c r="H95" s="459">
        <v>0</v>
      </c>
      <c r="I95" s="440">
        <v>0</v>
      </c>
      <c r="J95" s="448"/>
      <c r="K95" s="449"/>
      <c r="L95" s="449"/>
      <c r="M95" s="450"/>
    </row>
    <row r="96" spans="1:13" ht="12">
      <c r="A96" s="472" t="s">
        <v>1781</v>
      </c>
      <c r="B96" s="467" t="s">
        <v>461</v>
      </c>
      <c r="C96" s="445" t="s">
        <v>1742</v>
      </c>
      <c r="D96" s="444" t="s">
        <v>461</v>
      </c>
      <c r="E96" s="459">
        <v>0</v>
      </c>
      <c r="F96" s="459">
        <v>0.09701773</v>
      </c>
      <c r="G96" s="459">
        <v>0</v>
      </c>
      <c r="H96" s="459">
        <v>0.09701773</v>
      </c>
      <c r="I96" s="447">
        <v>0.19403546</v>
      </c>
      <c r="J96" s="448">
        <v>0.19</v>
      </c>
      <c r="K96" s="449">
        <v>0.19</v>
      </c>
      <c r="L96" s="449">
        <v>0.19</v>
      </c>
      <c r="M96" s="476">
        <v>0.21</v>
      </c>
    </row>
    <row r="97" spans="1:13" ht="12">
      <c r="A97" s="479"/>
      <c r="B97" s="492"/>
      <c r="C97" s="452" t="s">
        <v>1743</v>
      </c>
      <c r="D97" s="433"/>
      <c r="E97" s="459">
        <v>0</v>
      </c>
      <c r="F97" s="459">
        <v>0.034242</v>
      </c>
      <c r="G97" s="459">
        <v>0</v>
      </c>
      <c r="H97" s="459">
        <v>0.027074</v>
      </c>
      <c r="I97" s="454">
        <v>0.061316</v>
      </c>
      <c r="J97" s="455">
        <v>0.02</v>
      </c>
      <c r="K97" s="456">
        <v>0.01</v>
      </c>
      <c r="L97" s="456">
        <v>0.01</v>
      </c>
      <c r="M97" s="457">
        <v>0.01</v>
      </c>
    </row>
    <row r="98" spans="1:13" ht="12">
      <c r="A98" s="472" t="s">
        <v>1772</v>
      </c>
      <c r="B98" s="467">
        <v>17.66</v>
      </c>
      <c r="C98" s="438" t="s">
        <v>1741</v>
      </c>
      <c r="D98" s="444" t="s">
        <v>546</v>
      </c>
      <c r="E98" s="439"/>
      <c r="F98" s="439"/>
      <c r="G98" s="439"/>
      <c r="H98" s="439"/>
      <c r="I98" s="440">
        <v>0</v>
      </c>
      <c r="J98" s="448"/>
      <c r="K98" s="449"/>
      <c r="L98" s="449"/>
      <c r="M98" s="450"/>
    </row>
    <row r="99" spans="1:13" ht="12">
      <c r="A99" s="472" t="s">
        <v>1782</v>
      </c>
      <c r="B99" s="467" t="s">
        <v>546</v>
      </c>
      <c r="C99" s="445" t="s">
        <v>1742</v>
      </c>
      <c r="D99" s="444" t="s">
        <v>461</v>
      </c>
      <c r="E99" s="459"/>
      <c r="F99" s="459"/>
      <c r="G99" s="459"/>
      <c r="H99" s="459"/>
      <c r="I99" s="447">
        <v>0</v>
      </c>
      <c r="J99" s="448">
        <v>0.34</v>
      </c>
      <c r="K99" s="448">
        <v>0.34</v>
      </c>
      <c r="L99" s="448">
        <v>0.34</v>
      </c>
      <c r="M99" s="448">
        <v>0.34</v>
      </c>
    </row>
    <row r="100" spans="1:13" ht="12">
      <c r="A100" s="479"/>
      <c r="B100" s="492"/>
      <c r="C100" s="452" t="s">
        <v>1743</v>
      </c>
      <c r="D100" s="433"/>
      <c r="E100" s="505"/>
      <c r="F100" s="505"/>
      <c r="G100" s="505"/>
      <c r="H100" s="505"/>
      <c r="I100" s="454">
        <v>0</v>
      </c>
      <c r="J100" s="455"/>
      <c r="K100" s="456"/>
      <c r="L100" s="456"/>
      <c r="M100" s="457"/>
    </row>
    <row r="101" spans="1:13" ht="12">
      <c r="A101" s="518" t="s">
        <v>1783</v>
      </c>
      <c r="B101" s="519">
        <v>31.47551471</v>
      </c>
      <c r="C101" s="438" t="s">
        <v>1741</v>
      </c>
      <c r="D101" s="512"/>
      <c r="E101" s="520">
        <v>0</v>
      </c>
      <c r="F101" s="520">
        <v>0</v>
      </c>
      <c r="G101" s="520">
        <v>0</v>
      </c>
      <c r="H101" s="520">
        <v>0</v>
      </c>
      <c r="I101" s="447">
        <v>0</v>
      </c>
      <c r="J101" s="475"/>
      <c r="K101" s="447"/>
      <c r="L101" s="447"/>
      <c r="M101" s="450"/>
    </row>
    <row r="102" spans="1:13" ht="12">
      <c r="A102" s="518" t="s">
        <v>1784</v>
      </c>
      <c r="B102" s="513" t="s">
        <v>461</v>
      </c>
      <c r="C102" s="445" t="s">
        <v>1742</v>
      </c>
      <c r="D102" s="513" t="s">
        <v>461</v>
      </c>
      <c r="E102" s="520">
        <v>0.303</v>
      </c>
      <c r="F102" s="520">
        <v>0</v>
      </c>
      <c r="G102" s="520">
        <v>0.303</v>
      </c>
      <c r="H102" s="520">
        <v>0</v>
      </c>
      <c r="I102" s="447">
        <v>0.606</v>
      </c>
      <c r="J102" s="448">
        <v>0.61</v>
      </c>
      <c r="K102" s="449">
        <v>0.61</v>
      </c>
      <c r="L102" s="449">
        <v>0.61</v>
      </c>
      <c r="M102" s="476">
        <v>0.61</v>
      </c>
    </row>
    <row r="103" spans="1:13" ht="12">
      <c r="A103" s="521"/>
      <c r="B103" s="514"/>
      <c r="C103" s="452" t="s">
        <v>1743</v>
      </c>
      <c r="D103" s="514"/>
      <c r="E103" s="522">
        <v>0</v>
      </c>
      <c r="F103" s="522">
        <v>0</v>
      </c>
      <c r="G103" s="522">
        <v>0</v>
      </c>
      <c r="H103" s="522">
        <v>0</v>
      </c>
      <c r="I103" s="454">
        <v>0</v>
      </c>
      <c r="J103" s="455"/>
      <c r="K103" s="456"/>
      <c r="L103" s="456"/>
      <c r="M103" s="457"/>
    </row>
    <row r="104" spans="1:13" ht="12">
      <c r="A104" s="518" t="s">
        <v>1772</v>
      </c>
      <c r="B104" s="523" t="s">
        <v>541</v>
      </c>
      <c r="C104" s="438" t="s">
        <v>1741</v>
      </c>
      <c r="D104" s="524"/>
      <c r="E104" s="520">
        <v>0</v>
      </c>
      <c r="F104" s="520">
        <v>0</v>
      </c>
      <c r="G104" s="520">
        <v>0</v>
      </c>
      <c r="H104" s="520">
        <v>0</v>
      </c>
      <c r="I104" s="449">
        <v>0</v>
      </c>
      <c r="J104" s="448"/>
      <c r="K104" s="449"/>
      <c r="L104" s="449"/>
      <c r="M104" s="450"/>
    </row>
    <row r="105" spans="1:13" ht="12">
      <c r="A105" s="518" t="s">
        <v>1785</v>
      </c>
      <c r="B105" s="524" t="s">
        <v>546</v>
      </c>
      <c r="C105" s="445" t="s">
        <v>1742</v>
      </c>
      <c r="D105" s="524" t="s">
        <v>546</v>
      </c>
      <c r="E105" s="520">
        <v>0</v>
      </c>
      <c r="F105" s="520">
        <v>0.02</v>
      </c>
      <c r="G105" s="520">
        <v>0</v>
      </c>
      <c r="H105" s="520">
        <v>0.02</v>
      </c>
      <c r="I105" s="449">
        <v>0.04</v>
      </c>
      <c r="J105" s="448">
        <v>0.04</v>
      </c>
      <c r="K105" s="449">
        <v>0.04</v>
      </c>
      <c r="L105" s="449">
        <v>0.04</v>
      </c>
      <c r="M105" s="476">
        <v>0.04</v>
      </c>
    </row>
    <row r="106" spans="1:13" ht="12">
      <c r="A106" s="525"/>
      <c r="B106" s="526"/>
      <c r="C106" s="452" t="s">
        <v>1743</v>
      </c>
      <c r="D106" s="527"/>
      <c r="E106" s="520">
        <v>0</v>
      </c>
      <c r="F106" s="520">
        <v>0</v>
      </c>
      <c r="G106" s="520">
        <v>0</v>
      </c>
      <c r="H106" s="520">
        <v>0</v>
      </c>
      <c r="I106" s="454">
        <v>0</v>
      </c>
      <c r="J106" s="455"/>
      <c r="K106" s="456"/>
      <c r="L106" s="456"/>
      <c r="M106" s="457"/>
    </row>
    <row r="107" spans="1:13" ht="12">
      <c r="A107" s="472" t="s">
        <v>1772</v>
      </c>
      <c r="B107" s="528">
        <v>17.35</v>
      </c>
      <c r="C107" s="438" t="s">
        <v>1741</v>
      </c>
      <c r="D107" s="232"/>
      <c r="E107" s="439">
        <v>0</v>
      </c>
      <c r="F107" s="439">
        <v>0</v>
      </c>
      <c r="G107" s="439">
        <v>0</v>
      </c>
      <c r="H107" s="439">
        <v>0</v>
      </c>
      <c r="I107" s="440">
        <v>0</v>
      </c>
      <c r="J107" s="506"/>
      <c r="K107" s="507"/>
      <c r="L107" s="507"/>
      <c r="M107" s="450"/>
    </row>
    <row r="108" spans="1:13" ht="12">
      <c r="A108" s="472" t="s">
        <v>1786</v>
      </c>
      <c r="B108" s="528" t="s">
        <v>546</v>
      </c>
      <c r="C108" s="445" t="s">
        <v>1742</v>
      </c>
      <c r="D108" s="232" t="s">
        <v>546</v>
      </c>
      <c r="E108" s="446">
        <v>1.02087455</v>
      </c>
      <c r="F108" s="446">
        <v>0</v>
      </c>
      <c r="G108" s="446">
        <v>1.02087455</v>
      </c>
      <c r="H108" s="446">
        <v>0</v>
      </c>
      <c r="I108" s="449">
        <v>2.0417491</v>
      </c>
      <c r="J108" s="448">
        <v>2.04</v>
      </c>
      <c r="K108" s="449">
        <v>2.04</v>
      </c>
      <c r="L108" s="449">
        <v>2.04</v>
      </c>
      <c r="M108" s="476">
        <v>2.04</v>
      </c>
    </row>
    <row r="109" spans="1:13" ht="12">
      <c r="A109" s="429"/>
      <c r="B109" s="529"/>
      <c r="C109" s="452" t="s">
        <v>1743</v>
      </c>
      <c r="D109" s="242"/>
      <c r="E109" s="453">
        <v>0</v>
      </c>
      <c r="F109" s="453">
        <v>0</v>
      </c>
      <c r="G109" s="453">
        <v>0</v>
      </c>
      <c r="H109" s="453">
        <v>0</v>
      </c>
      <c r="I109" s="456">
        <v>0</v>
      </c>
      <c r="J109" s="508"/>
      <c r="K109" s="509"/>
      <c r="L109" s="509"/>
      <c r="M109" s="457"/>
    </row>
    <row r="110" spans="1:13" ht="12">
      <c r="A110" s="472"/>
      <c r="B110" s="528">
        <v>3</v>
      </c>
      <c r="C110" s="438" t="s">
        <v>1741</v>
      </c>
      <c r="D110" s="232"/>
      <c r="E110" s="459">
        <v>0</v>
      </c>
      <c r="F110" s="459">
        <v>0</v>
      </c>
      <c r="G110" s="459">
        <v>0</v>
      </c>
      <c r="H110" s="459">
        <v>0</v>
      </c>
      <c r="I110" s="449">
        <v>0</v>
      </c>
      <c r="J110" s="506"/>
      <c r="K110" s="507"/>
      <c r="L110" s="507"/>
      <c r="M110" s="450"/>
    </row>
    <row r="111" spans="1:13" ht="12">
      <c r="A111" s="472" t="s">
        <v>1787</v>
      </c>
      <c r="B111" s="528" t="s">
        <v>590</v>
      </c>
      <c r="C111" s="445" t="s">
        <v>1742</v>
      </c>
      <c r="D111" s="232" t="s">
        <v>590</v>
      </c>
      <c r="E111" s="459">
        <v>0</v>
      </c>
      <c r="F111" s="459">
        <v>0</v>
      </c>
      <c r="G111" s="459">
        <v>0.117794</v>
      </c>
      <c r="H111" s="459">
        <v>0</v>
      </c>
      <c r="I111" s="449">
        <v>0.117794</v>
      </c>
      <c r="J111" s="506">
        <v>0.235588</v>
      </c>
      <c r="K111" s="507">
        <v>0.235588</v>
      </c>
      <c r="L111" s="507">
        <v>0.235588</v>
      </c>
      <c r="M111" s="450">
        <v>0.235588</v>
      </c>
    </row>
    <row r="112" spans="1:13" ht="12">
      <c r="A112" s="429"/>
      <c r="B112" s="529"/>
      <c r="C112" s="452" t="s">
        <v>1743</v>
      </c>
      <c r="D112" s="242"/>
      <c r="E112" s="459">
        <v>0.035737</v>
      </c>
      <c r="F112" s="459">
        <v>0</v>
      </c>
      <c r="G112" s="459">
        <v>0.056541</v>
      </c>
      <c r="H112" s="459">
        <v>0</v>
      </c>
      <c r="I112" s="449">
        <v>0.092278</v>
      </c>
      <c r="J112" s="508">
        <v>0.10248</v>
      </c>
      <c r="K112" s="509">
        <v>0.088346</v>
      </c>
      <c r="L112" s="509">
        <v>0.07421</v>
      </c>
      <c r="M112" s="457">
        <v>0.060074</v>
      </c>
    </row>
    <row r="113" spans="1:13" ht="12">
      <c r="A113" s="518" t="s">
        <v>1788</v>
      </c>
      <c r="B113" s="530">
        <v>20</v>
      </c>
      <c r="C113" s="438" t="s">
        <v>1741</v>
      </c>
      <c r="D113" s="531"/>
      <c r="E113" s="532">
        <v>0.62</v>
      </c>
      <c r="F113" s="532">
        <v>0.62</v>
      </c>
      <c r="G113" s="532">
        <v>0.62</v>
      </c>
      <c r="H113" s="532">
        <v>0.62</v>
      </c>
      <c r="I113" s="440">
        <v>2.48</v>
      </c>
      <c r="J113" s="533">
        <v>1.65</v>
      </c>
      <c r="K113" s="534">
        <v>2.957</v>
      </c>
      <c r="L113" s="534">
        <v>3.5969999999999995</v>
      </c>
      <c r="M113" s="450"/>
    </row>
    <row r="114" spans="1:13" ht="12">
      <c r="A114" s="518" t="s">
        <v>1789</v>
      </c>
      <c r="B114" s="535" t="s">
        <v>1750</v>
      </c>
      <c r="C114" s="445" t="s">
        <v>1742</v>
      </c>
      <c r="D114" s="536" t="s">
        <v>834</v>
      </c>
      <c r="E114" s="537">
        <v>0</v>
      </c>
      <c r="F114" s="537">
        <v>0</v>
      </c>
      <c r="G114" s="537">
        <v>0</v>
      </c>
      <c r="H114" s="537">
        <v>0</v>
      </c>
      <c r="I114" s="447">
        <v>0</v>
      </c>
      <c r="J114" s="506"/>
      <c r="K114" s="507"/>
      <c r="L114" s="507"/>
      <c r="M114" s="450"/>
    </row>
    <row r="115" spans="1:13" ht="12">
      <c r="A115" s="521"/>
      <c r="B115" s="538"/>
      <c r="C115" s="452" t="s">
        <v>1743</v>
      </c>
      <c r="D115" s="539"/>
      <c r="E115" s="522">
        <v>0</v>
      </c>
      <c r="F115" s="522">
        <v>0</v>
      </c>
      <c r="G115" s="522">
        <v>0</v>
      </c>
      <c r="H115" s="522">
        <v>0</v>
      </c>
      <c r="I115" s="454">
        <v>0</v>
      </c>
      <c r="J115" s="508"/>
      <c r="K115" s="509"/>
      <c r="L115" s="509"/>
      <c r="M115" s="457"/>
    </row>
    <row r="116" spans="1:13" ht="12">
      <c r="A116" s="493" t="s">
        <v>1756</v>
      </c>
      <c r="B116" s="540">
        <v>18.6</v>
      </c>
      <c r="C116" s="438" t="s">
        <v>1741</v>
      </c>
      <c r="D116" s="541"/>
      <c r="E116" s="487">
        <v>3.2777760000000002</v>
      </c>
      <c r="F116" s="487">
        <v>3.2777760000000002</v>
      </c>
      <c r="G116" s="487">
        <v>3.2777760000000002</v>
      </c>
      <c r="H116" s="487">
        <v>3.2777839999999996</v>
      </c>
      <c r="I116" s="440">
        <v>13.111111999999999</v>
      </c>
      <c r="J116" s="506">
        <v>5.49</v>
      </c>
      <c r="K116" s="507"/>
      <c r="L116" s="507"/>
      <c r="M116" s="476"/>
    </row>
    <row r="117" spans="1:13" ht="12">
      <c r="A117" s="542" t="s">
        <v>1790</v>
      </c>
      <c r="B117" s="540" t="s">
        <v>472</v>
      </c>
      <c r="C117" s="445" t="s">
        <v>1742</v>
      </c>
      <c r="D117" s="541" t="s">
        <v>472</v>
      </c>
      <c r="E117" s="487">
        <v>0</v>
      </c>
      <c r="F117" s="487">
        <v>0</v>
      </c>
      <c r="G117" s="487">
        <v>0</v>
      </c>
      <c r="H117" s="487">
        <v>0</v>
      </c>
      <c r="I117" s="449">
        <v>0</v>
      </c>
      <c r="J117" s="506"/>
      <c r="K117" s="507"/>
      <c r="L117" s="507"/>
      <c r="M117" s="476"/>
    </row>
    <row r="118" spans="1:13" ht="12">
      <c r="A118" s="543"/>
      <c r="B118" s="498"/>
      <c r="C118" s="452" t="s">
        <v>1743</v>
      </c>
      <c r="D118" s="544"/>
      <c r="E118" s="490">
        <v>0</v>
      </c>
      <c r="F118" s="490">
        <v>0.106369</v>
      </c>
      <c r="G118" s="490">
        <v>0</v>
      </c>
      <c r="H118" s="490">
        <v>0.200869</v>
      </c>
      <c r="I118" s="456">
        <v>0.307238</v>
      </c>
      <c r="J118" s="508">
        <v>0.73</v>
      </c>
      <c r="K118" s="509"/>
      <c r="L118" s="509"/>
      <c r="M118" s="491"/>
    </row>
    <row r="119" spans="1:13" ht="12">
      <c r="A119" s="493" t="s">
        <v>1756</v>
      </c>
      <c r="B119" s="540">
        <v>7.95</v>
      </c>
      <c r="C119" s="438" t="s">
        <v>1741</v>
      </c>
      <c r="D119" s="541"/>
      <c r="E119" s="487">
        <v>0.5703119999999999</v>
      </c>
      <c r="F119" s="487">
        <v>1.4307281250000001</v>
      </c>
      <c r="G119" s="487">
        <v>1.4307281250000001</v>
      </c>
      <c r="H119" s="487">
        <v>1.4307281250000001</v>
      </c>
      <c r="I119" s="440">
        <v>4.862496375</v>
      </c>
      <c r="J119" s="506">
        <v>1.9859370000000003</v>
      </c>
      <c r="K119" s="507">
        <v>1.1</v>
      </c>
      <c r="L119" s="507"/>
      <c r="M119" s="476"/>
    </row>
    <row r="120" spans="1:13" ht="12">
      <c r="A120" s="472" t="s">
        <v>1791</v>
      </c>
      <c r="B120" s="540" t="s">
        <v>461</v>
      </c>
      <c r="C120" s="445" t="s">
        <v>1742</v>
      </c>
      <c r="D120" s="541" t="s">
        <v>461</v>
      </c>
      <c r="E120" s="487">
        <v>0</v>
      </c>
      <c r="F120" s="487">
        <v>0</v>
      </c>
      <c r="G120" s="487">
        <v>0</v>
      </c>
      <c r="H120" s="487">
        <v>0</v>
      </c>
      <c r="I120" s="449">
        <v>0</v>
      </c>
      <c r="J120" s="506"/>
      <c r="K120" s="507"/>
      <c r="L120" s="507">
        <v>0.205</v>
      </c>
      <c r="M120" s="476">
        <v>0.43</v>
      </c>
    </row>
    <row r="121" spans="1:13" ht="12">
      <c r="A121" s="429" t="s">
        <v>1792</v>
      </c>
      <c r="B121" s="498"/>
      <c r="C121" s="452" t="s">
        <v>1743</v>
      </c>
      <c r="D121" s="544"/>
      <c r="E121" s="490">
        <v>0</v>
      </c>
      <c r="F121" s="490">
        <v>0</v>
      </c>
      <c r="G121" s="490">
        <v>0</v>
      </c>
      <c r="H121" s="490">
        <v>0</v>
      </c>
      <c r="I121" s="456">
        <v>0</v>
      </c>
      <c r="J121" s="508"/>
      <c r="K121" s="509"/>
      <c r="L121" s="509">
        <v>0.51675</v>
      </c>
      <c r="M121" s="491">
        <v>0.489775</v>
      </c>
    </row>
    <row r="122" spans="1:13" ht="12">
      <c r="A122" s="545"/>
      <c r="B122" s="540">
        <v>2.5</v>
      </c>
      <c r="C122" s="438" t="s">
        <v>1741</v>
      </c>
      <c r="D122" s="541"/>
      <c r="E122" s="546">
        <v>0</v>
      </c>
      <c r="F122" s="546">
        <v>0</v>
      </c>
      <c r="G122" s="546">
        <v>0</v>
      </c>
      <c r="H122" s="546">
        <v>0</v>
      </c>
      <c r="I122" s="507">
        <v>0</v>
      </c>
      <c r="J122" s="506"/>
      <c r="K122" s="507"/>
      <c r="L122" s="507"/>
      <c r="M122" s="476"/>
    </row>
    <row r="123" spans="1:13" ht="12">
      <c r="A123" s="545" t="s">
        <v>1793</v>
      </c>
      <c r="B123" s="540" t="s">
        <v>590</v>
      </c>
      <c r="C123" s="445" t="s">
        <v>1742</v>
      </c>
      <c r="D123" s="541" t="s">
        <v>590</v>
      </c>
      <c r="E123" s="546">
        <v>0.156978</v>
      </c>
      <c r="F123" s="546">
        <v>0</v>
      </c>
      <c r="G123" s="546">
        <v>0.256655</v>
      </c>
      <c r="H123" s="546">
        <v>0</v>
      </c>
      <c r="I123" s="507">
        <v>0.41363300000000003</v>
      </c>
      <c r="J123" s="506">
        <v>0.49131</v>
      </c>
      <c r="K123" s="506">
        <v>0.49131</v>
      </c>
      <c r="L123" s="506">
        <v>0.49131</v>
      </c>
      <c r="M123" s="506">
        <v>0.48031</v>
      </c>
    </row>
    <row r="124" spans="1:13" ht="12">
      <c r="A124" s="543"/>
      <c r="B124" s="498"/>
      <c r="C124" s="452" t="s">
        <v>1743</v>
      </c>
      <c r="D124" s="544"/>
      <c r="E124" s="490">
        <v>0.034054</v>
      </c>
      <c r="F124" s="547">
        <v>0</v>
      </c>
      <c r="G124" s="547">
        <v>0.066327</v>
      </c>
      <c r="H124" s="547">
        <v>0</v>
      </c>
      <c r="I124" s="454">
        <v>0.100381</v>
      </c>
      <c r="J124" s="508">
        <v>0.110545</v>
      </c>
      <c r="K124" s="509">
        <v>0.081066</v>
      </c>
      <c r="L124" s="509">
        <v>0.051588</v>
      </c>
      <c r="M124" s="491">
        <v>0.022109</v>
      </c>
    </row>
    <row r="125" spans="1:13" ht="12">
      <c r="A125" s="493" t="s">
        <v>1756</v>
      </c>
      <c r="B125" s="548">
        <v>8.585</v>
      </c>
      <c r="C125" s="549" t="s">
        <v>1741</v>
      </c>
      <c r="D125" s="550"/>
      <c r="E125" s="546">
        <v>0.2025</v>
      </c>
      <c r="F125" s="546">
        <v>0.2025</v>
      </c>
      <c r="G125" s="546">
        <v>0.2025</v>
      </c>
      <c r="H125" s="546">
        <v>0.2025</v>
      </c>
      <c r="I125" s="551">
        <v>0.81</v>
      </c>
      <c r="J125" s="552">
        <v>3.42</v>
      </c>
      <c r="K125" s="551">
        <v>2.72</v>
      </c>
      <c r="L125" s="551">
        <v>1.635</v>
      </c>
      <c r="M125" s="476"/>
    </row>
    <row r="126" spans="1:13" ht="12">
      <c r="A126" s="545" t="s">
        <v>1794</v>
      </c>
      <c r="B126" s="540" t="s">
        <v>472</v>
      </c>
      <c r="C126" s="445" t="s">
        <v>1742</v>
      </c>
      <c r="D126" s="550" t="s">
        <v>472</v>
      </c>
      <c r="E126" s="546">
        <v>0</v>
      </c>
      <c r="F126" s="546">
        <v>0</v>
      </c>
      <c r="G126" s="546">
        <v>0</v>
      </c>
      <c r="H126" s="546">
        <v>0</v>
      </c>
      <c r="I126" s="551">
        <v>0</v>
      </c>
      <c r="J126" s="552"/>
      <c r="K126" s="551"/>
      <c r="L126" s="551"/>
      <c r="M126" s="476"/>
    </row>
    <row r="127" spans="1:13" ht="12">
      <c r="A127" s="543"/>
      <c r="B127" s="553"/>
      <c r="C127" s="452" t="s">
        <v>1743</v>
      </c>
      <c r="D127" s="554"/>
      <c r="E127" s="490">
        <v>0</v>
      </c>
      <c r="F127" s="547">
        <v>0</v>
      </c>
      <c r="G127" s="547">
        <v>0</v>
      </c>
      <c r="H127" s="547">
        <v>0</v>
      </c>
      <c r="I127" s="555">
        <v>0</v>
      </c>
      <c r="J127" s="556"/>
      <c r="K127" s="557"/>
      <c r="L127" s="557"/>
      <c r="M127" s="491"/>
    </row>
    <row r="128" spans="1:13" ht="12">
      <c r="A128" s="493" t="s">
        <v>1756</v>
      </c>
      <c r="B128" s="558">
        <v>30</v>
      </c>
      <c r="C128" s="438" t="s">
        <v>1741</v>
      </c>
      <c r="D128" s="559"/>
      <c r="E128" s="560">
        <v>0</v>
      </c>
      <c r="F128" s="560">
        <v>1.191146</v>
      </c>
      <c r="G128" s="560">
        <v>1.1911450000000001</v>
      </c>
      <c r="H128" s="560">
        <v>1.1911450000000001</v>
      </c>
      <c r="I128" s="561">
        <v>3.5734359999999996</v>
      </c>
      <c r="J128" s="552">
        <v>1.43</v>
      </c>
      <c r="K128" s="551">
        <v>6</v>
      </c>
      <c r="L128" s="551">
        <v>7.5</v>
      </c>
      <c r="M128" s="476">
        <v>8.5</v>
      </c>
    </row>
    <row r="129" spans="1:13" ht="12">
      <c r="A129" s="518" t="s">
        <v>1795</v>
      </c>
      <c r="B129" s="558" t="s">
        <v>461</v>
      </c>
      <c r="C129" s="445" t="s">
        <v>1742</v>
      </c>
      <c r="D129" s="559" t="s">
        <v>461</v>
      </c>
      <c r="E129" s="560">
        <v>0</v>
      </c>
      <c r="F129" s="560">
        <v>0</v>
      </c>
      <c r="G129" s="560">
        <v>0</v>
      </c>
      <c r="H129" s="560">
        <v>0</v>
      </c>
      <c r="I129" s="562">
        <v>0</v>
      </c>
      <c r="J129" s="552"/>
      <c r="K129" s="551"/>
      <c r="L129" s="551"/>
      <c r="M129" s="476"/>
    </row>
    <row r="130" spans="1:13" ht="12">
      <c r="A130" s="521"/>
      <c r="B130" s="526"/>
      <c r="C130" s="452" t="s">
        <v>1743</v>
      </c>
      <c r="D130" s="563"/>
      <c r="E130" s="564">
        <v>0</v>
      </c>
      <c r="F130" s="564">
        <v>0</v>
      </c>
      <c r="G130" s="564">
        <v>0</v>
      </c>
      <c r="H130" s="564">
        <v>0</v>
      </c>
      <c r="I130" s="565">
        <v>0</v>
      </c>
      <c r="J130" s="556"/>
      <c r="K130" s="557"/>
      <c r="L130" s="557"/>
      <c r="M130" s="491"/>
    </row>
    <row r="131" spans="1:13" ht="12">
      <c r="A131" s="493" t="s">
        <v>1756</v>
      </c>
      <c r="B131" s="566">
        <v>21.7</v>
      </c>
      <c r="C131" s="438" t="s">
        <v>1741</v>
      </c>
      <c r="D131" s="559"/>
      <c r="E131" s="560">
        <v>0</v>
      </c>
      <c r="F131" s="560">
        <v>2.4074074074</v>
      </c>
      <c r="G131" s="560">
        <v>2.4074074074</v>
      </c>
      <c r="H131" s="560">
        <v>2.4074074074</v>
      </c>
      <c r="I131" s="561">
        <v>7.222222222200001</v>
      </c>
      <c r="J131" s="552">
        <v>11</v>
      </c>
      <c r="K131" s="551">
        <v>3.48</v>
      </c>
      <c r="L131" s="551"/>
      <c r="M131" s="476"/>
    </row>
    <row r="132" spans="1:13" ht="12">
      <c r="A132" s="518" t="s">
        <v>1796</v>
      </c>
      <c r="B132" s="566" t="s">
        <v>472</v>
      </c>
      <c r="C132" s="445" t="s">
        <v>1742</v>
      </c>
      <c r="D132" s="559" t="s">
        <v>472</v>
      </c>
      <c r="E132" s="560">
        <v>0</v>
      </c>
      <c r="F132" s="560">
        <v>0</v>
      </c>
      <c r="G132" s="560">
        <v>0</v>
      </c>
      <c r="H132" s="560">
        <v>0</v>
      </c>
      <c r="I132" s="562">
        <v>0</v>
      </c>
      <c r="J132" s="552"/>
      <c r="K132" s="551"/>
      <c r="L132" s="551"/>
      <c r="M132" s="476"/>
    </row>
    <row r="133" spans="1:13" ht="12">
      <c r="A133" s="518"/>
      <c r="B133" s="566"/>
      <c r="C133" s="452" t="s">
        <v>1743</v>
      </c>
      <c r="D133" s="559"/>
      <c r="E133" s="560">
        <v>0.019418</v>
      </c>
      <c r="F133" s="560">
        <v>0</v>
      </c>
      <c r="G133" s="560">
        <v>0.091244</v>
      </c>
      <c r="H133" s="560">
        <v>0</v>
      </c>
      <c r="I133" s="565">
        <v>0.11066200000000001</v>
      </c>
      <c r="J133" s="556">
        <v>0.35</v>
      </c>
      <c r="K133" s="557">
        <v>0.61</v>
      </c>
      <c r="L133" s="557"/>
      <c r="M133" s="491"/>
    </row>
    <row r="134" spans="1:13" ht="12">
      <c r="A134" s="493" t="s">
        <v>1756</v>
      </c>
      <c r="B134" s="567">
        <v>16.4</v>
      </c>
      <c r="C134" s="276" t="s">
        <v>1741</v>
      </c>
      <c r="D134" s="568"/>
      <c r="E134" s="569">
        <v>0.7</v>
      </c>
      <c r="F134" s="570">
        <v>0</v>
      </c>
      <c r="G134" s="571">
        <v>0.7</v>
      </c>
      <c r="H134" s="570">
        <v>0</v>
      </c>
      <c r="I134" s="572">
        <v>1.4</v>
      </c>
      <c r="J134" s="573">
        <v>5</v>
      </c>
      <c r="K134" s="572">
        <v>5</v>
      </c>
      <c r="L134" s="561">
        <v>5</v>
      </c>
      <c r="M134" s="574"/>
    </row>
    <row r="135" spans="1:13" ht="12">
      <c r="A135" s="472" t="s">
        <v>1797</v>
      </c>
      <c r="B135" s="548" t="s">
        <v>461</v>
      </c>
      <c r="C135" s="53" t="s">
        <v>1742</v>
      </c>
      <c r="D135" s="443" t="s">
        <v>461</v>
      </c>
      <c r="E135" s="575">
        <v>0</v>
      </c>
      <c r="F135" s="576">
        <v>0</v>
      </c>
      <c r="G135" s="577">
        <v>0</v>
      </c>
      <c r="H135" s="576">
        <v>0</v>
      </c>
      <c r="I135" s="578"/>
      <c r="J135" s="579"/>
      <c r="K135" s="578"/>
      <c r="L135" s="580"/>
      <c r="M135" s="581"/>
    </row>
    <row r="136" spans="1:13" ht="12">
      <c r="A136" s="518"/>
      <c r="B136" s="566"/>
      <c r="C136" s="544" t="s">
        <v>1743</v>
      </c>
      <c r="D136" s="582"/>
      <c r="E136" s="583">
        <v>0</v>
      </c>
      <c r="F136" s="564">
        <v>0</v>
      </c>
      <c r="G136" s="584">
        <v>0</v>
      </c>
      <c r="H136" s="564">
        <v>0</v>
      </c>
      <c r="I136" s="585"/>
      <c r="J136" s="586"/>
      <c r="K136" s="585"/>
      <c r="L136" s="555"/>
      <c r="M136" s="587"/>
    </row>
    <row r="137" spans="1:13" ht="12">
      <c r="A137" s="588"/>
      <c r="B137" s="589"/>
      <c r="C137" s="590" t="s">
        <v>1741</v>
      </c>
      <c r="D137" s="591"/>
      <c r="E137" s="570"/>
      <c r="F137" s="571"/>
      <c r="G137" s="570">
        <v>50</v>
      </c>
      <c r="H137" s="571"/>
      <c r="I137" s="561">
        <v>50</v>
      </c>
      <c r="J137" s="592"/>
      <c r="K137" s="573"/>
      <c r="L137" s="573"/>
      <c r="M137" s="573"/>
    </row>
    <row r="138" spans="1:13" ht="12">
      <c r="A138" s="593" t="s">
        <v>1798</v>
      </c>
      <c r="B138" s="594"/>
      <c r="C138" s="486" t="s">
        <v>1742</v>
      </c>
      <c r="D138" s="595" t="s">
        <v>834</v>
      </c>
      <c r="E138" s="576"/>
      <c r="F138" s="577"/>
      <c r="G138" s="576"/>
      <c r="H138" s="577"/>
      <c r="I138" s="580"/>
      <c r="J138" s="596"/>
      <c r="K138" s="580"/>
      <c r="L138" s="578"/>
      <c r="M138" s="581"/>
    </row>
    <row r="139" spans="1:13" ht="12">
      <c r="A139" s="597"/>
      <c r="B139" s="598"/>
      <c r="C139" s="489" t="s">
        <v>1743</v>
      </c>
      <c r="D139" s="599"/>
      <c r="E139" s="564"/>
      <c r="F139" s="584"/>
      <c r="G139" s="564"/>
      <c r="H139" s="584">
        <v>0.768</v>
      </c>
      <c r="I139" s="555">
        <v>0.768</v>
      </c>
      <c r="J139" s="600">
        <v>3.25</v>
      </c>
      <c r="K139" s="555">
        <v>3.25</v>
      </c>
      <c r="L139" s="585">
        <v>3.25</v>
      </c>
      <c r="M139" s="601">
        <v>3.25</v>
      </c>
    </row>
    <row r="140" spans="1:13" ht="12">
      <c r="A140" s="602"/>
      <c r="B140" s="603"/>
      <c r="C140" s="604" t="s">
        <v>1741</v>
      </c>
      <c r="D140" s="605"/>
      <c r="E140" s="606">
        <v>6.6340933368799995</v>
      </c>
      <c r="F140" s="607">
        <v>7.580083942504</v>
      </c>
      <c r="G140" s="607">
        <v>58.755289984744</v>
      </c>
      <c r="H140" s="607">
        <v>7.527618364904001</v>
      </c>
      <c r="I140" s="607">
        <v>80.497085629032</v>
      </c>
      <c r="J140" s="608">
        <v>16.870068544</v>
      </c>
      <c r="K140" s="607">
        <v>13.891867286399998</v>
      </c>
      <c r="L140" s="607">
        <v>12.408393689599999</v>
      </c>
      <c r="M140" s="609">
        <v>5.44</v>
      </c>
    </row>
    <row r="141" spans="1:13" ht="12">
      <c r="A141" s="610" t="s">
        <v>1799</v>
      </c>
      <c r="B141" s="611"/>
      <c r="C141" s="612" t="s">
        <v>1742</v>
      </c>
      <c r="D141" s="613" t="s">
        <v>834</v>
      </c>
      <c r="E141" s="614">
        <v>5.8307211167</v>
      </c>
      <c r="F141" s="615">
        <v>3.2940929428000003</v>
      </c>
      <c r="G141" s="615">
        <v>5.990297760900001</v>
      </c>
      <c r="H141" s="615">
        <v>2.6279394984</v>
      </c>
      <c r="I141" s="615">
        <v>17.743051318799996</v>
      </c>
      <c r="J141" s="616">
        <v>57.5500900043</v>
      </c>
      <c r="K141" s="615">
        <v>22.7107715792</v>
      </c>
      <c r="L141" s="615">
        <v>22.934515966699998</v>
      </c>
      <c r="M141" s="617">
        <v>23.8988458442</v>
      </c>
    </row>
    <row r="142" spans="1:13" ht="12">
      <c r="A142" s="618"/>
      <c r="B142" s="619"/>
      <c r="C142" s="620" t="s">
        <v>1743</v>
      </c>
      <c r="D142" s="621"/>
      <c r="E142" s="622">
        <v>4.0168899841186</v>
      </c>
      <c r="F142" s="623">
        <v>2.718138990795032</v>
      </c>
      <c r="G142" s="623">
        <v>3.7397799236233182</v>
      </c>
      <c r="H142" s="623">
        <v>3.5200780174947077</v>
      </c>
      <c r="I142" s="623">
        <v>13.994886916031657</v>
      </c>
      <c r="J142" s="624">
        <v>17.04546119162222</v>
      </c>
      <c r="K142" s="623">
        <v>15.136878056799999</v>
      </c>
      <c r="L142" s="623">
        <v>13.7725060512</v>
      </c>
      <c r="M142" s="625">
        <v>12.534082878999998</v>
      </c>
    </row>
    <row r="143" spans="1:13" ht="12">
      <c r="A143" s="626"/>
      <c r="B143" s="627"/>
      <c r="C143" s="628"/>
      <c r="D143" s="628"/>
      <c r="E143" s="629"/>
      <c r="F143" s="629"/>
      <c r="G143" s="629"/>
      <c r="H143" s="629"/>
      <c r="I143" s="630"/>
      <c r="J143" s="628"/>
      <c r="K143" s="630"/>
      <c r="L143" s="630"/>
      <c r="M143" s="631"/>
    </row>
    <row r="144" spans="1:13" ht="12.75">
      <c r="A144" s="632"/>
      <c r="B144" s="418" t="s">
        <v>1800</v>
      </c>
      <c r="C144" s="418"/>
      <c r="D144" s="628"/>
      <c r="E144" s="629"/>
      <c r="F144" s="629"/>
      <c r="G144" s="629"/>
      <c r="H144" s="629"/>
      <c r="I144" s="633"/>
      <c r="J144" s="634"/>
      <c r="K144" s="633"/>
      <c r="L144" s="633"/>
      <c r="M144" s="635"/>
    </row>
    <row r="145" spans="1:13" ht="12.75">
      <c r="A145" s="636"/>
      <c r="B145" s="628"/>
      <c r="C145" s="637" t="s">
        <v>461</v>
      </c>
      <c r="D145" s="638">
        <v>0.64</v>
      </c>
      <c r="E145" s="639" t="s">
        <v>1801</v>
      </c>
      <c r="F145" s="640"/>
      <c r="G145" s="640"/>
      <c r="H145" s="640"/>
      <c r="I145" s="640"/>
      <c r="J145" s="641"/>
      <c r="K145" s="641"/>
      <c r="L145" s="641"/>
      <c r="M145" s="642"/>
    </row>
    <row r="146" spans="1:13" ht="12.75">
      <c r="A146" s="636"/>
      <c r="B146" s="628"/>
      <c r="C146" s="637" t="s">
        <v>472</v>
      </c>
      <c r="D146" s="638">
        <v>0.36</v>
      </c>
      <c r="E146" s="641" t="s">
        <v>1802</v>
      </c>
      <c r="F146" s="640"/>
      <c r="G146" s="640"/>
      <c r="H146" s="640"/>
      <c r="I146" s="640"/>
      <c r="J146" s="641"/>
      <c r="K146" s="641"/>
      <c r="L146" s="637"/>
      <c r="M146" s="637"/>
    </row>
    <row r="147" spans="1:13" ht="12.75">
      <c r="A147" s="632"/>
      <c r="B147" s="628"/>
      <c r="C147" s="637" t="s">
        <v>1753</v>
      </c>
      <c r="D147" s="638">
        <v>0.7997</v>
      </c>
      <c r="E147" s="640" t="s">
        <v>1803</v>
      </c>
      <c r="F147" s="640"/>
      <c r="G147" s="640"/>
      <c r="H147" s="640"/>
      <c r="I147" s="640"/>
      <c r="J147" s="640"/>
      <c r="K147" s="640"/>
      <c r="L147" s="640"/>
      <c r="M147" s="640"/>
    </row>
    <row r="148" spans="1:13" ht="12.75">
      <c r="A148" s="636"/>
      <c r="B148" s="628"/>
      <c r="C148" s="637" t="s">
        <v>616</v>
      </c>
      <c r="D148" s="643">
        <v>0.0048</v>
      </c>
      <c r="E148" s="641"/>
      <c r="F148" s="640"/>
      <c r="G148" s="640"/>
      <c r="H148" s="640"/>
      <c r="I148" s="640"/>
      <c r="J148" s="641"/>
      <c r="K148" s="641"/>
      <c r="L148" s="642"/>
      <c r="M148" s="644"/>
    </row>
    <row r="149" spans="1:13" ht="12.75">
      <c r="A149" s="645"/>
      <c r="B149" s="630"/>
      <c r="C149" s="637" t="s">
        <v>505</v>
      </c>
      <c r="D149" s="643">
        <v>0.45</v>
      </c>
      <c r="E149" s="646"/>
      <c r="F149" s="629"/>
      <c r="G149" s="629"/>
      <c r="H149" s="629"/>
      <c r="I149" s="629"/>
      <c r="J149" s="629"/>
      <c r="K149" s="647"/>
      <c r="L149" s="631"/>
      <c r="M149" s="648"/>
    </row>
    <row r="150" spans="1:13" ht="12.75">
      <c r="A150" s="649"/>
      <c r="B150" s="650"/>
      <c r="C150" s="637" t="s">
        <v>1750</v>
      </c>
      <c r="D150" s="643">
        <v>0.7</v>
      </c>
      <c r="E150" s="637"/>
      <c r="F150" s="647"/>
      <c r="G150" s="647"/>
      <c r="H150" s="647"/>
      <c r="I150" s="647"/>
      <c r="J150" s="629"/>
      <c r="K150" s="647"/>
      <c r="L150" s="647"/>
      <c r="M150" s="631"/>
    </row>
    <row r="151" spans="1:13" ht="12.75">
      <c r="A151" s="651"/>
      <c r="B151" s="637"/>
      <c r="C151" s="637" t="s">
        <v>546</v>
      </c>
      <c r="D151" s="643">
        <v>0.096</v>
      </c>
      <c r="E151" s="637"/>
      <c r="F151" s="647"/>
      <c r="G151" s="647"/>
      <c r="H151" s="647"/>
      <c r="I151" s="647"/>
      <c r="J151" s="629"/>
      <c r="K151" s="647"/>
      <c r="L151" s="647"/>
      <c r="M151" s="631"/>
    </row>
    <row r="152" spans="1:13" ht="12.75">
      <c r="A152" s="652"/>
      <c r="B152" s="637"/>
      <c r="C152" s="637" t="s">
        <v>590</v>
      </c>
      <c r="D152" s="643">
        <v>0.111</v>
      </c>
      <c r="E152" s="637"/>
      <c r="F152" s="647"/>
      <c r="G152" s="647"/>
      <c r="H152" s="647"/>
      <c r="I152" s="647"/>
      <c r="J152" s="629"/>
      <c r="K152" s="647"/>
      <c r="L152" s="647"/>
      <c r="M152" s="631"/>
    </row>
    <row r="153" spans="1:13" ht="12">
      <c r="A153" s="653"/>
      <c r="B153" s="637"/>
      <c r="C153" s="637"/>
      <c r="D153" s="637"/>
      <c r="E153" s="637"/>
      <c r="F153" s="647"/>
      <c r="G153" s="647"/>
      <c r="H153" s="647"/>
      <c r="I153" s="647"/>
      <c r="J153" s="629"/>
      <c r="K153" s="647"/>
      <c r="L153" s="647"/>
      <c r="M153" s="631"/>
    </row>
    <row r="154" spans="1:13" ht="12">
      <c r="A154" s="653"/>
      <c r="B154" s="637"/>
      <c r="C154" s="637"/>
      <c r="D154" s="637"/>
      <c r="E154" s="637"/>
      <c r="F154" s="647"/>
      <c r="G154" s="647"/>
      <c r="H154" s="647"/>
      <c r="I154" s="647"/>
      <c r="J154" s="629"/>
      <c r="K154" s="647"/>
      <c r="L154" s="647"/>
      <c r="M154" s="631"/>
    </row>
    <row r="155" spans="1:2" ht="12">
      <c r="A155" s="637"/>
      <c r="B155" s="637"/>
    </row>
    <row r="156" spans="1:19" ht="12.75">
      <c r="A156" s="654" t="s">
        <v>40</v>
      </c>
      <c r="B156" s="637"/>
      <c r="C156" s="637"/>
      <c r="D156" s="655" t="s">
        <v>41</v>
      </c>
      <c r="E156" s="637"/>
      <c r="F156" s="637"/>
      <c r="G156" s="637"/>
      <c r="H156" s="655" t="s">
        <v>42</v>
      </c>
      <c r="I156" s="637"/>
      <c r="J156" s="637"/>
      <c r="K156" s="637"/>
      <c r="L156" s="656"/>
      <c r="M156" s="656" t="s">
        <v>43</v>
      </c>
      <c r="N156" s="655"/>
      <c r="O156" s="637"/>
      <c r="P156" s="637"/>
      <c r="Q156" s="637"/>
      <c r="R156" s="656"/>
      <c r="S156" s="656"/>
    </row>
    <row r="157" ht="12">
      <c r="A157" s="637"/>
    </row>
    <row r="158" spans="1:13" ht="12">
      <c r="A158" s="637"/>
      <c r="M158" s="640"/>
    </row>
    <row r="159" spans="1:13" ht="12">
      <c r="A159" s="637"/>
      <c r="M159" s="644"/>
    </row>
    <row r="160" spans="1:13" ht="12">
      <c r="A160" s="637"/>
      <c r="M160" s="648"/>
    </row>
    <row r="161" spans="1:13" ht="12">
      <c r="A161" s="637"/>
      <c r="M161" s="648"/>
    </row>
    <row r="162" spans="1:13" ht="12">
      <c r="A162" s="637"/>
      <c r="M162" s="648"/>
    </row>
    <row r="163" spans="1:13" ht="12">
      <c r="A163" s="637"/>
      <c r="M163" s="648"/>
    </row>
    <row r="164" spans="1:13" ht="12">
      <c r="A164" s="637"/>
      <c r="M164" s="648"/>
    </row>
  </sheetData>
  <mergeCells count="1">
    <mergeCell ref="E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M54"/>
  <sheetViews>
    <sheetView workbookViewId="0" topLeftCell="A20">
      <selection activeCell="B38" sqref="B38"/>
    </sheetView>
  </sheetViews>
  <sheetFormatPr defaultColWidth="9.140625" defaultRowHeight="12.75"/>
  <cols>
    <col min="1" max="1" width="40.28125" style="0" customWidth="1"/>
    <col min="2" max="3" width="15.28125" style="0" customWidth="1"/>
    <col min="4" max="4" width="13.57421875" style="0" customWidth="1"/>
    <col min="5" max="5" width="12.8515625" style="0" customWidth="1"/>
    <col min="6" max="6" width="12.00390625" style="0" customWidth="1"/>
    <col min="7" max="7" width="10.8515625" style="0" customWidth="1"/>
    <col min="8" max="8" width="11.00390625" style="0" customWidth="1"/>
    <col min="9" max="9" width="14.7109375" style="0" customWidth="1"/>
  </cols>
  <sheetData>
    <row r="2" spans="1:91" s="143" customFormat="1" ht="15">
      <c r="A2" s="658" t="s">
        <v>211</v>
      </c>
      <c r="B2" s="658"/>
      <c r="C2" s="658"/>
      <c r="D2" s="658"/>
      <c r="E2" s="658"/>
      <c r="F2" s="658"/>
      <c r="G2" s="658"/>
      <c r="H2" s="65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</row>
    <row r="3" spans="8:91" s="143" customFormat="1" ht="15">
      <c r="H3" s="107" t="s">
        <v>212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</row>
    <row r="4" spans="1:91" s="377" customFormat="1" ht="10.5" customHeight="1">
      <c r="A4" s="376"/>
      <c r="B4" s="376"/>
      <c r="C4" s="376"/>
      <c r="D4" s="376"/>
      <c r="E4" s="659" t="s">
        <v>213</v>
      </c>
      <c r="F4" s="659"/>
      <c r="G4" s="659"/>
      <c r="H4" s="65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</row>
    <row r="5" spans="1:91" s="378" customFormat="1" ht="33.75">
      <c r="A5" s="378" t="s">
        <v>1852</v>
      </c>
      <c r="B5" s="378" t="s">
        <v>71</v>
      </c>
      <c r="C5" s="378" t="s">
        <v>72</v>
      </c>
      <c r="D5" s="378" t="s">
        <v>1854</v>
      </c>
      <c r="E5" s="378" t="s">
        <v>214</v>
      </c>
      <c r="F5" s="378" t="s">
        <v>215</v>
      </c>
      <c r="G5" s="378" t="s">
        <v>216</v>
      </c>
      <c r="H5" s="378" t="s">
        <v>217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</row>
    <row r="6" spans="1:91" s="378" customFormat="1" ht="12.75">
      <c r="A6" s="378">
        <v>1</v>
      </c>
      <c r="B6" s="378">
        <v>2</v>
      </c>
      <c r="C6" s="378">
        <v>3</v>
      </c>
      <c r="D6" s="378">
        <v>4</v>
      </c>
      <c r="E6" s="378">
        <v>5</v>
      </c>
      <c r="F6" s="378">
        <v>6</v>
      </c>
      <c r="G6" s="378">
        <v>7</v>
      </c>
      <c r="H6" s="378">
        <v>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</row>
    <row r="7" spans="1:91" s="123" customFormat="1" ht="17.25" customHeight="1">
      <c r="A7" s="379" t="s">
        <v>218</v>
      </c>
      <c r="B7" s="361">
        <v>1307206639</v>
      </c>
      <c r="C7" s="361">
        <v>1552847437</v>
      </c>
      <c r="D7" s="361">
        <v>1577397645</v>
      </c>
      <c r="E7" s="361">
        <f>E8+E21+E28+E29+E30</f>
        <v>651538582</v>
      </c>
      <c r="F7" s="361">
        <f>F8+F21+F28+F29+F30</f>
        <v>645791893</v>
      </c>
      <c r="G7" s="361">
        <f>G8+G21+G28+G29+G30</f>
        <v>251046504</v>
      </c>
      <c r="H7" s="361">
        <f>H8+H21+H28+H29+H30</f>
        <v>29020666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</row>
    <row r="8" spans="1:91" s="383" customFormat="1" ht="18" customHeight="1">
      <c r="A8" s="380" t="s">
        <v>73</v>
      </c>
      <c r="B8" s="382">
        <v>1081588814</v>
      </c>
      <c r="C8" s="382">
        <v>1279283694</v>
      </c>
      <c r="D8" s="382">
        <v>1304669470</v>
      </c>
      <c r="E8" s="382">
        <f>SUM(E9:E20)</f>
        <v>544293628</v>
      </c>
      <c r="F8" s="382">
        <f>SUM(F9:F20)</f>
        <v>550887630</v>
      </c>
      <c r="G8" s="382">
        <f>SUM(G9:G20)</f>
        <v>206793913</v>
      </c>
      <c r="H8" s="382">
        <f>SUM(H9:H20)</f>
        <v>2694299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s="107" customFormat="1" ht="12.75">
      <c r="A9" s="107" t="s">
        <v>219</v>
      </c>
      <c r="B9" s="384">
        <v>183474469</v>
      </c>
      <c r="C9" s="384">
        <v>213244402</v>
      </c>
      <c r="D9" s="384">
        <v>219620845</v>
      </c>
      <c r="E9" s="384">
        <v>2305</v>
      </c>
      <c r="F9" s="384">
        <v>61826440</v>
      </c>
      <c r="G9" s="384">
        <v>157792100</v>
      </c>
      <c r="H9" s="38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s="107" customFormat="1" ht="12.75">
      <c r="A10" s="107" t="s">
        <v>220</v>
      </c>
      <c r="B10" s="384">
        <v>78634571</v>
      </c>
      <c r="C10" s="384">
        <v>84300000</v>
      </c>
      <c r="D10" s="384">
        <v>92364655</v>
      </c>
      <c r="E10" s="384">
        <v>92364655</v>
      </c>
      <c r="F10" s="384"/>
      <c r="G10" s="384"/>
      <c r="H10" s="38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1:91" s="107" customFormat="1" ht="12.75">
      <c r="A11" s="107" t="s">
        <v>221</v>
      </c>
      <c r="B11" s="384">
        <v>312393531</v>
      </c>
      <c r="C11" s="384">
        <v>419745847</v>
      </c>
      <c r="D11" s="384">
        <v>427425836</v>
      </c>
      <c r="E11" s="384"/>
      <c r="F11" s="384">
        <v>427425836</v>
      </c>
      <c r="G11" s="384"/>
      <c r="H11" s="38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s="107" customFormat="1" ht="12.75">
      <c r="A12" s="107" t="s">
        <v>222</v>
      </c>
      <c r="B12" s="384"/>
      <c r="C12" s="384">
        <v>22020136</v>
      </c>
      <c r="D12" s="384">
        <v>18128771</v>
      </c>
      <c r="E12" s="384">
        <v>106930</v>
      </c>
      <c r="F12" s="384"/>
      <c r="G12" s="384">
        <v>18021841</v>
      </c>
      <c r="H12" s="384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s="107" customFormat="1" ht="12.75">
      <c r="A13" s="107" t="s">
        <v>223</v>
      </c>
      <c r="B13" s="384">
        <v>20258520</v>
      </c>
      <c r="C13" s="384">
        <v>25884411</v>
      </c>
      <c r="D13" s="384">
        <v>27373032</v>
      </c>
      <c r="E13" s="384"/>
      <c r="F13" s="384"/>
      <c r="G13" s="384">
        <v>27373032</v>
      </c>
      <c r="H13" s="38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s="107" customFormat="1" ht="12.75">
      <c r="A14" s="107" t="s">
        <v>224</v>
      </c>
      <c r="B14" s="384">
        <v>16923867</v>
      </c>
      <c r="C14" s="384">
        <v>2711663</v>
      </c>
      <c r="D14" s="384">
        <v>2864841</v>
      </c>
      <c r="E14" s="384"/>
      <c r="F14" s="384"/>
      <c r="G14" s="384">
        <v>2864841</v>
      </c>
      <c r="H14" s="38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s="107" customFormat="1" ht="12.75">
      <c r="A15" s="107" t="s">
        <v>225</v>
      </c>
      <c r="B15" s="384">
        <v>288522543</v>
      </c>
      <c r="C15" s="384">
        <v>318675326</v>
      </c>
      <c r="D15" s="384">
        <v>316300846</v>
      </c>
      <c r="E15" s="384">
        <v>316300846</v>
      </c>
      <c r="F15" s="384"/>
      <c r="G15" s="384"/>
      <c r="H15" s="38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s="107" customFormat="1" ht="12.75">
      <c r="A16" s="107" t="s">
        <v>226</v>
      </c>
      <c r="B16" s="384">
        <v>119935014</v>
      </c>
      <c r="C16" s="384">
        <v>159910532</v>
      </c>
      <c r="D16" s="384">
        <v>169391000</v>
      </c>
      <c r="E16" s="384">
        <v>115955930</v>
      </c>
      <c r="F16" s="384">
        <v>53435070</v>
      </c>
      <c r="G16" s="384"/>
      <c r="H16" s="384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107" customFormat="1" ht="12.75">
      <c r="A17" s="107" t="s">
        <v>227</v>
      </c>
      <c r="B17" s="384">
        <v>9149683</v>
      </c>
      <c r="C17" s="384">
        <v>11308514</v>
      </c>
      <c r="D17" s="384">
        <v>10748978</v>
      </c>
      <c r="E17" s="384">
        <v>-190275</v>
      </c>
      <c r="F17" s="384">
        <v>8200284</v>
      </c>
      <c r="G17" s="384">
        <v>44670</v>
      </c>
      <c r="H17" s="384">
        <v>2694299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s="107" customFormat="1" ht="14.25" customHeight="1">
      <c r="A18" s="385" t="s">
        <v>228</v>
      </c>
      <c r="B18" s="384">
        <v>29623641</v>
      </c>
      <c r="C18" s="384">
        <v>682863</v>
      </c>
      <c r="D18" s="384">
        <v>697429</v>
      </c>
      <c r="E18" s="384"/>
      <c r="F18" s="384"/>
      <c r="G18" s="384">
        <v>697429</v>
      </c>
      <c r="H18" s="38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s="107" customFormat="1" ht="12.75">
      <c r="A19" s="107" t="s">
        <v>229</v>
      </c>
      <c r="B19" s="384">
        <v>21995475</v>
      </c>
      <c r="C19" s="384">
        <v>20800000</v>
      </c>
      <c r="D19" s="384">
        <v>19753237</v>
      </c>
      <c r="E19" s="384">
        <v>19753237</v>
      </c>
      <c r="F19" s="384"/>
      <c r="G19" s="384"/>
      <c r="H19" s="38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s="107" customFormat="1" ht="12.75">
      <c r="A20" s="107" t="s">
        <v>230</v>
      </c>
      <c r="B20" s="384">
        <v>677500</v>
      </c>
      <c r="C20" s="384"/>
      <c r="D20" s="384">
        <v>0</v>
      </c>
      <c r="E20" s="384"/>
      <c r="F20" s="384"/>
      <c r="G20" s="384"/>
      <c r="H20" s="38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s="383" customFormat="1" ht="12" customHeight="1">
      <c r="A21" s="380" t="s">
        <v>74</v>
      </c>
      <c r="B21" s="382">
        <v>140611604</v>
      </c>
      <c r="C21" s="382">
        <v>162438503</v>
      </c>
      <c r="D21" s="382">
        <v>158594755</v>
      </c>
      <c r="E21" s="382">
        <f>SUM(E22:E27)</f>
        <v>36256625</v>
      </c>
      <c r="F21" s="382">
        <f>SUM(F22:F27)</f>
        <v>83069573</v>
      </c>
      <c r="G21" s="382">
        <f>SUM(G22:G27)</f>
        <v>19335795</v>
      </c>
      <c r="H21" s="382">
        <f>SUM(H22:H27)</f>
        <v>19932762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107" customFormat="1" ht="13.5" customHeight="1">
      <c r="A22" s="385" t="s">
        <v>231</v>
      </c>
      <c r="B22" s="384">
        <v>14101343</v>
      </c>
      <c r="C22" s="384">
        <v>8560415</v>
      </c>
      <c r="D22" s="384">
        <v>14312530</v>
      </c>
      <c r="E22" s="384">
        <v>13946402</v>
      </c>
      <c r="F22" s="384"/>
      <c r="G22" s="384">
        <v>366128</v>
      </c>
      <c r="H22" s="384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s="107" customFormat="1" ht="13.5" customHeight="1">
      <c r="A23" s="385" t="s">
        <v>232</v>
      </c>
      <c r="B23" s="384">
        <v>15691679</v>
      </c>
      <c r="C23" s="384">
        <v>50905848</v>
      </c>
      <c r="D23" s="384">
        <v>29820136</v>
      </c>
      <c r="E23" s="384">
        <v>13574201</v>
      </c>
      <c r="F23" s="384">
        <v>13609615</v>
      </c>
      <c r="G23" s="384">
        <v>2636320</v>
      </c>
      <c r="H23" s="38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s="107" customFormat="1" ht="12.75">
      <c r="A24" s="107" t="s">
        <v>233</v>
      </c>
      <c r="B24" s="384">
        <v>5367612</v>
      </c>
      <c r="C24" s="384">
        <v>4627297</v>
      </c>
      <c r="D24" s="384">
        <v>5643324</v>
      </c>
      <c r="E24" s="384">
        <v>4847580</v>
      </c>
      <c r="F24" s="384">
        <v>546612</v>
      </c>
      <c r="G24" s="384">
        <v>249132</v>
      </c>
      <c r="H24" s="38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s="107" customFormat="1" ht="12.75">
      <c r="A25" s="107" t="s">
        <v>234</v>
      </c>
      <c r="B25" s="384">
        <v>58645705</v>
      </c>
      <c r="C25" s="384">
        <v>56681628</v>
      </c>
      <c r="D25" s="384">
        <v>65248648</v>
      </c>
      <c r="E25" s="384">
        <v>1251056</v>
      </c>
      <c r="F25" s="384">
        <v>28389450</v>
      </c>
      <c r="G25" s="384">
        <v>15675380</v>
      </c>
      <c r="H25" s="384">
        <v>19932762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s="107" customFormat="1" ht="22.5">
      <c r="A26" s="385" t="s">
        <v>235</v>
      </c>
      <c r="B26" s="384">
        <v>46805265</v>
      </c>
      <c r="C26" s="384">
        <v>41602364</v>
      </c>
      <c r="D26" s="384">
        <v>43513725</v>
      </c>
      <c r="E26" s="384">
        <f>1823868+813518</f>
        <v>2637386</v>
      </c>
      <c r="F26" s="384">
        <v>40523896</v>
      </c>
      <c r="G26" s="384">
        <v>352443</v>
      </c>
      <c r="H26" s="384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s="107" customFormat="1" ht="15.75" customHeight="1">
      <c r="A27" s="385" t="s">
        <v>236</v>
      </c>
      <c r="B27" s="384"/>
      <c r="C27" s="384">
        <v>60951</v>
      </c>
      <c r="D27" s="384">
        <v>56392</v>
      </c>
      <c r="E27" s="384"/>
      <c r="F27" s="384"/>
      <c r="G27" s="384">
        <v>56392</v>
      </c>
      <c r="H27" s="38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s="383" customFormat="1" ht="13.5" customHeight="1">
      <c r="A28" s="386" t="s">
        <v>77</v>
      </c>
      <c r="B28" s="382"/>
      <c r="C28" s="382">
        <v>6042062</v>
      </c>
      <c r="D28" s="382">
        <v>15383014</v>
      </c>
      <c r="E28" s="382"/>
      <c r="F28" s="382">
        <v>9782707</v>
      </c>
      <c r="G28" s="382"/>
      <c r="H28" s="382">
        <v>5600307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  <row r="29" spans="1:91" s="383" customFormat="1" ht="23.25" customHeight="1">
      <c r="A29" s="386" t="s">
        <v>237</v>
      </c>
      <c r="B29" s="382">
        <v>81575837</v>
      </c>
      <c r="C29" s="382">
        <v>105083178</v>
      </c>
      <c r="D29" s="382">
        <v>98322026</v>
      </c>
      <c r="E29" s="382">
        <v>70988329</v>
      </c>
      <c r="F29" s="382">
        <v>2051983</v>
      </c>
      <c r="G29" s="382">
        <v>24488416</v>
      </c>
      <c r="H29" s="382">
        <v>793298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</row>
    <row r="30" spans="1:91" s="383" customFormat="1" ht="15" customHeight="1">
      <c r="A30" s="386" t="s">
        <v>238</v>
      </c>
      <c r="B30" s="382">
        <v>3430384</v>
      </c>
      <c r="C30" s="382"/>
      <c r="D30" s="382">
        <v>428380</v>
      </c>
      <c r="E30" s="382"/>
      <c r="F30" s="382"/>
      <c r="G30" s="382">
        <v>428380</v>
      </c>
      <c r="H30" s="382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</row>
    <row r="31" spans="2:91" s="107" customFormat="1" ht="12.75">
      <c r="B31" s="384"/>
      <c r="C31" s="384"/>
      <c r="D31" s="384"/>
      <c r="E31" s="384"/>
      <c r="F31" s="384"/>
      <c r="G31" s="384"/>
      <c r="H31" s="384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</row>
    <row r="32" spans="2:91" s="107" customFormat="1" ht="12.75">
      <c r="B32" s="384"/>
      <c r="C32" s="384"/>
      <c r="D32" s="384"/>
      <c r="E32" s="384"/>
      <c r="F32" s="384"/>
      <c r="G32" s="384"/>
      <c r="H32" s="384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</row>
    <row r="33" spans="2:91" s="35" customFormat="1" ht="12.75">
      <c r="B33" s="128" t="s">
        <v>40</v>
      </c>
      <c r="C33" s="128"/>
      <c r="D33" s="128"/>
      <c r="E33" s="128"/>
      <c r="F33" s="128" t="s">
        <v>41</v>
      </c>
      <c r="G33" s="128"/>
      <c r="H33" s="128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</row>
    <row r="34" spans="2:91" s="107" customFormat="1" ht="13.5" customHeight="1">
      <c r="B34" s="384"/>
      <c r="C34" s="384"/>
      <c r="D34" s="384"/>
      <c r="E34" s="384"/>
      <c r="F34" s="384"/>
      <c r="G34" s="384"/>
      <c r="H34" s="38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</row>
    <row r="35" spans="2:91" s="35" customFormat="1" ht="12.75">
      <c r="B35" s="128" t="s">
        <v>42</v>
      </c>
      <c r="C35" s="128"/>
      <c r="D35" s="128"/>
      <c r="E35" s="128"/>
      <c r="F35" s="128" t="s">
        <v>43</v>
      </c>
      <c r="G35" s="128"/>
      <c r="H35" s="128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</row>
    <row r="37" spans="2:91" s="107" customFormat="1" ht="12.75">
      <c r="B37" s="384"/>
      <c r="C37" s="384"/>
      <c r="D37" s="384"/>
      <c r="E37" s="384"/>
      <c r="F37" s="384"/>
      <c r="G37" s="384"/>
      <c r="H37" s="384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</row>
    <row r="38" spans="2:91" s="107" customFormat="1" ht="12.75">
      <c r="B38" s="384"/>
      <c r="C38" s="384"/>
      <c r="D38" s="384"/>
      <c r="E38" s="384"/>
      <c r="F38" s="384"/>
      <c r="G38" s="384"/>
      <c r="H38" s="384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</row>
    <row r="39" spans="2:91" s="107" customFormat="1" ht="12.75">
      <c r="B39" s="384"/>
      <c r="C39" s="384"/>
      <c r="D39" s="384"/>
      <c r="E39" s="384"/>
      <c r="F39" s="384"/>
      <c r="G39" s="384"/>
      <c r="H39" s="384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</row>
    <row r="40" spans="2:91" s="107" customFormat="1" ht="12.75">
      <c r="B40" s="384"/>
      <c r="C40" s="384"/>
      <c r="D40" s="384"/>
      <c r="E40" s="384"/>
      <c r="F40" s="384"/>
      <c r="G40" s="384"/>
      <c r="H40" s="384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</row>
    <row r="41" spans="2:91" s="107" customFormat="1" ht="12.75">
      <c r="B41" s="384"/>
      <c r="C41" s="384"/>
      <c r="D41" s="384"/>
      <c r="E41" s="384"/>
      <c r="F41" s="384"/>
      <c r="G41" s="384"/>
      <c r="H41" s="384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</row>
    <row r="42" spans="2:91" s="107" customFormat="1" ht="12.75">
      <c r="B42" s="384"/>
      <c r="C42" s="384"/>
      <c r="D42" s="384"/>
      <c r="E42" s="384"/>
      <c r="F42" s="384"/>
      <c r="G42" s="384"/>
      <c r="H42" s="384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</row>
    <row r="43" spans="2:91" s="107" customFormat="1" ht="12.75">
      <c r="B43" s="384"/>
      <c r="C43" s="384"/>
      <c r="D43" s="384"/>
      <c r="E43" s="384"/>
      <c r="F43" s="384"/>
      <c r="G43" s="384"/>
      <c r="H43" s="384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spans="2:91" s="107" customFormat="1" ht="12.75">
      <c r="B44" s="384"/>
      <c r="C44" s="384"/>
      <c r="D44" s="384"/>
      <c r="E44" s="384"/>
      <c r="F44" s="384"/>
      <c r="G44" s="384"/>
      <c r="H44" s="38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</row>
    <row r="45" spans="2:91" s="107" customFormat="1" ht="12.75">
      <c r="B45" s="384"/>
      <c r="C45" s="384"/>
      <c r="D45" s="384"/>
      <c r="E45" s="384"/>
      <c r="F45" s="384"/>
      <c r="G45" s="384"/>
      <c r="H45" s="384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</row>
    <row r="46" spans="2:91" s="107" customFormat="1" ht="12.75">
      <c r="B46" s="384"/>
      <c r="C46" s="384"/>
      <c r="D46" s="384"/>
      <c r="E46" s="384"/>
      <c r="F46" s="384"/>
      <c r="G46" s="384"/>
      <c r="H46" s="384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</row>
    <row r="47" spans="2:91" s="107" customFormat="1" ht="12.75">
      <c r="B47" s="384"/>
      <c r="C47" s="384"/>
      <c r="D47" s="384"/>
      <c r="E47" s="384"/>
      <c r="F47" s="384"/>
      <c r="G47" s="384"/>
      <c r="H47" s="384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</row>
    <row r="48" spans="2:91" s="107" customFormat="1" ht="12.75">
      <c r="B48" s="384"/>
      <c r="C48" s="384"/>
      <c r="D48" s="384"/>
      <c r="E48" s="384"/>
      <c r="F48" s="384"/>
      <c r="G48" s="384"/>
      <c r="H48" s="384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</row>
    <row r="49" spans="2:91" s="107" customFormat="1" ht="12.75">
      <c r="B49" s="384"/>
      <c r="C49" s="384"/>
      <c r="D49" s="384"/>
      <c r="E49" s="384"/>
      <c r="F49" s="384"/>
      <c r="G49" s="384"/>
      <c r="H49" s="384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</row>
    <row r="50" spans="2:91" s="107" customFormat="1" ht="12.75">
      <c r="B50" s="384"/>
      <c r="C50" s="384"/>
      <c r="D50" s="384"/>
      <c r="E50" s="384"/>
      <c r="F50" s="384"/>
      <c r="G50" s="384"/>
      <c r="H50" s="384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</row>
    <row r="51" spans="2:91" s="107" customFormat="1" ht="12.75">
      <c r="B51" s="384"/>
      <c r="C51" s="384"/>
      <c r="D51" s="384"/>
      <c r="E51" s="384"/>
      <c r="F51" s="384"/>
      <c r="G51" s="384"/>
      <c r="H51" s="384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</row>
    <row r="52" spans="2:91" s="107" customFormat="1" ht="12.75">
      <c r="B52" s="384"/>
      <c r="C52" s="384"/>
      <c r="D52" s="384"/>
      <c r="E52" s="384"/>
      <c r="F52" s="384"/>
      <c r="G52" s="384"/>
      <c r="H52" s="384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</row>
    <row r="53" spans="2:91" s="107" customFormat="1" ht="12.75">
      <c r="B53" s="384"/>
      <c r="C53" s="384"/>
      <c r="D53" s="384"/>
      <c r="E53" s="384"/>
      <c r="F53" s="384"/>
      <c r="G53" s="384"/>
      <c r="H53" s="384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</row>
    <row r="54" spans="9:91" s="107" customFormat="1" ht="12.75"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</row>
  </sheetData>
  <mergeCells count="2">
    <mergeCell ref="A2:H2"/>
    <mergeCell ref="E4:H4"/>
  </mergeCells>
  <printOptions/>
  <pageMargins left="0.9448818897637796" right="0.5511811023622047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K60"/>
  <sheetViews>
    <sheetView workbookViewId="0" topLeftCell="C3">
      <selection activeCell="K20" sqref="K20:K21"/>
    </sheetView>
  </sheetViews>
  <sheetFormatPr defaultColWidth="9.140625" defaultRowHeight="12.75"/>
  <cols>
    <col min="1" max="1" width="45.421875" style="0" customWidth="1"/>
    <col min="2" max="2" width="12.8515625" style="0" customWidth="1"/>
    <col min="3" max="3" width="13.28125" style="0" customWidth="1"/>
    <col min="4" max="4" width="13.8515625" style="0" customWidth="1"/>
    <col min="5" max="5" width="13.140625" style="0" customWidth="1"/>
    <col min="6" max="6" width="12.421875" style="0" customWidth="1"/>
    <col min="7" max="7" width="11.140625" style="0" customWidth="1"/>
    <col min="8" max="8" width="12.8515625" style="0" customWidth="1"/>
    <col min="9" max="9" width="14.8515625" style="0" customWidth="1"/>
  </cols>
  <sheetData>
    <row r="2" spans="1:63" s="143" customFormat="1" ht="15">
      <c r="A2" s="658" t="s">
        <v>239</v>
      </c>
      <c r="B2" s="658"/>
      <c r="C2" s="658"/>
      <c r="D2" s="658"/>
      <c r="E2" s="658"/>
      <c r="F2" s="658"/>
      <c r="G2" s="658"/>
      <c r="H2" s="65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4" ht="12.75">
      <c r="H4" s="199" t="s">
        <v>240</v>
      </c>
    </row>
    <row r="5" spans="1:63" s="377" customFormat="1" ht="12.75">
      <c r="A5" s="376"/>
      <c r="B5" s="376"/>
      <c r="C5" s="376"/>
      <c r="D5" s="376"/>
      <c r="E5" s="660" t="s">
        <v>213</v>
      </c>
      <c r="F5" s="661"/>
      <c r="G5" s="661"/>
      <c r="H5" s="66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378" customFormat="1" ht="33.75">
      <c r="A6" s="378" t="s">
        <v>1852</v>
      </c>
      <c r="B6" s="378" t="s">
        <v>71</v>
      </c>
      <c r="C6" s="378" t="s">
        <v>72</v>
      </c>
      <c r="D6" s="378" t="s">
        <v>1854</v>
      </c>
      <c r="E6" s="378" t="s">
        <v>214</v>
      </c>
      <c r="F6" s="378" t="s">
        <v>215</v>
      </c>
      <c r="G6" s="378" t="s">
        <v>216</v>
      </c>
      <c r="H6" s="378" t="s">
        <v>241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378" customFormat="1" ht="12.75">
      <c r="A7" s="378">
        <v>1</v>
      </c>
      <c r="B7" s="378">
        <v>2</v>
      </c>
      <c r="C7" s="378">
        <v>3</v>
      </c>
      <c r="D7" s="378">
        <v>4</v>
      </c>
      <c r="E7" s="378">
        <v>5</v>
      </c>
      <c r="F7" s="378">
        <v>6</v>
      </c>
      <c r="G7" s="378">
        <v>7</v>
      </c>
      <c r="H7" s="378">
        <v>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s="123" customFormat="1" ht="19.5" customHeight="1">
      <c r="A8" s="387" t="s">
        <v>242</v>
      </c>
      <c r="B8" s="361">
        <f>B9+B26</f>
        <v>1266758609</v>
      </c>
      <c r="C8" s="361">
        <f aca="true" t="shared" si="0" ref="C8:H8">C9+C26</f>
        <v>1628943506</v>
      </c>
      <c r="D8" s="361">
        <f t="shared" si="0"/>
        <v>1572262401</v>
      </c>
      <c r="E8" s="361">
        <f t="shared" si="0"/>
        <v>537630034</v>
      </c>
      <c r="F8" s="361">
        <f t="shared" si="0"/>
        <v>631312856</v>
      </c>
      <c r="G8" s="361">
        <f t="shared" si="0"/>
        <v>356946801</v>
      </c>
      <c r="H8" s="361">
        <f t="shared" si="0"/>
        <v>46372710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s="390" customFormat="1" ht="21" customHeight="1">
      <c r="A9" s="388" t="s">
        <v>243</v>
      </c>
      <c r="B9" s="389">
        <f>B10+B22</f>
        <v>1248147172</v>
      </c>
      <c r="C9" s="389">
        <f aca="true" t="shared" si="1" ref="C9:H9">C10+C22</f>
        <v>1615823666</v>
      </c>
      <c r="D9" s="389">
        <f t="shared" si="1"/>
        <v>1567099847</v>
      </c>
      <c r="E9" s="389">
        <f t="shared" si="1"/>
        <v>541589537</v>
      </c>
      <c r="F9" s="389">
        <f t="shared" si="1"/>
        <v>631312856</v>
      </c>
      <c r="G9" s="389">
        <f t="shared" si="1"/>
        <v>353985828</v>
      </c>
      <c r="H9" s="389">
        <f t="shared" si="1"/>
        <v>40211626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s="383" customFormat="1" ht="21.75" customHeight="1">
      <c r="A10" s="386" t="s">
        <v>78</v>
      </c>
      <c r="B10" s="382">
        <f>B11+B20+B21</f>
        <v>1166810589</v>
      </c>
      <c r="C10" s="382">
        <f aca="true" t="shared" si="2" ref="C10:H10">C11+C20+C21</f>
        <v>1479220836</v>
      </c>
      <c r="D10" s="382">
        <f t="shared" si="2"/>
        <v>1420073276</v>
      </c>
      <c r="E10" s="382">
        <f t="shared" si="2"/>
        <v>487334779</v>
      </c>
      <c r="F10" s="382">
        <f t="shared" si="2"/>
        <v>599506011</v>
      </c>
      <c r="G10" s="382">
        <f t="shared" si="2"/>
        <v>302428603</v>
      </c>
      <c r="H10" s="382">
        <f t="shared" si="2"/>
        <v>30803883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283" customFormat="1" ht="15.75" customHeight="1">
      <c r="A11" s="391" t="s">
        <v>244</v>
      </c>
      <c r="B11" s="392">
        <f>SUM(B12:B19)</f>
        <v>536490021</v>
      </c>
      <c r="C11" s="392">
        <v>705264045</v>
      </c>
      <c r="D11" s="392">
        <f>SUM(D12:D19)</f>
        <v>678781256</v>
      </c>
      <c r="E11" s="392">
        <f>SUM(E12:E19)</f>
        <v>320334374</v>
      </c>
      <c r="F11" s="392">
        <f>SUM(F12:F19)</f>
        <v>67195457</v>
      </c>
      <c r="G11" s="392">
        <f>SUM(G12:G19)</f>
        <v>266345866</v>
      </c>
      <c r="H11" s="392">
        <f>SUM(H12:H19)</f>
        <v>24905559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107" customFormat="1" ht="12.75">
      <c r="A12" s="385" t="s">
        <v>245</v>
      </c>
      <c r="B12" s="384">
        <v>229351959</v>
      </c>
      <c r="C12" s="384">
        <v>268480688</v>
      </c>
      <c r="D12" s="384">
        <f>E12+F12+G12+H12</f>
        <v>282407647</v>
      </c>
      <c r="E12" s="384">
        <v>143634115</v>
      </c>
      <c r="F12" s="384">
        <f>10674214+341998</f>
        <v>11016212</v>
      </c>
      <c r="G12" s="384">
        <v>125800976</v>
      </c>
      <c r="H12" s="384">
        <v>1956344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107" customFormat="1" ht="12.75">
      <c r="A13" s="385" t="s">
        <v>246</v>
      </c>
      <c r="B13" s="384"/>
      <c r="C13" s="384"/>
      <c r="D13" s="384">
        <f aca="true" t="shared" si="3" ref="D13:D26">E13+F13+G13+H13</f>
        <v>77555422</v>
      </c>
      <c r="E13" s="384">
        <v>38869668</v>
      </c>
      <c r="F13" s="384">
        <f>2910614+127940</f>
        <v>3038554</v>
      </c>
      <c r="G13" s="384">
        <v>35151001</v>
      </c>
      <c r="H13" s="384">
        <v>496199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107" customFormat="1" ht="12.75">
      <c r="A14" s="385" t="s">
        <v>247</v>
      </c>
      <c r="B14" s="384">
        <v>4470140</v>
      </c>
      <c r="C14" s="384"/>
      <c r="D14" s="384">
        <f t="shared" si="3"/>
        <v>6007129</v>
      </c>
      <c r="E14" s="384">
        <v>4109655</v>
      </c>
      <c r="F14" s="384">
        <f>454783+221556</f>
        <v>676339</v>
      </c>
      <c r="G14" s="384">
        <v>1027048</v>
      </c>
      <c r="H14" s="384">
        <v>194087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107" customFormat="1" ht="12.75">
      <c r="A15" s="385" t="s">
        <v>248</v>
      </c>
      <c r="B15" s="384">
        <v>169298718</v>
      </c>
      <c r="C15" s="384"/>
      <c r="D15" s="384">
        <f t="shared" si="3"/>
        <v>155664205</v>
      </c>
      <c r="E15" s="384">
        <v>54291549</v>
      </c>
      <c r="F15" s="384">
        <f>37329030+1741854</f>
        <v>39070884</v>
      </c>
      <c r="G15" s="384">
        <v>42880992</v>
      </c>
      <c r="H15" s="384">
        <v>19420780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s="107" customFormat="1" ht="22.5">
      <c r="A16" s="385" t="s">
        <v>249</v>
      </c>
      <c r="B16" s="384">
        <v>121356266</v>
      </c>
      <c r="C16" s="384"/>
      <c r="D16" s="384">
        <f t="shared" si="3"/>
        <v>130231520</v>
      </c>
      <c r="E16" s="384">
        <v>68968886</v>
      </c>
      <c r="F16" s="384">
        <f>2467234+339113</f>
        <v>2806347</v>
      </c>
      <c r="G16" s="384">
        <v>55820960</v>
      </c>
      <c r="H16" s="384">
        <v>2635327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s="107" customFormat="1" ht="12.75">
      <c r="A17" s="385" t="s">
        <v>250</v>
      </c>
      <c r="B17" s="384">
        <v>2994618</v>
      </c>
      <c r="C17" s="384"/>
      <c r="D17" s="384">
        <f t="shared" si="3"/>
        <v>3669488</v>
      </c>
      <c r="E17" s="384">
        <v>1468656</v>
      </c>
      <c r="F17" s="384">
        <f>9772+15569</f>
        <v>25341</v>
      </c>
      <c r="G17" s="384">
        <v>2084865</v>
      </c>
      <c r="H17" s="384">
        <v>90626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s="107" customFormat="1" ht="12.75">
      <c r="A18" s="385" t="s">
        <v>251</v>
      </c>
      <c r="B18" s="384"/>
      <c r="C18" s="384"/>
      <c r="D18" s="384">
        <f t="shared" si="3"/>
        <v>116455</v>
      </c>
      <c r="E18" s="384">
        <v>75188</v>
      </c>
      <c r="F18" s="384">
        <v>41267</v>
      </c>
      <c r="G18" s="384"/>
      <c r="H18" s="38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s="107" customFormat="1" ht="12.75">
      <c r="A19" s="385" t="s">
        <v>252</v>
      </c>
      <c r="B19" s="384">
        <v>9018320</v>
      </c>
      <c r="C19" s="384">
        <v>24890585</v>
      </c>
      <c r="D19" s="384">
        <f t="shared" si="3"/>
        <v>23129390</v>
      </c>
      <c r="E19" s="384">
        <v>8916657</v>
      </c>
      <c r="F19" s="384">
        <f>10351372+169141</f>
        <v>10520513</v>
      </c>
      <c r="G19" s="384">
        <v>3580024</v>
      </c>
      <c r="H19" s="384">
        <v>112196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s="283" customFormat="1" ht="17.25" customHeight="1">
      <c r="A20" s="391" t="s">
        <v>253</v>
      </c>
      <c r="B20" s="392">
        <v>32940542</v>
      </c>
      <c r="C20" s="392">
        <v>30212166</v>
      </c>
      <c r="D20" s="384">
        <f t="shared" si="3"/>
        <v>28416977</v>
      </c>
      <c r="E20" s="392">
        <v>24454590</v>
      </c>
      <c r="F20" s="392">
        <v>2283881</v>
      </c>
      <c r="G20" s="392">
        <v>1646336</v>
      </c>
      <c r="H20" s="392">
        <v>32170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s="283" customFormat="1" ht="17.25" customHeight="1">
      <c r="A21" s="391" t="s">
        <v>254</v>
      </c>
      <c r="B21" s="392">
        <v>597380026</v>
      </c>
      <c r="C21" s="392">
        <v>743744625</v>
      </c>
      <c r="D21" s="384">
        <f t="shared" si="3"/>
        <v>712875043</v>
      </c>
      <c r="E21" s="392">
        <v>142545815</v>
      </c>
      <c r="F21" s="392">
        <f>529904107+122566</f>
        <v>530026673</v>
      </c>
      <c r="G21" s="392">
        <v>34436401</v>
      </c>
      <c r="H21" s="392">
        <v>5866154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s="383" customFormat="1" ht="24.75" customHeight="1">
      <c r="A22" s="386" t="s">
        <v>39</v>
      </c>
      <c r="B22" s="382">
        <f>SUM(B23:B25)</f>
        <v>81336583</v>
      </c>
      <c r="C22" s="382">
        <v>136602830</v>
      </c>
      <c r="D22" s="382">
        <f>SUM(D23:D25)</f>
        <v>147026571</v>
      </c>
      <c r="E22" s="382">
        <f>SUM(E23:E25)</f>
        <v>54254758</v>
      </c>
      <c r="F22" s="382">
        <f>SUM(F23:F25)</f>
        <v>31806845</v>
      </c>
      <c r="G22" s="382">
        <f>SUM(G23:G25)</f>
        <v>51557225</v>
      </c>
      <c r="H22" s="382">
        <f>SUM(H23:H25)</f>
        <v>9407743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s="107" customFormat="1" ht="12.75">
      <c r="A23" s="385" t="s">
        <v>255</v>
      </c>
      <c r="B23" s="384">
        <v>48900817</v>
      </c>
      <c r="C23" s="384"/>
      <c r="D23" s="384">
        <f t="shared" si="3"/>
        <v>54543221</v>
      </c>
      <c r="E23" s="384">
        <v>16777274</v>
      </c>
      <c r="F23" s="384">
        <f>7247237+1355897</f>
        <v>8603134</v>
      </c>
      <c r="G23" s="384">
        <v>20385188</v>
      </c>
      <c r="H23" s="384">
        <v>8777625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s="107" customFormat="1" ht="12.75">
      <c r="A24" s="385" t="s">
        <v>256</v>
      </c>
      <c r="B24" s="384">
        <v>276423</v>
      </c>
      <c r="C24" s="384"/>
      <c r="D24" s="384">
        <f t="shared" si="3"/>
        <v>397168</v>
      </c>
      <c r="E24" s="384">
        <v>104764</v>
      </c>
      <c r="F24" s="384">
        <v>1137</v>
      </c>
      <c r="G24" s="384">
        <v>271694</v>
      </c>
      <c r="H24" s="384">
        <v>19573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s="107" customFormat="1" ht="12.75">
      <c r="A25" s="385" t="s">
        <v>257</v>
      </c>
      <c r="B25" s="384">
        <v>32159343</v>
      </c>
      <c r="C25" s="384"/>
      <c r="D25" s="384">
        <f t="shared" si="3"/>
        <v>92086182</v>
      </c>
      <c r="E25" s="384">
        <v>37372720</v>
      </c>
      <c r="F25" s="384">
        <v>23202574</v>
      </c>
      <c r="G25" s="384">
        <v>30900343</v>
      </c>
      <c r="H25" s="384">
        <v>610545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s="383" customFormat="1" ht="18" customHeight="1">
      <c r="A26" s="386" t="s">
        <v>258</v>
      </c>
      <c r="B26" s="382">
        <v>18611437</v>
      </c>
      <c r="C26" s="382">
        <v>13119840</v>
      </c>
      <c r="D26" s="382">
        <f t="shared" si="3"/>
        <v>5162554</v>
      </c>
      <c r="E26" s="382">
        <v>-3959503</v>
      </c>
      <c r="F26" s="382"/>
      <c r="G26" s="382">
        <v>2960973</v>
      </c>
      <c r="H26" s="382">
        <v>6161084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s="107" customFormat="1" ht="12.75">
      <c r="A27" s="385"/>
      <c r="B27" s="384"/>
      <c r="C27" s="384"/>
      <c r="D27" s="384"/>
      <c r="E27" s="384"/>
      <c r="F27" s="384"/>
      <c r="G27" s="384"/>
      <c r="H27" s="38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s="107" customFormat="1" ht="12.75">
      <c r="A28" s="385"/>
      <c r="B28" s="384"/>
      <c r="C28" s="384"/>
      <c r="D28" s="384"/>
      <c r="E28" s="384"/>
      <c r="F28" s="384"/>
      <c r="G28" s="384"/>
      <c r="H28" s="384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s="35" customFormat="1" ht="12.75">
      <c r="A29" s="190"/>
      <c r="B29" s="128" t="s">
        <v>40</v>
      </c>
      <c r="C29" s="128"/>
      <c r="D29" s="128"/>
      <c r="E29" s="128"/>
      <c r="F29" s="128" t="s">
        <v>41</v>
      </c>
      <c r="G29" s="128"/>
      <c r="H29" s="128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s="107" customFormat="1" ht="12.75">
      <c r="A30" s="385"/>
      <c r="B30" s="384"/>
      <c r="C30" s="384"/>
      <c r="D30" s="384"/>
      <c r="E30" s="384"/>
      <c r="F30" s="384"/>
      <c r="G30" s="384"/>
      <c r="H30" s="384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107" customFormat="1" ht="12.75">
      <c r="A31" s="385"/>
      <c r="B31" s="384"/>
      <c r="C31" s="384"/>
      <c r="D31" s="384"/>
      <c r="E31" s="384"/>
      <c r="F31" s="384"/>
      <c r="G31" s="384"/>
      <c r="H31" s="384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35" customFormat="1" ht="12.75">
      <c r="A32" s="190"/>
      <c r="B32" s="128" t="s">
        <v>42</v>
      </c>
      <c r="C32" s="128"/>
      <c r="D32" s="128"/>
      <c r="E32" s="128"/>
      <c r="F32" s="128" t="s">
        <v>43</v>
      </c>
      <c r="G32" s="128"/>
      <c r="H32" s="128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2:63" s="107" customFormat="1" ht="12.75">
      <c r="B33" s="384"/>
      <c r="C33" s="384"/>
      <c r="D33" s="384"/>
      <c r="E33" s="384"/>
      <c r="F33" s="384"/>
      <c r="G33" s="384"/>
      <c r="H33" s="384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2:63" s="107" customFormat="1" ht="12.75">
      <c r="B34" s="384"/>
      <c r="C34" s="384"/>
      <c r="D34" s="384"/>
      <c r="E34" s="384"/>
      <c r="F34" s="384"/>
      <c r="G34" s="384"/>
      <c r="H34" s="38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2:63" s="107" customFormat="1" ht="12.75">
      <c r="B35" s="384"/>
      <c r="C35" s="384"/>
      <c r="D35" s="384"/>
      <c r="E35" s="384"/>
      <c r="F35" s="384"/>
      <c r="G35" s="384"/>
      <c r="H35" s="384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2:63" s="107" customFormat="1" ht="12.75">
      <c r="B36" s="384"/>
      <c r="C36" s="384"/>
      <c r="D36" s="384"/>
      <c r="E36" s="384"/>
      <c r="F36" s="384"/>
      <c r="G36" s="384"/>
      <c r="H36" s="38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2:63" s="107" customFormat="1" ht="12.75">
      <c r="B37" s="384"/>
      <c r="C37" s="384"/>
      <c r="D37" s="384"/>
      <c r="E37" s="384"/>
      <c r="F37" s="384"/>
      <c r="G37" s="384"/>
      <c r="H37" s="384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2:63" s="107" customFormat="1" ht="12.75">
      <c r="B38" s="384"/>
      <c r="C38" s="384"/>
      <c r="D38" s="384"/>
      <c r="E38" s="384"/>
      <c r="F38" s="384"/>
      <c r="G38" s="384"/>
      <c r="H38" s="384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2:63" s="107" customFormat="1" ht="12.75">
      <c r="B39" s="384"/>
      <c r="C39" s="384"/>
      <c r="D39" s="384"/>
      <c r="E39" s="384"/>
      <c r="F39" s="384"/>
      <c r="G39" s="384"/>
      <c r="H39" s="384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2:63" s="107" customFormat="1" ht="12.75">
      <c r="B40" s="384"/>
      <c r="C40" s="384"/>
      <c r="D40" s="384"/>
      <c r="E40" s="384"/>
      <c r="F40" s="384"/>
      <c r="G40" s="384"/>
      <c r="H40" s="384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2:63" s="107" customFormat="1" ht="12.75">
      <c r="B41" s="384"/>
      <c r="C41" s="384"/>
      <c r="D41" s="384"/>
      <c r="E41" s="384"/>
      <c r="F41" s="384"/>
      <c r="G41" s="384"/>
      <c r="H41" s="384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2:63" s="107" customFormat="1" ht="12.75">
      <c r="B42" s="384"/>
      <c r="C42" s="384"/>
      <c r="D42" s="384"/>
      <c r="E42" s="384"/>
      <c r="F42" s="384"/>
      <c r="G42" s="384"/>
      <c r="H42" s="384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2:63" s="107" customFormat="1" ht="12.75">
      <c r="B43" s="384"/>
      <c r="C43" s="384"/>
      <c r="D43" s="384"/>
      <c r="E43" s="384"/>
      <c r="F43" s="384"/>
      <c r="G43" s="384"/>
      <c r="H43" s="384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2:63" s="107" customFormat="1" ht="12.75">
      <c r="B44" s="384"/>
      <c r="C44" s="384"/>
      <c r="D44" s="384"/>
      <c r="E44" s="384"/>
      <c r="F44" s="384"/>
      <c r="G44" s="384"/>
      <c r="H44" s="38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9:63" s="107" customFormat="1" ht="12.75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9:63" s="107" customFormat="1" ht="12.75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9:63" s="107" customFormat="1" ht="12.75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9:63" s="107" customFormat="1" ht="12.75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9:63" s="107" customFormat="1" ht="12.75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9:63" s="107" customFormat="1" ht="12.75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9:63" s="107" customFormat="1" ht="12.75"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9:63" s="107" customFormat="1" ht="12.75"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9:63" s="107" customFormat="1" ht="12.75"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9:63" s="107" customFormat="1" ht="12.75"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9:63" s="107" customFormat="1" ht="12.75"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9:63" s="107" customFormat="1" ht="12.75"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9:63" s="107" customFormat="1" ht="12.75"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9:63" s="107" customFormat="1" ht="12.75"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9:63" s="107" customFormat="1" ht="12.75"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9:63" s="107" customFormat="1" ht="12.75"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</sheetData>
  <mergeCells count="2">
    <mergeCell ref="A2:H2"/>
    <mergeCell ref="E5:H5"/>
  </mergeCells>
  <printOptions/>
  <pageMargins left="0.944881889763779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C153"/>
  <sheetViews>
    <sheetView workbookViewId="0" topLeftCell="C1">
      <selection activeCell="G16" sqref="G16"/>
    </sheetView>
  </sheetViews>
  <sheetFormatPr defaultColWidth="9.140625" defaultRowHeight="12.75"/>
  <cols>
    <col min="1" max="1" width="38.421875" style="0" customWidth="1"/>
    <col min="2" max="2" width="14.57421875" style="0" customWidth="1"/>
    <col min="3" max="3" width="14.00390625" style="0" customWidth="1"/>
    <col min="4" max="4" width="13.8515625" style="0" customWidth="1"/>
    <col min="5" max="6" width="13.7109375" style="0" customWidth="1"/>
    <col min="7" max="7" width="12.57421875" style="0" customWidth="1"/>
    <col min="8" max="8" width="13.421875" style="0" customWidth="1"/>
    <col min="9" max="9" width="15.421875" style="0" customWidth="1"/>
  </cols>
  <sheetData>
    <row r="2" spans="1:133" s="143" customFormat="1" ht="15">
      <c r="A2" s="658" t="s">
        <v>259</v>
      </c>
      <c r="B2" s="658"/>
      <c r="C2" s="658"/>
      <c r="D2" s="658"/>
      <c r="E2" s="658"/>
      <c r="F2" s="658"/>
      <c r="G2" s="658"/>
      <c r="H2" s="65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</row>
    <row r="3" ht="12.75">
      <c r="H3" s="199" t="s">
        <v>260</v>
      </c>
    </row>
    <row r="4" spans="1:133" s="377" customFormat="1" ht="12.75">
      <c r="A4" s="376"/>
      <c r="B4" s="376"/>
      <c r="C4" s="376"/>
      <c r="D4" s="376"/>
      <c r="E4" s="660" t="s">
        <v>213</v>
      </c>
      <c r="F4" s="661"/>
      <c r="G4" s="661"/>
      <c r="H4" s="662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:133" s="378" customFormat="1" ht="33.75">
      <c r="A5" s="378" t="s">
        <v>1852</v>
      </c>
      <c r="B5" s="378" t="s">
        <v>71</v>
      </c>
      <c r="C5" s="378" t="s">
        <v>72</v>
      </c>
      <c r="D5" s="378" t="s">
        <v>1854</v>
      </c>
      <c r="E5" s="378" t="s">
        <v>214</v>
      </c>
      <c r="F5" s="378" t="s">
        <v>215</v>
      </c>
      <c r="G5" s="378" t="s">
        <v>216</v>
      </c>
      <c r="H5" s="378" t="s">
        <v>241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</row>
    <row r="6" spans="1:133" s="116" customFormat="1" ht="12.75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</row>
    <row r="7" spans="1:133" s="123" customFormat="1" ht="38.25" customHeight="1">
      <c r="A7" s="387" t="s">
        <v>261</v>
      </c>
      <c r="B7" s="361">
        <f aca="true" t="shared" si="0" ref="B7:H7">SUM(B8:B21)</f>
        <v>1266758609</v>
      </c>
      <c r="C7" s="361">
        <f t="shared" si="0"/>
        <v>1628943506</v>
      </c>
      <c r="D7" s="361">
        <f t="shared" si="0"/>
        <v>1572262401</v>
      </c>
      <c r="E7" s="361">
        <f t="shared" si="0"/>
        <v>537630034</v>
      </c>
      <c r="F7" s="361">
        <f t="shared" si="0"/>
        <v>631312856</v>
      </c>
      <c r="G7" s="361">
        <f t="shared" si="0"/>
        <v>356946801</v>
      </c>
      <c r="H7" s="361">
        <f t="shared" si="0"/>
        <v>46372710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 s="107" customFormat="1" ht="17.25" customHeight="1">
      <c r="A8" s="385" t="s">
        <v>262</v>
      </c>
      <c r="B8" s="384">
        <v>111928338</v>
      </c>
      <c r="C8" s="384">
        <v>150199962</v>
      </c>
      <c r="D8" s="384">
        <f>E8+F8+G8+H8</f>
        <v>142770220</v>
      </c>
      <c r="E8" s="384">
        <v>85343901</v>
      </c>
      <c r="F8" s="384">
        <f>11532643+843737</f>
        <v>12376380</v>
      </c>
      <c r="G8" s="384">
        <v>40197583</v>
      </c>
      <c r="H8" s="384">
        <v>4852356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 s="107" customFormat="1" ht="18.75" customHeight="1">
      <c r="A9" s="385" t="s">
        <v>263</v>
      </c>
      <c r="B9" s="384">
        <v>23054345</v>
      </c>
      <c r="C9" s="384">
        <v>37392474</v>
      </c>
      <c r="D9" s="384">
        <f aca="true" t="shared" si="1" ref="D9:D21">E9+F9+G9+H9</f>
        <v>37196798</v>
      </c>
      <c r="E9" s="384">
        <v>36766574</v>
      </c>
      <c r="F9" s="384">
        <v>93732</v>
      </c>
      <c r="G9" s="384">
        <v>336217</v>
      </c>
      <c r="H9" s="384">
        <v>275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 s="107" customFormat="1" ht="18.75" customHeight="1">
      <c r="A10" s="385" t="s">
        <v>264</v>
      </c>
      <c r="B10" s="384">
        <v>67114717</v>
      </c>
      <c r="C10" s="384">
        <v>91853291</v>
      </c>
      <c r="D10" s="384">
        <f t="shared" si="1"/>
        <v>91929729</v>
      </c>
      <c r="E10" s="384">
        <v>84787277</v>
      </c>
      <c r="F10" s="384">
        <v>1468893</v>
      </c>
      <c r="G10" s="384">
        <v>5579105</v>
      </c>
      <c r="H10" s="384">
        <v>94454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33" s="107" customFormat="1" ht="14.25" customHeight="1">
      <c r="A11" s="385" t="s">
        <v>265</v>
      </c>
      <c r="B11" s="384">
        <v>184915704</v>
      </c>
      <c r="C11" s="384">
        <v>248673082</v>
      </c>
      <c r="D11" s="384">
        <f t="shared" si="1"/>
        <v>246526066</v>
      </c>
      <c r="E11" s="384">
        <v>73186726</v>
      </c>
      <c r="F11" s="384">
        <v>818748</v>
      </c>
      <c r="G11" s="384">
        <v>170372090</v>
      </c>
      <c r="H11" s="384">
        <v>2148502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</row>
    <row r="12" spans="1:133" s="107" customFormat="1" ht="15.75" customHeight="1">
      <c r="A12" s="385" t="s">
        <v>266</v>
      </c>
      <c r="B12" s="384">
        <v>125625180</v>
      </c>
      <c r="C12" s="384">
        <v>149487911</v>
      </c>
      <c r="D12" s="384">
        <f t="shared" si="1"/>
        <v>148489459</v>
      </c>
      <c r="E12" s="384">
        <v>61417374</v>
      </c>
      <c r="F12" s="384">
        <v>79942237</v>
      </c>
      <c r="G12" s="384">
        <v>7124268</v>
      </c>
      <c r="H12" s="384">
        <v>5580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</row>
    <row r="13" spans="1:133" s="107" customFormat="1" ht="18.75" customHeight="1">
      <c r="A13" s="385" t="s">
        <v>267</v>
      </c>
      <c r="B13" s="384">
        <v>458624982</v>
      </c>
      <c r="C13" s="384">
        <v>549590082</v>
      </c>
      <c r="D13" s="384">
        <f t="shared" si="1"/>
        <v>541059331</v>
      </c>
      <c r="E13" s="384">
        <v>65781875</v>
      </c>
      <c r="F13" s="384">
        <f>444162076+165265</f>
        <v>444327341</v>
      </c>
      <c r="G13" s="384">
        <v>30442610</v>
      </c>
      <c r="H13" s="384">
        <v>507505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 s="107" customFormat="1" ht="19.5" customHeight="1">
      <c r="A14" s="385" t="s">
        <v>268</v>
      </c>
      <c r="B14" s="384">
        <v>64178118</v>
      </c>
      <c r="C14" s="384">
        <v>78771546</v>
      </c>
      <c r="D14" s="384">
        <f t="shared" si="1"/>
        <v>86764182</v>
      </c>
      <c r="E14" s="384">
        <v>5164857</v>
      </c>
      <c r="F14" s="384">
        <f>12074624+321724</f>
        <v>12396348</v>
      </c>
      <c r="G14" s="384">
        <v>63915864</v>
      </c>
      <c r="H14" s="384">
        <v>5287113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5" spans="1:133" s="107" customFormat="1" ht="16.5" customHeight="1">
      <c r="A15" s="385" t="s">
        <v>269</v>
      </c>
      <c r="B15" s="384">
        <v>33218565</v>
      </c>
      <c r="C15" s="384">
        <v>43773928</v>
      </c>
      <c r="D15" s="384">
        <f t="shared" si="1"/>
        <v>43858950</v>
      </c>
      <c r="E15" s="384">
        <v>19818650</v>
      </c>
      <c r="F15" s="384">
        <f>3454291+634278</f>
        <v>4088569</v>
      </c>
      <c r="G15" s="384">
        <v>19685417</v>
      </c>
      <c r="H15" s="384">
        <v>266314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s="107" customFormat="1" ht="15" customHeight="1">
      <c r="A16" s="385" t="s">
        <v>270</v>
      </c>
      <c r="B16" s="384">
        <v>9181962</v>
      </c>
      <c r="C16" s="384">
        <v>6110632</v>
      </c>
      <c r="D16" s="384">
        <f t="shared" si="1"/>
        <v>5246232</v>
      </c>
      <c r="E16" s="384">
        <v>377257</v>
      </c>
      <c r="F16" s="384"/>
      <c r="G16" s="384">
        <v>4868975</v>
      </c>
      <c r="H16" s="384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1:133" s="107" customFormat="1" ht="32.25" customHeight="1">
      <c r="A17" s="385" t="s">
        <v>271</v>
      </c>
      <c r="B17" s="384">
        <v>46631160</v>
      </c>
      <c r="C17" s="384">
        <v>75292996</v>
      </c>
      <c r="D17" s="384">
        <f t="shared" si="1"/>
        <v>72099955</v>
      </c>
      <c r="E17" s="384">
        <v>50896774</v>
      </c>
      <c r="F17" s="384">
        <f>20726270+89257</f>
        <v>20815527</v>
      </c>
      <c r="G17" s="384">
        <v>387554</v>
      </c>
      <c r="H17" s="384">
        <v>100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1:133" s="107" customFormat="1" ht="27" customHeight="1">
      <c r="A18" s="385" t="s">
        <v>272</v>
      </c>
      <c r="B18" s="384">
        <v>527881</v>
      </c>
      <c r="C18" s="384">
        <v>703784</v>
      </c>
      <c r="D18" s="384">
        <f t="shared" si="1"/>
        <v>698900</v>
      </c>
      <c r="E18" s="384">
        <v>695761</v>
      </c>
      <c r="F18" s="384"/>
      <c r="G18" s="384">
        <v>3139</v>
      </c>
      <c r="H18" s="38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1:133" s="107" customFormat="1" ht="15.75" customHeight="1">
      <c r="A19" s="385" t="s">
        <v>273</v>
      </c>
      <c r="B19" s="384">
        <v>72797088</v>
      </c>
      <c r="C19" s="384">
        <v>108307324</v>
      </c>
      <c r="D19" s="384">
        <f t="shared" si="1"/>
        <v>91507154</v>
      </c>
      <c r="E19" s="384">
        <v>10302185</v>
      </c>
      <c r="F19" s="384">
        <v>53797183</v>
      </c>
      <c r="G19" s="384">
        <v>8071890</v>
      </c>
      <c r="H19" s="384">
        <v>19335896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1:133" s="107" customFormat="1" ht="15" customHeight="1">
      <c r="A20" s="385" t="s">
        <v>274</v>
      </c>
      <c r="B20" s="384">
        <v>5830643</v>
      </c>
      <c r="C20" s="384">
        <v>18471146</v>
      </c>
      <c r="D20" s="384">
        <f t="shared" si="1"/>
        <v>15404325</v>
      </c>
      <c r="E20" s="384">
        <v>12915258</v>
      </c>
      <c r="F20" s="384">
        <v>1187898</v>
      </c>
      <c r="G20" s="384">
        <v>779101</v>
      </c>
      <c r="H20" s="384">
        <v>522068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1:133" s="107" customFormat="1" ht="18.75" customHeight="1">
      <c r="A21" s="385" t="s">
        <v>275</v>
      </c>
      <c r="B21" s="384">
        <v>63129926</v>
      </c>
      <c r="C21" s="384">
        <v>70315348</v>
      </c>
      <c r="D21" s="384">
        <f t="shared" si="1"/>
        <v>48711100</v>
      </c>
      <c r="E21" s="384">
        <v>30175565</v>
      </c>
      <c r="F21" s="384"/>
      <c r="G21" s="384">
        <v>5182988</v>
      </c>
      <c r="H21" s="384">
        <v>13352547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</row>
    <row r="22" spans="1:133" s="107" customFormat="1" ht="12.75">
      <c r="A22" s="385"/>
      <c r="B22" s="384"/>
      <c r="C22" s="384"/>
      <c r="D22" s="384"/>
      <c r="E22" s="384"/>
      <c r="F22" s="384"/>
      <c r="G22" s="384"/>
      <c r="H22" s="384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</row>
    <row r="23" spans="1:133" s="107" customFormat="1" ht="12.75">
      <c r="A23" s="385"/>
      <c r="B23" s="384"/>
      <c r="C23" s="384"/>
      <c r="D23" s="384"/>
      <c r="E23" s="384"/>
      <c r="F23" s="384"/>
      <c r="G23" s="384"/>
      <c r="H23" s="38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1:133" s="35" customFormat="1" ht="12.75">
      <c r="A24" s="190"/>
      <c r="B24" s="128" t="s">
        <v>40</v>
      </c>
      <c r="C24" s="128"/>
      <c r="D24" s="128"/>
      <c r="E24" s="128"/>
      <c r="F24" s="128" t="s">
        <v>41</v>
      </c>
      <c r="G24" s="128"/>
      <c r="H24" s="128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1:133" s="107" customFormat="1" ht="12.75">
      <c r="A25" s="385"/>
      <c r="B25" s="384"/>
      <c r="C25" s="384"/>
      <c r="D25" s="384"/>
      <c r="E25" s="384"/>
      <c r="F25" s="384"/>
      <c r="G25" s="384"/>
      <c r="H25" s="384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1:133" s="107" customFormat="1" ht="12.75">
      <c r="A26" s="385"/>
      <c r="B26" s="384"/>
      <c r="C26" s="384"/>
      <c r="D26" s="384"/>
      <c r="E26" s="384"/>
      <c r="F26" s="384"/>
      <c r="G26" s="384"/>
      <c r="H26" s="384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1:133" s="35" customFormat="1" ht="12.75">
      <c r="A27" s="190"/>
      <c r="B27" s="128" t="s">
        <v>42</v>
      </c>
      <c r="C27" s="128"/>
      <c r="D27" s="128"/>
      <c r="E27" s="128"/>
      <c r="F27" s="128" t="s">
        <v>43</v>
      </c>
      <c r="G27" s="128"/>
      <c r="H27" s="128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</row>
    <row r="28" spans="1:133" s="107" customFormat="1" ht="12.75">
      <c r="A28" s="385"/>
      <c r="B28" s="384"/>
      <c r="C28" s="384"/>
      <c r="D28" s="384"/>
      <c r="E28" s="384"/>
      <c r="F28" s="384"/>
      <c r="G28" s="384"/>
      <c r="H28" s="384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1:133" s="107" customFormat="1" ht="12.75">
      <c r="A29" s="385"/>
      <c r="B29" s="384"/>
      <c r="C29" s="384"/>
      <c r="D29" s="384"/>
      <c r="E29" s="384"/>
      <c r="F29" s="384"/>
      <c r="G29" s="384"/>
      <c r="H29" s="384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1:133" s="107" customFormat="1" ht="12.75">
      <c r="A30" s="385"/>
      <c r="B30" s="384"/>
      <c r="C30" s="384"/>
      <c r="D30" s="384"/>
      <c r="E30" s="384"/>
      <c r="F30" s="384"/>
      <c r="G30" s="384"/>
      <c r="H30" s="384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1:133" s="107" customFormat="1" ht="12.75">
      <c r="A31" s="385"/>
      <c r="B31" s="384"/>
      <c r="C31" s="384"/>
      <c r="D31" s="384"/>
      <c r="E31" s="384"/>
      <c r="F31" s="384"/>
      <c r="G31" s="384"/>
      <c r="H31" s="384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1:133" s="107" customFormat="1" ht="12.75">
      <c r="A32" s="385"/>
      <c r="B32" s="384"/>
      <c r="C32" s="384"/>
      <c r="D32" s="384"/>
      <c r="E32" s="384"/>
      <c r="F32" s="384"/>
      <c r="G32" s="384"/>
      <c r="H32" s="384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</row>
    <row r="33" spans="1:133" s="107" customFormat="1" ht="12.75">
      <c r="A33" s="385"/>
      <c r="B33" s="384"/>
      <c r="C33" s="384"/>
      <c r="D33" s="384"/>
      <c r="E33" s="384"/>
      <c r="F33" s="384"/>
      <c r="G33" s="384"/>
      <c r="H33" s="384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</row>
    <row r="34" spans="1:133" s="107" customFormat="1" ht="12.75">
      <c r="A34" s="385"/>
      <c r="B34" s="384"/>
      <c r="C34" s="384"/>
      <c r="D34" s="384"/>
      <c r="E34" s="384"/>
      <c r="F34" s="384"/>
      <c r="G34" s="384"/>
      <c r="H34" s="38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</row>
    <row r="35" spans="1:133" s="107" customFormat="1" ht="12.75">
      <c r="A35" s="385"/>
      <c r="B35" s="384"/>
      <c r="C35" s="384"/>
      <c r="D35" s="384"/>
      <c r="E35" s="384"/>
      <c r="F35" s="384"/>
      <c r="G35" s="384"/>
      <c r="H35" s="384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 s="107" customFormat="1" ht="12.75">
      <c r="A36" s="385"/>
      <c r="B36" s="384"/>
      <c r="C36" s="384"/>
      <c r="D36" s="384"/>
      <c r="E36" s="384"/>
      <c r="F36" s="384"/>
      <c r="G36" s="384"/>
      <c r="H36" s="38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</row>
    <row r="37" spans="1:133" s="107" customFormat="1" ht="12.75">
      <c r="A37" s="385"/>
      <c r="B37" s="384"/>
      <c r="C37" s="384"/>
      <c r="D37" s="384"/>
      <c r="E37" s="384"/>
      <c r="F37" s="384"/>
      <c r="G37" s="384"/>
      <c r="H37" s="384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1:133" s="107" customFormat="1" ht="12.75">
      <c r="A38" s="385"/>
      <c r="B38" s="384"/>
      <c r="C38" s="384"/>
      <c r="D38" s="384"/>
      <c r="E38" s="384"/>
      <c r="F38" s="384"/>
      <c r="G38" s="384"/>
      <c r="H38" s="384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</row>
    <row r="39" spans="1:133" s="107" customFormat="1" ht="12.75">
      <c r="A39" s="385"/>
      <c r="B39" s="384"/>
      <c r="C39" s="384"/>
      <c r="D39" s="384"/>
      <c r="E39" s="384"/>
      <c r="F39" s="384"/>
      <c r="G39" s="384"/>
      <c r="H39" s="384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</row>
    <row r="40" spans="1:133" s="107" customFormat="1" ht="12.75">
      <c r="A40" s="385"/>
      <c r="B40" s="384"/>
      <c r="C40" s="384"/>
      <c r="D40" s="384"/>
      <c r="E40" s="384"/>
      <c r="F40" s="384"/>
      <c r="G40" s="384"/>
      <c r="H40" s="384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2:8" ht="12.75">
      <c r="B41" s="36"/>
      <c r="C41" s="36"/>
      <c r="D41" s="36"/>
      <c r="E41" s="36"/>
      <c r="F41" s="36"/>
      <c r="G41" s="36"/>
      <c r="H41" s="36"/>
    </row>
    <row r="42" spans="2:8" ht="12.75">
      <c r="B42" s="36"/>
      <c r="C42" s="36"/>
      <c r="D42" s="36"/>
      <c r="E42" s="36"/>
      <c r="F42" s="36"/>
      <c r="G42" s="36"/>
      <c r="H42" s="36"/>
    </row>
    <row r="43" spans="2:8" ht="12.75">
      <c r="B43" s="36"/>
      <c r="C43" s="36"/>
      <c r="D43" s="36"/>
      <c r="E43" s="36"/>
      <c r="F43" s="36"/>
      <c r="G43" s="36"/>
      <c r="H43" s="36"/>
    </row>
    <row r="44" spans="2:8" ht="12.75">
      <c r="B44" s="36"/>
      <c r="C44" s="36"/>
      <c r="D44" s="36"/>
      <c r="E44" s="36"/>
      <c r="F44" s="36"/>
      <c r="G44" s="36"/>
      <c r="H44" s="36"/>
    </row>
    <row r="45" spans="2:8" ht="12.75">
      <c r="B45" s="36"/>
      <c r="C45" s="36"/>
      <c r="D45" s="36"/>
      <c r="E45" s="36"/>
      <c r="F45" s="36"/>
      <c r="G45" s="36"/>
      <c r="H45" s="36"/>
    </row>
    <row r="46" spans="2:8" ht="12.75">
      <c r="B46" s="36"/>
      <c r="C46" s="36"/>
      <c r="D46" s="36"/>
      <c r="E46" s="36"/>
      <c r="F46" s="36"/>
      <c r="G46" s="36"/>
      <c r="H46" s="36"/>
    </row>
    <row r="47" spans="2:8" ht="12.75">
      <c r="B47" s="36"/>
      <c r="C47" s="36"/>
      <c r="D47" s="36"/>
      <c r="E47" s="36"/>
      <c r="F47" s="36"/>
      <c r="G47" s="36"/>
      <c r="H47" s="36"/>
    </row>
    <row r="48" spans="2:8" ht="12.75">
      <c r="B48" s="36"/>
      <c r="C48" s="36"/>
      <c r="D48" s="36"/>
      <c r="E48" s="36"/>
      <c r="F48" s="36"/>
      <c r="G48" s="36"/>
      <c r="H48" s="36"/>
    </row>
    <row r="49" spans="2:8" ht="12.75">
      <c r="B49" s="36"/>
      <c r="C49" s="36"/>
      <c r="D49" s="36"/>
      <c r="E49" s="36"/>
      <c r="F49" s="36"/>
      <c r="G49" s="36"/>
      <c r="H49" s="36"/>
    </row>
    <row r="50" spans="2:8" ht="12.75">
      <c r="B50" s="36"/>
      <c r="C50" s="36"/>
      <c r="D50" s="36"/>
      <c r="E50" s="36"/>
      <c r="F50" s="36"/>
      <c r="G50" s="36"/>
      <c r="H50" s="36"/>
    </row>
    <row r="51" spans="2:8" ht="12.75">
      <c r="B51" s="36"/>
      <c r="C51" s="36"/>
      <c r="D51" s="36"/>
      <c r="E51" s="36"/>
      <c r="F51" s="36"/>
      <c r="G51" s="36"/>
      <c r="H51" s="36"/>
    </row>
    <row r="52" spans="2:8" ht="12.75">
      <c r="B52" s="36"/>
      <c r="C52" s="36"/>
      <c r="D52" s="36"/>
      <c r="E52" s="36"/>
      <c r="F52" s="36"/>
      <c r="G52" s="36"/>
      <c r="H52" s="36"/>
    </row>
    <row r="53" spans="2:8" ht="12.75">
      <c r="B53" s="36"/>
      <c r="C53" s="36"/>
      <c r="D53" s="36"/>
      <c r="E53" s="36"/>
      <c r="F53" s="36"/>
      <c r="G53" s="36"/>
      <c r="H53" s="36"/>
    </row>
    <row r="54" spans="2:8" ht="12.75">
      <c r="B54" s="36"/>
      <c r="C54" s="36"/>
      <c r="D54" s="36"/>
      <c r="E54" s="36"/>
      <c r="F54" s="36"/>
      <c r="G54" s="36"/>
      <c r="H54" s="36"/>
    </row>
    <row r="55" spans="2:8" ht="12.75">
      <c r="B55" s="36"/>
      <c r="C55" s="36"/>
      <c r="D55" s="36"/>
      <c r="E55" s="36"/>
      <c r="F55" s="36"/>
      <c r="G55" s="36"/>
      <c r="H55" s="36"/>
    </row>
    <row r="56" spans="2:8" ht="12.75">
      <c r="B56" s="36"/>
      <c r="C56" s="36"/>
      <c r="D56" s="36"/>
      <c r="E56" s="36"/>
      <c r="F56" s="36"/>
      <c r="G56" s="36"/>
      <c r="H56" s="36"/>
    </row>
    <row r="57" spans="2:8" ht="12.75">
      <c r="B57" s="36"/>
      <c r="C57" s="36"/>
      <c r="D57" s="36"/>
      <c r="E57" s="36"/>
      <c r="F57" s="36"/>
      <c r="G57" s="36"/>
      <c r="H57" s="36"/>
    </row>
    <row r="58" spans="2:8" ht="12.75">
      <c r="B58" s="36"/>
      <c r="C58" s="36"/>
      <c r="D58" s="36"/>
      <c r="E58" s="36"/>
      <c r="F58" s="36"/>
      <c r="G58" s="36"/>
      <c r="H58" s="36"/>
    </row>
    <row r="59" spans="2:8" ht="12.75">
      <c r="B59" s="36"/>
      <c r="C59" s="36"/>
      <c r="D59" s="36"/>
      <c r="E59" s="36"/>
      <c r="F59" s="36"/>
      <c r="G59" s="36"/>
      <c r="H59" s="36"/>
    </row>
    <row r="60" spans="2:8" ht="12.75">
      <c r="B60" s="36"/>
      <c r="C60" s="36"/>
      <c r="D60" s="36"/>
      <c r="E60" s="36"/>
      <c r="F60" s="36"/>
      <c r="G60" s="36"/>
      <c r="H60" s="36"/>
    </row>
    <row r="61" spans="2:8" ht="12.75">
      <c r="B61" s="36"/>
      <c r="C61" s="36"/>
      <c r="D61" s="36"/>
      <c r="E61" s="36"/>
      <c r="F61" s="36"/>
      <c r="G61" s="36"/>
      <c r="H61" s="36"/>
    </row>
    <row r="62" spans="2:8" ht="12.75">
      <c r="B62" s="36"/>
      <c r="C62" s="36"/>
      <c r="D62" s="36"/>
      <c r="E62" s="36"/>
      <c r="F62" s="36"/>
      <c r="G62" s="36"/>
      <c r="H62" s="36"/>
    </row>
    <row r="63" spans="2:8" ht="12.75">
      <c r="B63" s="36"/>
      <c r="C63" s="36"/>
      <c r="D63" s="36"/>
      <c r="E63" s="36"/>
      <c r="F63" s="36"/>
      <c r="G63" s="36"/>
      <c r="H63" s="36"/>
    </row>
    <row r="64" spans="2:8" ht="12.75">
      <c r="B64" s="36"/>
      <c r="C64" s="36"/>
      <c r="D64" s="36"/>
      <c r="E64" s="36"/>
      <c r="F64" s="36"/>
      <c r="G64" s="36"/>
      <c r="H64" s="36"/>
    </row>
    <row r="65" spans="2:8" ht="12.75">
      <c r="B65" s="36"/>
      <c r="C65" s="36"/>
      <c r="D65" s="36"/>
      <c r="E65" s="36"/>
      <c r="F65" s="36"/>
      <c r="G65" s="36"/>
      <c r="H65" s="36"/>
    </row>
    <row r="66" spans="2:8" ht="12.75">
      <c r="B66" s="36"/>
      <c r="C66" s="36"/>
      <c r="D66" s="36"/>
      <c r="E66" s="36"/>
      <c r="F66" s="36"/>
      <c r="G66" s="36"/>
      <c r="H66" s="36"/>
    </row>
    <row r="67" spans="2:8" ht="12.75">
      <c r="B67" s="36"/>
      <c r="C67" s="36"/>
      <c r="D67" s="36"/>
      <c r="E67" s="36"/>
      <c r="F67" s="36"/>
      <c r="G67" s="36"/>
      <c r="H67" s="36"/>
    </row>
    <row r="68" spans="2:8" ht="12.75">
      <c r="B68" s="36"/>
      <c r="C68" s="36"/>
      <c r="D68" s="36"/>
      <c r="E68" s="36"/>
      <c r="F68" s="36"/>
      <c r="G68" s="36"/>
      <c r="H68" s="36"/>
    </row>
    <row r="69" spans="2:8" ht="12.75">
      <c r="B69" s="36"/>
      <c r="C69" s="36"/>
      <c r="D69" s="36"/>
      <c r="E69" s="36"/>
      <c r="F69" s="36"/>
      <c r="G69" s="36"/>
      <c r="H69" s="36"/>
    </row>
    <row r="70" spans="2:8" ht="12.75">
      <c r="B70" s="36"/>
      <c r="C70" s="36"/>
      <c r="D70" s="36"/>
      <c r="E70" s="36"/>
      <c r="F70" s="36"/>
      <c r="G70" s="36"/>
      <c r="H70" s="36"/>
    </row>
    <row r="71" spans="2:8" ht="12.75">
      <c r="B71" s="36"/>
      <c r="C71" s="36"/>
      <c r="D71" s="36"/>
      <c r="E71" s="36"/>
      <c r="F71" s="36"/>
      <c r="G71" s="36"/>
      <c r="H71" s="36"/>
    </row>
    <row r="72" spans="2:8" ht="12.75">
      <c r="B72" s="36"/>
      <c r="C72" s="36"/>
      <c r="D72" s="36"/>
      <c r="E72" s="36"/>
      <c r="F72" s="36"/>
      <c r="G72" s="36"/>
      <c r="H72" s="36"/>
    </row>
    <row r="73" spans="2:8" ht="12.75">
      <c r="B73" s="36"/>
      <c r="C73" s="36"/>
      <c r="D73" s="36"/>
      <c r="E73" s="36"/>
      <c r="F73" s="36"/>
      <c r="G73" s="36"/>
      <c r="H73" s="36"/>
    </row>
    <row r="74" spans="2:8" ht="12.75">
      <c r="B74" s="36"/>
      <c r="C74" s="36"/>
      <c r="D74" s="36"/>
      <c r="E74" s="36"/>
      <c r="F74" s="36"/>
      <c r="G74" s="36"/>
      <c r="H74" s="36"/>
    </row>
    <row r="75" spans="2:8" ht="12.75">
      <c r="B75" s="36"/>
      <c r="C75" s="36"/>
      <c r="D75" s="36"/>
      <c r="E75" s="36"/>
      <c r="F75" s="36"/>
      <c r="G75" s="36"/>
      <c r="H75" s="36"/>
    </row>
    <row r="76" spans="2:8" ht="12.75">
      <c r="B76" s="36"/>
      <c r="C76" s="36"/>
      <c r="D76" s="36"/>
      <c r="E76" s="36"/>
      <c r="F76" s="36"/>
      <c r="G76" s="36"/>
      <c r="H76" s="36"/>
    </row>
    <row r="77" spans="2:8" ht="12.75">
      <c r="B77" s="36"/>
      <c r="C77" s="36"/>
      <c r="D77" s="36"/>
      <c r="E77" s="36"/>
      <c r="F77" s="36"/>
      <c r="G77" s="36"/>
      <c r="H77" s="36"/>
    </row>
    <row r="78" spans="2:8" ht="12.75">
      <c r="B78" s="36"/>
      <c r="C78" s="36"/>
      <c r="D78" s="36"/>
      <c r="E78" s="36"/>
      <c r="F78" s="36"/>
      <c r="G78" s="36"/>
      <c r="H78" s="36"/>
    </row>
    <row r="79" spans="2:8" ht="12.75">
      <c r="B79" s="36"/>
      <c r="C79" s="36"/>
      <c r="D79" s="36"/>
      <c r="E79" s="36"/>
      <c r="F79" s="36"/>
      <c r="G79" s="36"/>
      <c r="H79" s="36"/>
    </row>
    <row r="80" spans="2:8" ht="12.75">
      <c r="B80" s="36"/>
      <c r="C80" s="36"/>
      <c r="D80" s="36"/>
      <c r="E80" s="36"/>
      <c r="F80" s="36"/>
      <c r="G80" s="36"/>
      <c r="H80" s="36"/>
    </row>
    <row r="81" spans="2:8" ht="12.75">
      <c r="B81" s="36"/>
      <c r="C81" s="36"/>
      <c r="D81" s="36"/>
      <c r="E81" s="36"/>
      <c r="F81" s="36"/>
      <c r="G81" s="36"/>
      <c r="H81" s="36"/>
    </row>
    <row r="82" spans="2:8" ht="12.75">
      <c r="B82" s="36"/>
      <c r="C82" s="36"/>
      <c r="D82" s="36"/>
      <c r="E82" s="36"/>
      <c r="F82" s="36"/>
      <c r="G82" s="36"/>
      <c r="H82" s="36"/>
    </row>
    <row r="83" spans="2:8" ht="12.75">
      <c r="B83" s="36"/>
      <c r="C83" s="36"/>
      <c r="D83" s="36"/>
      <c r="E83" s="36"/>
      <c r="F83" s="36"/>
      <c r="G83" s="36"/>
      <c r="H83" s="36"/>
    </row>
    <row r="84" spans="2:8" ht="12.75">
      <c r="B84" s="36"/>
      <c r="C84" s="36"/>
      <c r="D84" s="36"/>
      <c r="E84" s="36"/>
      <c r="F84" s="36"/>
      <c r="G84" s="36"/>
      <c r="H84" s="36"/>
    </row>
    <row r="85" spans="2:8" ht="12.75">
      <c r="B85" s="36"/>
      <c r="C85" s="36"/>
      <c r="D85" s="36"/>
      <c r="E85" s="36"/>
      <c r="F85" s="36"/>
      <c r="G85" s="36"/>
      <c r="H85" s="36"/>
    </row>
    <row r="86" spans="2:8" ht="12.75">
      <c r="B86" s="36"/>
      <c r="C86" s="36"/>
      <c r="D86" s="36"/>
      <c r="E86" s="36"/>
      <c r="F86" s="36"/>
      <c r="G86" s="36"/>
      <c r="H86" s="36"/>
    </row>
    <row r="87" spans="2:8" ht="12.75">
      <c r="B87" s="36"/>
      <c r="C87" s="36"/>
      <c r="D87" s="36"/>
      <c r="E87" s="36"/>
      <c r="F87" s="36"/>
      <c r="G87" s="36"/>
      <c r="H87" s="36"/>
    </row>
    <row r="88" spans="2:8" ht="12.75">
      <c r="B88" s="36"/>
      <c r="C88" s="36"/>
      <c r="D88" s="36"/>
      <c r="E88" s="36"/>
      <c r="F88" s="36"/>
      <c r="G88" s="36"/>
      <c r="H88" s="36"/>
    </row>
    <row r="89" spans="2:8" ht="12.75">
      <c r="B89" s="36"/>
      <c r="C89" s="36"/>
      <c r="D89" s="36"/>
      <c r="E89" s="36"/>
      <c r="F89" s="36"/>
      <c r="G89" s="36"/>
      <c r="H89" s="36"/>
    </row>
    <row r="90" spans="2:8" ht="12.75">
      <c r="B90" s="36"/>
      <c r="C90" s="36"/>
      <c r="D90" s="36"/>
      <c r="E90" s="36"/>
      <c r="F90" s="36"/>
      <c r="G90" s="36"/>
      <c r="H90" s="36"/>
    </row>
    <row r="91" spans="2:8" ht="12.75">
      <c r="B91" s="36"/>
      <c r="C91" s="36"/>
      <c r="D91" s="36"/>
      <c r="E91" s="36"/>
      <c r="F91" s="36"/>
      <c r="G91" s="36"/>
      <c r="H91" s="36"/>
    </row>
    <row r="92" spans="2:8" ht="12.75">
      <c r="B92" s="36"/>
      <c r="C92" s="36"/>
      <c r="D92" s="36"/>
      <c r="E92" s="36"/>
      <c r="F92" s="36"/>
      <c r="G92" s="36"/>
      <c r="H92" s="36"/>
    </row>
    <row r="93" spans="2:8" ht="12.75">
      <c r="B93" s="36"/>
      <c r="C93" s="36"/>
      <c r="D93" s="36"/>
      <c r="E93" s="36"/>
      <c r="F93" s="36"/>
      <c r="G93" s="36"/>
      <c r="H93" s="36"/>
    </row>
    <row r="94" spans="2:8" ht="12.75">
      <c r="B94" s="36"/>
      <c r="C94" s="36"/>
      <c r="D94" s="36"/>
      <c r="E94" s="36"/>
      <c r="F94" s="36"/>
      <c r="G94" s="36"/>
      <c r="H94" s="36"/>
    </row>
    <row r="95" spans="2:8" ht="12.75">
      <c r="B95" s="36"/>
      <c r="C95" s="36"/>
      <c r="D95" s="36"/>
      <c r="E95" s="36"/>
      <c r="F95" s="36"/>
      <c r="G95" s="36"/>
      <c r="H95" s="36"/>
    </row>
    <row r="96" spans="2:8" ht="12.75">
      <c r="B96" s="36"/>
      <c r="C96" s="36"/>
      <c r="D96" s="36"/>
      <c r="E96" s="36"/>
      <c r="F96" s="36"/>
      <c r="G96" s="36"/>
      <c r="H96" s="36"/>
    </row>
    <row r="97" spans="2:8" ht="12.75">
      <c r="B97" s="36"/>
      <c r="C97" s="36"/>
      <c r="D97" s="36"/>
      <c r="E97" s="36"/>
      <c r="F97" s="36"/>
      <c r="G97" s="36"/>
      <c r="H97" s="36"/>
    </row>
    <row r="98" spans="2:8" ht="12.75">
      <c r="B98" s="36"/>
      <c r="C98" s="36"/>
      <c r="D98" s="36"/>
      <c r="E98" s="36"/>
      <c r="F98" s="36"/>
      <c r="G98" s="36"/>
      <c r="H98" s="36"/>
    </row>
    <row r="99" spans="2:8" ht="12.75">
      <c r="B99" s="36"/>
      <c r="C99" s="36"/>
      <c r="D99" s="36"/>
      <c r="E99" s="36"/>
      <c r="F99" s="36"/>
      <c r="G99" s="36"/>
      <c r="H99" s="36"/>
    </row>
    <row r="100" spans="2:8" ht="12.75">
      <c r="B100" s="36"/>
      <c r="C100" s="36"/>
      <c r="D100" s="36"/>
      <c r="E100" s="36"/>
      <c r="F100" s="36"/>
      <c r="G100" s="36"/>
      <c r="H100" s="36"/>
    </row>
    <row r="101" spans="2:8" ht="12.75">
      <c r="B101" s="36"/>
      <c r="C101" s="36"/>
      <c r="D101" s="36"/>
      <c r="E101" s="36"/>
      <c r="F101" s="36"/>
      <c r="G101" s="36"/>
      <c r="H101" s="36"/>
    </row>
    <row r="102" spans="2:8" ht="12.75">
      <c r="B102" s="36"/>
      <c r="C102" s="36"/>
      <c r="D102" s="36"/>
      <c r="E102" s="36"/>
      <c r="F102" s="36"/>
      <c r="G102" s="36"/>
      <c r="H102" s="36"/>
    </row>
    <row r="103" spans="2:8" ht="12.75">
      <c r="B103" s="36"/>
      <c r="C103" s="36"/>
      <c r="D103" s="36"/>
      <c r="E103" s="36"/>
      <c r="F103" s="36"/>
      <c r="G103" s="36"/>
      <c r="H103" s="36"/>
    </row>
    <row r="104" spans="2:8" ht="12.75">
      <c r="B104" s="36"/>
      <c r="C104" s="36"/>
      <c r="D104" s="36"/>
      <c r="E104" s="36"/>
      <c r="F104" s="36"/>
      <c r="G104" s="36"/>
      <c r="H104" s="36"/>
    </row>
    <row r="105" spans="2:8" ht="12.75">
      <c r="B105" s="36"/>
      <c r="C105" s="36"/>
      <c r="D105" s="36"/>
      <c r="E105" s="36"/>
      <c r="F105" s="36"/>
      <c r="G105" s="36"/>
      <c r="H105" s="36"/>
    </row>
    <row r="106" spans="2:8" ht="12.75">
      <c r="B106" s="36"/>
      <c r="C106" s="36"/>
      <c r="D106" s="36"/>
      <c r="E106" s="36"/>
      <c r="F106" s="36"/>
      <c r="G106" s="36"/>
      <c r="H106" s="36"/>
    </row>
    <row r="107" spans="2:8" ht="12.75">
      <c r="B107" s="36"/>
      <c r="C107" s="36"/>
      <c r="D107" s="36"/>
      <c r="E107" s="36"/>
      <c r="F107" s="36"/>
      <c r="G107" s="36"/>
      <c r="H107" s="36"/>
    </row>
    <row r="108" spans="2:8" ht="12.75">
      <c r="B108" s="36"/>
      <c r="C108" s="36"/>
      <c r="D108" s="36"/>
      <c r="E108" s="36"/>
      <c r="F108" s="36"/>
      <c r="G108" s="36"/>
      <c r="H108" s="36"/>
    </row>
    <row r="109" spans="2:8" ht="12.75">
      <c r="B109" s="36"/>
      <c r="C109" s="36"/>
      <c r="D109" s="36"/>
      <c r="E109" s="36"/>
      <c r="F109" s="36"/>
      <c r="G109" s="36"/>
      <c r="H109" s="36"/>
    </row>
    <row r="110" spans="2:8" ht="12.75">
      <c r="B110" s="36"/>
      <c r="C110" s="36"/>
      <c r="D110" s="36"/>
      <c r="E110" s="36"/>
      <c r="F110" s="36"/>
      <c r="G110" s="36"/>
      <c r="H110" s="36"/>
    </row>
    <row r="111" spans="2:8" ht="12.75">
      <c r="B111" s="36"/>
      <c r="C111" s="36"/>
      <c r="D111" s="36"/>
      <c r="E111" s="36"/>
      <c r="F111" s="36"/>
      <c r="G111" s="36"/>
      <c r="H111" s="36"/>
    </row>
    <row r="112" spans="2:8" ht="12.75">
      <c r="B112" s="36"/>
      <c r="C112" s="36"/>
      <c r="D112" s="36"/>
      <c r="E112" s="36"/>
      <c r="F112" s="36"/>
      <c r="G112" s="36"/>
      <c r="H112" s="36"/>
    </row>
    <row r="113" spans="2:8" ht="12.75">
      <c r="B113" s="36"/>
      <c r="C113" s="36"/>
      <c r="D113" s="36"/>
      <c r="E113" s="36"/>
      <c r="F113" s="36"/>
      <c r="G113" s="36"/>
      <c r="H113" s="36"/>
    </row>
    <row r="114" spans="2:8" ht="12.75">
      <c r="B114" s="36"/>
      <c r="C114" s="36"/>
      <c r="D114" s="36"/>
      <c r="E114" s="36"/>
      <c r="F114" s="36"/>
      <c r="G114" s="36"/>
      <c r="H114" s="36"/>
    </row>
    <row r="115" spans="2:8" ht="12.75">
      <c r="B115" s="36"/>
      <c r="C115" s="36"/>
      <c r="D115" s="36"/>
      <c r="E115" s="36"/>
      <c r="F115" s="36"/>
      <c r="G115" s="36"/>
      <c r="H115" s="36"/>
    </row>
    <row r="116" spans="2:8" ht="12.75">
      <c r="B116" s="36"/>
      <c r="C116" s="36"/>
      <c r="D116" s="36"/>
      <c r="E116" s="36"/>
      <c r="F116" s="36"/>
      <c r="G116" s="36"/>
      <c r="H116" s="36"/>
    </row>
    <row r="117" spans="2:8" ht="12.75">
      <c r="B117" s="36"/>
      <c r="C117" s="36"/>
      <c r="D117" s="36"/>
      <c r="E117" s="36"/>
      <c r="F117" s="36"/>
      <c r="G117" s="36"/>
      <c r="H117" s="36"/>
    </row>
    <row r="118" spans="2:8" ht="12.75">
      <c r="B118" s="36"/>
      <c r="C118" s="36"/>
      <c r="D118" s="36"/>
      <c r="E118" s="36"/>
      <c r="F118" s="36"/>
      <c r="G118" s="36"/>
      <c r="H118" s="36"/>
    </row>
    <row r="119" spans="2:8" ht="12.75">
      <c r="B119" s="36"/>
      <c r="C119" s="36"/>
      <c r="D119" s="36"/>
      <c r="E119" s="36"/>
      <c r="F119" s="36"/>
      <c r="G119" s="36"/>
      <c r="H119" s="36"/>
    </row>
    <row r="120" spans="2:8" ht="12.75">
      <c r="B120" s="36"/>
      <c r="C120" s="36"/>
      <c r="D120" s="36"/>
      <c r="E120" s="36"/>
      <c r="F120" s="36"/>
      <c r="G120" s="36"/>
      <c r="H120" s="36"/>
    </row>
    <row r="121" spans="2:8" ht="12.75">
      <c r="B121" s="36"/>
      <c r="C121" s="36"/>
      <c r="D121" s="36"/>
      <c r="E121" s="36"/>
      <c r="F121" s="36"/>
      <c r="G121" s="36"/>
      <c r="H121" s="36"/>
    </row>
    <row r="122" spans="2:8" ht="12.75">
      <c r="B122" s="36"/>
      <c r="C122" s="36"/>
      <c r="D122" s="36"/>
      <c r="E122" s="36"/>
      <c r="F122" s="36"/>
      <c r="G122" s="36"/>
      <c r="H122" s="36"/>
    </row>
    <row r="123" spans="2:8" ht="12.75">
      <c r="B123" s="36"/>
      <c r="C123" s="36"/>
      <c r="D123" s="36"/>
      <c r="E123" s="36"/>
      <c r="F123" s="36"/>
      <c r="G123" s="36"/>
      <c r="H123" s="36"/>
    </row>
    <row r="124" spans="2:8" ht="12.75">
      <c r="B124" s="36"/>
      <c r="C124" s="36"/>
      <c r="D124" s="36"/>
      <c r="E124" s="36"/>
      <c r="F124" s="36"/>
      <c r="G124" s="36"/>
      <c r="H124" s="36"/>
    </row>
    <row r="125" spans="2:8" ht="12.75">
      <c r="B125" s="36"/>
      <c r="C125" s="36"/>
      <c r="D125" s="36"/>
      <c r="E125" s="36"/>
      <c r="F125" s="36"/>
      <c r="G125" s="36"/>
      <c r="H125" s="36"/>
    </row>
    <row r="126" spans="2:8" ht="12.75">
      <c r="B126" s="36"/>
      <c r="C126" s="36"/>
      <c r="D126" s="36"/>
      <c r="E126" s="36"/>
      <c r="F126" s="36"/>
      <c r="G126" s="36"/>
      <c r="H126" s="36"/>
    </row>
    <row r="127" spans="2:8" ht="12.75">
      <c r="B127" s="36"/>
      <c r="C127" s="36"/>
      <c r="D127" s="36"/>
      <c r="E127" s="36"/>
      <c r="F127" s="36"/>
      <c r="G127" s="36"/>
      <c r="H127" s="36"/>
    </row>
    <row r="128" spans="2:8" ht="12.75">
      <c r="B128" s="36"/>
      <c r="C128" s="36"/>
      <c r="D128" s="36"/>
      <c r="E128" s="36"/>
      <c r="F128" s="36"/>
      <c r="G128" s="36"/>
      <c r="H128" s="36"/>
    </row>
    <row r="129" spans="2:8" ht="12.75">
      <c r="B129" s="36"/>
      <c r="C129" s="36"/>
      <c r="D129" s="36"/>
      <c r="E129" s="36"/>
      <c r="F129" s="36"/>
      <c r="G129" s="36"/>
      <c r="H129" s="36"/>
    </row>
    <row r="130" spans="2:8" ht="12.75">
      <c r="B130" s="36"/>
      <c r="C130" s="36"/>
      <c r="D130" s="36"/>
      <c r="E130" s="36"/>
      <c r="F130" s="36"/>
      <c r="G130" s="36"/>
      <c r="H130" s="36"/>
    </row>
    <row r="131" spans="2:8" ht="12.75">
      <c r="B131" s="36"/>
      <c r="C131" s="36"/>
      <c r="D131" s="36"/>
      <c r="E131" s="36"/>
      <c r="F131" s="36"/>
      <c r="G131" s="36"/>
      <c r="H131" s="36"/>
    </row>
    <row r="132" spans="2:8" ht="12.75">
      <c r="B132" s="36"/>
      <c r="C132" s="36"/>
      <c r="D132" s="36"/>
      <c r="E132" s="36"/>
      <c r="F132" s="36"/>
      <c r="G132" s="36"/>
      <c r="H132" s="36"/>
    </row>
    <row r="133" spans="2:8" ht="12.75">
      <c r="B133" s="36"/>
      <c r="C133" s="36"/>
      <c r="D133" s="36"/>
      <c r="E133" s="36"/>
      <c r="F133" s="36"/>
      <c r="G133" s="36"/>
      <c r="H133" s="36"/>
    </row>
    <row r="134" spans="2:8" ht="12.75">
      <c r="B134" s="36"/>
      <c r="C134" s="36"/>
      <c r="D134" s="36"/>
      <c r="E134" s="36"/>
      <c r="F134" s="36"/>
      <c r="G134" s="36"/>
      <c r="H134" s="36"/>
    </row>
    <row r="135" spans="2:8" ht="12.75">
      <c r="B135" s="36"/>
      <c r="C135" s="36"/>
      <c r="D135" s="36"/>
      <c r="E135" s="36"/>
      <c r="F135" s="36"/>
      <c r="G135" s="36"/>
      <c r="H135" s="36"/>
    </row>
    <row r="136" spans="2:8" ht="12.75">
      <c r="B136" s="36"/>
      <c r="C136" s="36"/>
      <c r="D136" s="36"/>
      <c r="E136" s="36"/>
      <c r="F136" s="36"/>
      <c r="G136" s="36"/>
      <c r="H136" s="36"/>
    </row>
    <row r="137" spans="2:8" ht="12.75">
      <c r="B137" s="36"/>
      <c r="C137" s="36"/>
      <c r="D137" s="36"/>
      <c r="E137" s="36"/>
      <c r="F137" s="36"/>
      <c r="G137" s="36"/>
      <c r="H137" s="36"/>
    </row>
    <row r="138" spans="2:8" ht="12.75">
      <c r="B138" s="36"/>
      <c r="C138" s="36"/>
      <c r="D138" s="36"/>
      <c r="E138" s="36"/>
      <c r="F138" s="36"/>
      <c r="G138" s="36"/>
      <c r="H138" s="36"/>
    </row>
    <row r="139" spans="2:8" ht="12.75">
      <c r="B139" s="36"/>
      <c r="C139" s="36"/>
      <c r="D139" s="36"/>
      <c r="E139" s="36"/>
      <c r="F139" s="36"/>
      <c r="G139" s="36"/>
      <c r="H139" s="36"/>
    </row>
    <row r="140" spans="2:8" ht="12.75">
      <c r="B140" s="36"/>
      <c r="C140" s="36"/>
      <c r="D140" s="36"/>
      <c r="E140" s="36"/>
      <c r="F140" s="36"/>
      <c r="G140" s="36"/>
      <c r="H140" s="36"/>
    </row>
    <row r="141" spans="2:8" ht="12.75">
      <c r="B141" s="36"/>
      <c r="C141" s="36"/>
      <c r="D141" s="36"/>
      <c r="E141" s="36"/>
      <c r="F141" s="36"/>
      <c r="G141" s="36"/>
      <c r="H141" s="36"/>
    </row>
    <row r="142" spans="2:8" ht="12.75">
      <c r="B142" s="36"/>
      <c r="C142" s="36"/>
      <c r="D142" s="36"/>
      <c r="E142" s="36"/>
      <c r="F142" s="36"/>
      <c r="G142" s="36"/>
      <c r="H142" s="36"/>
    </row>
    <row r="143" spans="2:8" ht="12.75">
      <c r="B143" s="36"/>
      <c r="C143" s="36"/>
      <c r="D143" s="36"/>
      <c r="E143" s="36"/>
      <c r="F143" s="36"/>
      <c r="G143" s="36"/>
      <c r="H143" s="36"/>
    </row>
    <row r="144" spans="2:8" ht="12.75">
      <c r="B144" s="36"/>
      <c r="C144" s="36"/>
      <c r="D144" s="36"/>
      <c r="E144" s="36"/>
      <c r="F144" s="36"/>
      <c r="G144" s="36"/>
      <c r="H144" s="36"/>
    </row>
    <row r="145" spans="2:8" ht="12.75">
      <c r="B145" s="36"/>
      <c r="C145" s="36"/>
      <c r="D145" s="36"/>
      <c r="E145" s="36"/>
      <c r="F145" s="36"/>
      <c r="G145" s="36"/>
      <c r="H145" s="36"/>
    </row>
    <row r="146" spans="2:8" ht="12.75">
      <c r="B146" s="36"/>
      <c r="C146" s="36"/>
      <c r="D146" s="36"/>
      <c r="E146" s="36"/>
      <c r="F146" s="36"/>
      <c r="G146" s="36"/>
      <c r="H146" s="36"/>
    </row>
    <row r="147" spans="2:8" ht="12.75">
      <c r="B147" s="36"/>
      <c r="C147" s="36"/>
      <c r="D147" s="36"/>
      <c r="E147" s="36"/>
      <c r="F147" s="36"/>
      <c r="G147" s="36"/>
      <c r="H147" s="36"/>
    </row>
    <row r="148" spans="2:8" ht="12.75">
      <c r="B148" s="36"/>
      <c r="C148" s="36"/>
      <c r="D148" s="36"/>
      <c r="E148" s="36"/>
      <c r="F148" s="36"/>
      <c r="G148" s="36"/>
      <c r="H148" s="36"/>
    </row>
    <row r="149" spans="2:8" ht="12.75">
      <c r="B149" s="36"/>
      <c r="C149" s="36"/>
      <c r="D149" s="36"/>
      <c r="E149" s="36"/>
      <c r="F149" s="36"/>
      <c r="G149" s="36"/>
      <c r="H149" s="36"/>
    </row>
    <row r="150" spans="2:8" ht="12.75">
      <c r="B150" s="36"/>
      <c r="C150" s="36"/>
      <c r="D150" s="36"/>
      <c r="E150" s="36"/>
      <c r="F150" s="36"/>
      <c r="G150" s="36"/>
      <c r="H150" s="36"/>
    </row>
    <row r="151" spans="2:8" ht="12.75">
      <c r="B151" s="36"/>
      <c r="C151" s="36"/>
      <c r="D151" s="36"/>
      <c r="E151" s="36"/>
      <c r="F151" s="36"/>
      <c r="G151" s="36"/>
      <c r="H151" s="36"/>
    </row>
    <row r="152" spans="2:8" ht="12.75">
      <c r="B152" s="36"/>
      <c r="C152" s="36"/>
      <c r="D152" s="36"/>
      <c r="E152" s="36"/>
      <c r="F152" s="36"/>
      <c r="G152" s="36"/>
      <c r="H152" s="36"/>
    </row>
    <row r="153" spans="2:8" ht="12.75">
      <c r="B153" s="36"/>
      <c r="C153" s="36"/>
      <c r="D153" s="36"/>
      <c r="E153" s="36"/>
      <c r="F153" s="36"/>
      <c r="G153" s="36"/>
      <c r="H153" s="36"/>
    </row>
  </sheetData>
  <mergeCells count="2">
    <mergeCell ref="A2:H2"/>
    <mergeCell ref="E4:H4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3"/>
  <sheetViews>
    <sheetView workbookViewId="0" topLeftCell="A72">
      <selection activeCell="A78" sqref="A78"/>
    </sheetView>
  </sheetViews>
  <sheetFormatPr defaultColWidth="9.140625" defaultRowHeight="12.75"/>
  <cols>
    <col min="1" max="1" width="55.140625" style="190" customWidth="1"/>
    <col min="2" max="2" width="9.140625" style="35" hidden="1" customWidth="1"/>
    <col min="3" max="3" width="15.28125" style="191" customWidth="1"/>
    <col min="4" max="4" width="14.8515625" style="191" customWidth="1"/>
    <col min="5" max="5" width="10.00390625" style="35" customWidth="1"/>
    <col min="6" max="16384" width="9.140625" style="35" customWidth="1"/>
  </cols>
  <sheetData>
    <row r="1" spans="1:5" ht="24.75" customHeight="1">
      <c r="A1" s="663" t="s">
        <v>117</v>
      </c>
      <c r="B1" s="663"/>
      <c r="C1" s="663"/>
      <c r="D1" s="663"/>
      <c r="E1" s="84"/>
    </row>
    <row r="2" spans="1:5" ht="16.5" customHeight="1">
      <c r="A2" s="663" t="s">
        <v>108</v>
      </c>
      <c r="B2" s="663"/>
      <c r="C2" s="663"/>
      <c r="D2" s="663"/>
      <c r="E2" s="84"/>
    </row>
    <row r="3" spans="1:5" ht="12" customHeight="1">
      <c r="A3" s="166"/>
      <c r="B3" s="167"/>
      <c r="C3" s="168"/>
      <c r="D3" s="169" t="s">
        <v>1437</v>
      </c>
      <c r="E3" s="84"/>
    </row>
    <row r="4" spans="1:5" ht="29.25" customHeight="1">
      <c r="A4" s="170" t="s">
        <v>1852</v>
      </c>
      <c r="B4" s="171" t="s">
        <v>44</v>
      </c>
      <c r="C4" s="172" t="s">
        <v>1080</v>
      </c>
      <c r="D4" s="172" t="s">
        <v>45</v>
      </c>
      <c r="E4" s="84"/>
    </row>
    <row r="5" spans="1:5" ht="12.75">
      <c r="A5" s="192"/>
      <c r="B5" s="193"/>
      <c r="C5" s="194"/>
      <c r="D5" s="194"/>
      <c r="E5" s="84"/>
    </row>
    <row r="6" spans="1:5" ht="27.75" customHeight="1">
      <c r="A6" s="173" t="s">
        <v>46</v>
      </c>
      <c r="B6" s="174"/>
      <c r="C6" s="175"/>
      <c r="D6" s="175"/>
      <c r="E6" s="84"/>
    </row>
    <row r="7" spans="1:5" s="123" customFormat="1" ht="24.75" customHeight="1">
      <c r="A7" s="176" t="s">
        <v>47</v>
      </c>
      <c r="B7" s="177"/>
      <c r="C7" s="178">
        <f>C8+C9+C26</f>
        <v>1049051465</v>
      </c>
      <c r="D7" s="178">
        <f>D8+D9+D26</f>
        <v>1214619957</v>
      </c>
      <c r="E7" s="151"/>
    </row>
    <row r="8" spans="1:5" ht="16.5" customHeight="1">
      <c r="A8" s="179" t="s">
        <v>48</v>
      </c>
      <c r="B8" s="167">
        <v>10</v>
      </c>
      <c r="C8" s="180">
        <v>1062511</v>
      </c>
      <c r="D8" s="180">
        <v>4426640</v>
      </c>
      <c r="E8" s="84"/>
    </row>
    <row r="9" spans="1:5" ht="15" customHeight="1">
      <c r="A9" s="166" t="s">
        <v>49</v>
      </c>
      <c r="B9" s="167">
        <v>20</v>
      </c>
      <c r="C9" s="180">
        <v>1029820637</v>
      </c>
      <c r="D9" s="180">
        <v>1137827402</v>
      </c>
      <c r="E9" s="84"/>
    </row>
    <row r="10" spans="1:5" ht="15.75" customHeight="1">
      <c r="A10" s="166" t="s">
        <v>50</v>
      </c>
      <c r="B10" s="167"/>
      <c r="C10" s="180"/>
      <c r="D10" s="180"/>
      <c r="E10" s="84"/>
    </row>
    <row r="11" spans="1:5" s="118" customFormat="1" ht="14.25" customHeight="1">
      <c r="A11" s="181" t="s">
        <v>51</v>
      </c>
      <c r="B11" s="182"/>
      <c r="C11" s="183">
        <v>626077832</v>
      </c>
      <c r="D11" s="183">
        <v>645971625</v>
      </c>
      <c r="E11" s="120"/>
    </row>
    <row r="12" spans="1:5" s="159" customFormat="1" ht="14.25" customHeight="1">
      <c r="A12" s="370" t="s">
        <v>52</v>
      </c>
      <c r="B12" s="371"/>
      <c r="C12" s="372">
        <v>124322204</v>
      </c>
      <c r="D12" s="372">
        <v>143727350</v>
      </c>
      <c r="E12" s="160"/>
    </row>
    <row r="13" spans="1:5" s="159" customFormat="1" ht="13.5" customHeight="1">
      <c r="A13" s="370" t="s">
        <v>112</v>
      </c>
      <c r="B13" s="371"/>
      <c r="C13" s="372">
        <v>198787298</v>
      </c>
      <c r="D13" s="372">
        <v>215647269</v>
      </c>
      <c r="E13" s="160"/>
    </row>
    <row r="14" spans="1:5" s="118" customFormat="1" ht="12.75">
      <c r="A14" s="181" t="s">
        <v>53</v>
      </c>
      <c r="B14" s="182"/>
      <c r="C14" s="183">
        <v>5359422</v>
      </c>
      <c r="D14" s="183">
        <v>8600761</v>
      </c>
      <c r="E14" s="120"/>
    </row>
    <row r="15" spans="1:5" s="118" customFormat="1" ht="17.25" customHeight="1">
      <c r="A15" s="181" t="s">
        <v>54</v>
      </c>
      <c r="B15" s="182"/>
      <c r="C15" s="183">
        <v>9221379</v>
      </c>
      <c r="D15" s="183">
        <v>13617063</v>
      </c>
      <c r="E15" s="120"/>
    </row>
    <row r="16" spans="1:5" s="118" customFormat="1" ht="15.75" customHeight="1">
      <c r="A16" s="181" t="s">
        <v>55</v>
      </c>
      <c r="B16" s="182"/>
      <c r="C16" s="183">
        <v>96959373</v>
      </c>
      <c r="D16" s="183">
        <v>110606377</v>
      </c>
      <c r="E16" s="120"/>
    </row>
    <row r="17" spans="1:5" s="118" customFormat="1" ht="15" customHeight="1">
      <c r="A17" s="181" t="s">
        <v>56</v>
      </c>
      <c r="B17" s="182"/>
      <c r="C17" s="183">
        <v>35948859</v>
      </c>
      <c r="D17" s="183">
        <v>48632797</v>
      </c>
      <c r="E17" s="120"/>
    </row>
    <row r="18" spans="1:5" s="118" customFormat="1" ht="14.25" customHeight="1">
      <c r="A18" s="181" t="s">
        <v>57</v>
      </c>
      <c r="B18" s="182"/>
      <c r="C18" s="183">
        <v>17617369</v>
      </c>
      <c r="D18" s="183">
        <v>21558330</v>
      </c>
      <c r="E18" s="120"/>
    </row>
    <row r="19" spans="1:5" s="118" customFormat="1" ht="15.75" customHeight="1">
      <c r="A19" s="181" t="s">
        <v>58</v>
      </c>
      <c r="B19" s="182"/>
      <c r="C19" s="183">
        <v>12833403</v>
      </c>
      <c r="D19" s="183">
        <v>15748072</v>
      </c>
      <c r="E19" s="120"/>
    </row>
    <row r="20" spans="1:5" s="118" customFormat="1" ht="14.25" customHeight="1">
      <c r="A20" s="181" t="s">
        <v>59</v>
      </c>
      <c r="B20" s="182"/>
      <c r="C20" s="183">
        <v>10325699</v>
      </c>
      <c r="D20" s="183">
        <v>11312170</v>
      </c>
      <c r="E20" s="120"/>
    </row>
    <row r="21" spans="1:5" s="118" customFormat="1" ht="27.75" customHeight="1">
      <c r="A21" s="181" t="s">
        <v>1071</v>
      </c>
      <c r="B21" s="182"/>
      <c r="C21" s="183">
        <v>22250682</v>
      </c>
      <c r="D21" s="183">
        <v>39349669</v>
      </c>
      <c r="E21" s="120"/>
    </row>
    <row r="22" spans="1:5" s="118" customFormat="1" ht="15.75" customHeight="1">
      <c r="A22" s="181" t="s">
        <v>60</v>
      </c>
      <c r="B22" s="182"/>
      <c r="C22" s="183">
        <v>23954291</v>
      </c>
      <c r="D22" s="183">
        <v>26624090</v>
      </c>
      <c r="E22" s="120"/>
    </row>
    <row r="23" spans="1:5" s="118" customFormat="1" ht="15" customHeight="1">
      <c r="A23" s="181" t="s">
        <v>61</v>
      </c>
      <c r="B23" s="182"/>
      <c r="C23" s="183">
        <v>10429991</v>
      </c>
      <c r="D23" s="183">
        <v>11604665</v>
      </c>
      <c r="E23" s="120"/>
    </row>
    <row r="24" spans="1:5" s="118" customFormat="1" ht="15" customHeight="1">
      <c r="A24" s="181" t="s">
        <v>62</v>
      </c>
      <c r="B24" s="182"/>
      <c r="C24" s="183">
        <v>7109719</v>
      </c>
      <c r="D24" s="183">
        <v>11515256</v>
      </c>
      <c r="E24" s="120"/>
    </row>
    <row r="25" spans="1:5" s="118" customFormat="1" ht="15" customHeight="1">
      <c r="A25" s="181" t="s">
        <v>102</v>
      </c>
      <c r="B25" s="182"/>
      <c r="C25" s="183">
        <v>47054680</v>
      </c>
      <c r="D25" s="183">
        <v>42960742</v>
      </c>
      <c r="E25" s="120"/>
    </row>
    <row r="26" spans="1:5" s="118" customFormat="1" ht="15" customHeight="1">
      <c r="A26" s="179" t="s">
        <v>63</v>
      </c>
      <c r="B26" s="182">
        <v>30</v>
      </c>
      <c r="C26" s="180">
        <v>18168317</v>
      </c>
      <c r="D26" s="180">
        <v>72365915</v>
      </c>
      <c r="E26" s="120"/>
    </row>
    <row r="27" spans="1:5" ht="18.75" customHeight="1">
      <c r="A27" s="200" t="s">
        <v>113</v>
      </c>
      <c r="B27" s="167"/>
      <c r="C27" s="178">
        <f>C28+C42+C43+C44+C45+C46</f>
        <v>151175115</v>
      </c>
      <c r="D27" s="178">
        <f>D28+D42+D43+D44+D45+D46</f>
        <v>156235788</v>
      </c>
      <c r="E27" s="84"/>
    </row>
    <row r="28" spans="1:5" ht="12.75">
      <c r="A28" s="166" t="s">
        <v>65</v>
      </c>
      <c r="B28" s="167">
        <v>50</v>
      </c>
      <c r="C28" s="180">
        <f>SUM(C29:C41)-C29</f>
        <v>15924438</v>
      </c>
      <c r="D28" s="180">
        <f>SUM(D29:D41)-D29</f>
        <v>20109879</v>
      </c>
      <c r="E28" s="84"/>
    </row>
    <row r="29" spans="1:5" s="118" customFormat="1" ht="12.75">
      <c r="A29" s="181" t="s">
        <v>66</v>
      </c>
      <c r="B29" s="182">
        <v>60</v>
      </c>
      <c r="C29" s="183">
        <v>12951543</v>
      </c>
      <c r="D29" s="183">
        <v>13773947</v>
      </c>
      <c r="E29" s="120"/>
    </row>
    <row r="30" spans="1:5" s="118" customFormat="1" ht="12.75">
      <c r="A30" s="195" t="s">
        <v>1072</v>
      </c>
      <c r="B30" s="182"/>
      <c r="C30" s="197">
        <v>809475</v>
      </c>
      <c r="D30" s="197">
        <v>803751</v>
      </c>
      <c r="E30" s="120"/>
    </row>
    <row r="31" spans="1:5" s="118" customFormat="1" ht="12.75">
      <c r="A31" s="195" t="s">
        <v>118</v>
      </c>
      <c r="B31" s="182"/>
      <c r="C31" s="197">
        <v>1027773</v>
      </c>
      <c r="D31" s="197">
        <v>884268</v>
      </c>
      <c r="E31" s="120"/>
    </row>
    <row r="32" spans="1:5" s="118" customFormat="1" ht="12.75">
      <c r="A32" s="195" t="s">
        <v>1073</v>
      </c>
      <c r="B32" s="182"/>
      <c r="C32" s="197">
        <v>3042532</v>
      </c>
      <c r="D32" s="197">
        <v>2059006</v>
      </c>
      <c r="E32" s="120"/>
    </row>
    <row r="33" spans="1:5" s="118" customFormat="1" ht="12.75">
      <c r="A33" s="195" t="s">
        <v>1074</v>
      </c>
      <c r="B33" s="182"/>
      <c r="C33" s="197">
        <v>3351450</v>
      </c>
      <c r="D33" s="197">
        <v>3764486</v>
      </c>
      <c r="E33" s="120"/>
    </row>
    <row r="34" spans="1:5" s="118" customFormat="1" ht="12.75">
      <c r="A34" s="195" t="s">
        <v>119</v>
      </c>
      <c r="B34" s="182"/>
      <c r="C34" s="197">
        <v>2135112</v>
      </c>
      <c r="D34" s="197">
        <v>2339468</v>
      </c>
      <c r="E34" s="120"/>
    </row>
    <row r="35" spans="1:5" s="118" customFormat="1" ht="12.75">
      <c r="A35" s="195" t="s">
        <v>120</v>
      </c>
      <c r="B35" s="182"/>
      <c r="C35" s="197">
        <v>1503770</v>
      </c>
      <c r="D35" s="197">
        <v>1951792</v>
      </c>
      <c r="E35" s="120"/>
    </row>
    <row r="36" spans="1:5" s="118" customFormat="1" ht="12.75">
      <c r="A36" s="195" t="s">
        <v>121</v>
      </c>
      <c r="B36" s="182"/>
      <c r="C36" s="197">
        <v>272134</v>
      </c>
      <c r="D36" s="197">
        <v>254416</v>
      </c>
      <c r="E36" s="120"/>
    </row>
    <row r="37" spans="1:5" s="118" customFormat="1" ht="12.75">
      <c r="A37" s="195" t="s">
        <v>122</v>
      </c>
      <c r="B37" s="182"/>
      <c r="C37" s="197">
        <v>809297</v>
      </c>
      <c r="D37" s="197">
        <v>1716760</v>
      </c>
      <c r="E37" s="120"/>
    </row>
    <row r="38" spans="1:5" s="118" customFormat="1" ht="14.25" customHeight="1">
      <c r="A38" s="181" t="s">
        <v>67</v>
      </c>
      <c r="B38" s="182">
        <v>70</v>
      </c>
      <c r="C38" s="183">
        <v>142300</v>
      </c>
      <c r="D38" s="183">
        <v>100844</v>
      </c>
      <c r="E38" s="120"/>
    </row>
    <row r="39" spans="1:5" s="118" customFormat="1" ht="14.25" customHeight="1">
      <c r="A39" s="181" t="s">
        <v>1703</v>
      </c>
      <c r="B39" s="182">
        <v>80</v>
      </c>
      <c r="C39" s="183">
        <v>267492</v>
      </c>
      <c r="D39" s="183">
        <v>880139</v>
      </c>
      <c r="E39" s="120"/>
    </row>
    <row r="40" spans="1:5" s="118" customFormat="1" ht="13.5" customHeight="1">
      <c r="A40" s="181" t="s">
        <v>68</v>
      </c>
      <c r="B40" s="182">
        <v>90</v>
      </c>
      <c r="C40" s="183">
        <v>2540086</v>
      </c>
      <c r="D40" s="183">
        <v>5354949</v>
      </c>
      <c r="E40" s="120"/>
    </row>
    <row r="41" spans="1:5" s="118" customFormat="1" ht="15" customHeight="1">
      <c r="A41" s="181" t="s">
        <v>124</v>
      </c>
      <c r="B41" s="182"/>
      <c r="C41" s="183">
        <v>23017</v>
      </c>
      <c r="D41" s="183">
        <v>0</v>
      </c>
      <c r="E41" s="120"/>
    </row>
    <row r="42" spans="1:5" ht="15" customHeight="1">
      <c r="A42" s="166" t="s">
        <v>69</v>
      </c>
      <c r="B42" s="167">
        <v>110</v>
      </c>
      <c r="C42" s="180">
        <v>432168</v>
      </c>
      <c r="D42" s="180">
        <v>469796</v>
      </c>
      <c r="E42" s="84"/>
    </row>
    <row r="43" spans="1:5" ht="15" customHeight="1">
      <c r="A43" s="166" t="s">
        <v>1075</v>
      </c>
      <c r="B43" s="167">
        <v>120</v>
      </c>
      <c r="C43" s="180">
        <v>41233219</v>
      </c>
      <c r="D43" s="180">
        <v>45269304</v>
      </c>
      <c r="E43" s="84"/>
    </row>
    <row r="44" spans="1:5" ht="15.75" customHeight="1">
      <c r="A44" s="166" t="s">
        <v>1727</v>
      </c>
      <c r="B44" s="167">
        <v>130</v>
      </c>
      <c r="C44" s="180">
        <v>2751129</v>
      </c>
      <c r="D44" s="180">
        <v>8799963</v>
      </c>
      <c r="E44" s="84"/>
    </row>
    <row r="45" spans="1:5" ht="16.5" customHeight="1">
      <c r="A45" s="166" t="s">
        <v>70</v>
      </c>
      <c r="B45" s="167">
        <v>140</v>
      </c>
      <c r="C45" s="180">
        <v>40015</v>
      </c>
      <c r="D45" s="180">
        <v>85598</v>
      </c>
      <c r="E45" s="84"/>
    </row>
    <row r="46" spans="1:5" ht="16.5" customHeight="1">
      <c r="A46" s="166" t="s">
        <v>86</v>
      </c>
      <c r="B46" s="167">
        <v>150</v>
      </c>
      <c r="C46" s="180">
        <f>SUM(C47:C55)-C48</f>
        <v>90794146</v>
      </c>
      <c r="D46" s="180">
        <f>SUM(D47:D55)-D48</f>
        <v>81501248</v>
      </c>
      <c r="E46" s="84"/>
    </row>
    <row r="47" spans="1:5" s="118" customFormat="1" ht="15" customHeight="1">
      <c r="A47" s="181" t="s">
        <v>87</v>
      </c>
      <c r="B47" s="182">
        <v>160</v>
      </c>
      <c r="C47" s="183">
        <v>410653</v>
      </c>
      <c r="D47" s="183">
        <v>399873</v>
      </c>
      <c r="E47" s="120"/>
    </row>
    <row r="48" spans="1:5" s="118" customFormat="1" ht="15" customHeight="1">
      <c r="A48" s="181" t="s">
        <v>104</v>
      </c>
      <c r="B48" s="182"/>
      <c r="C48" s="183">
        <f>SUM(C49:C53)</f>
        <v>81996742</v>
      </c>
      <c r="D48" s="183">
        <f>SUM(D49:D53)</f>
        <v>78562230</v>
      </c>
      <c r="E48" s="120"/>
    </row>
    <row r="49" spans="1:5" s="118" customFormat="1" ht="12.75">
      <c r="A49" s="195" t="s">
        <v>105</v>
      </c>
      <c r="B49" s="182">
        <v>170</v>
      </c>
      <c r="C49" s="197">
        <v>18384049</v>
      </c>
      <c r="D49" s="197">
        <v>19889218</v>
      </c>
      <c r="E49" s="120"/>
    </row>
    <row r="50" spans="1:5" s="118" customFormat="1" ht="12.75">
      <c r="A50" s="195" t="s">
        <v>1076</v>
      </c>
      <c r="B50" s="182">
        <v>180</v>
      </c>
      <c r="C50" s="197">
        <v>53481642</v>
      </c>
      <c r="D50" s="197">
        <v>52363373</v>
      </c>
      <c r="E50" s="120"/>
    </row>
    <row r="51" spans="1:5" s="118" customFormat="1" ht="12.75">
      <c r="A51" s="195" t="s">
        <v>1701</v>
      </c>
      <c r="B51" s="182">
        <v>190</v>
      </c>
      <c r="C51" s="197">
        <v>7960627</v>
      </c>
      <c r="D51" s="197">
        <v>2229429</v>
      </c>
      <c r="E51" s="120"/>
    </row>
    <row r="52" spans="1:5" s="118" customFormat="1" ht="12.75">
      <c r="A52" s="195" t="s">
        <v>1702</v>
      </c>
      <c r="B52" s="182">
        <v>200</v>
      </c>
      <c r="C52" s="197">
        <v>1856688</v>
      </c>
      <c r="D52" s="197">
        <v>2823708</v>
      </c>
      <c r="E52" s="120"/>
    </row>
    <row r="53" spans="1:5" s="118" customFormat="1" ht="12.75">
      <c r="A53" s="195" t="s">
        <v>106</v>
      </c>
      <c r="B53" s="182">
        <v>210</v>
      </c>
      <c r="C53" s="197">
        <v>313736</v>
      </c>
      <c r="D53" s="197">
        <v>1256502</v>
      </c>
      <c r="E53" s="120"/>
    </row>
    <row r="54" spans="1:5" s="118" customFormat="1" ht="12.75">
      <c r="A54" s="181" t="s">
        <v>1077</v>
      </c>
      <c r="B54" s="182">
        <v>220</v>
      </c>
      <c r="C54" s="183">
        <v>11867</v>
      </c>
      <c r="D54" s="183">
        <v>134151</v>
      </c>
      <c r="E54" s="120"/>
    </row>
    <row r="55" spans="1:5" s="118" customFormat="1" ht="16.5" customHeight="1">
      <c r="A55" s="181" t="s">
        <v>1078</v>
      </c>
      <c r="B55" s="182">
        <v>230</v>
      </c>
      <c r="C55" s="183">
        <v>8374884</v>
      </c>
      <c r="D55" s="183">
        <v>2404994</v>
      </c>
      <c r="E55" s="120"/>
    </row>
    <row r="56" spans="1:5" ht="17.25" customHeight="1">
      <c r="A56" s="186" t="s">
        <v>88</v>
      </c>
      <c r="B56" s="177">
        <v>330</v>
      </c>
      <c r="C56" s="187">
        <f>SUM(C7+C28+C42+C43+C44+C45+C46)</f>
        <v>1200226580</v>
      </c>
      <c r="D56" s="187">
        <f>SUM(D7+D28+D42+D43+D44+D45+D46)</f>
        <v>1370855745</v>
      </c>
      <c r="E56" s="84"/>
    </row>
    <row r="57" spans="1:5" ht="12.75">
      <c r="A57" s="188"/>
      <c r="B57" s="167">
        <v>2</v>
      </c>
      <c r="C57" s="189"/>
      <c r="D57" s="189"/>
      <c r="E57" s="84"/>
    </row>
    <row r="58" spans="1:5" ht="30" customHeight="1">
      <c r="A58" s="173" t="s">
        <v>89</v>
      </c>
      <c r="B58" s="167"/>
      <c r="C58" s="189"/>
      <c r="D58" s="189"/>
      <c r="E58" s="84"/>
    </row>
    <row r="59" spans="1:5" ht="19.5" customHeight="1">
      <c r="A59" s="188" t="s">
        <v>90</v>
      </c>
      <c r="B59" s="167"/>
      <c r="C59" s="189"/>
      <c r="D59" s="189"/>
      <c r="E59" s="84"/>
    </row>
    <row r="60" spans="1:5" ht="24" customHeight="1">
      <c r="A60" s="166" t="s">
        <v>91</v>
      </c>
      <c r="B60" s="167">
        <v>340</v>
      </c>
      <c r="C60" s="180">
        <v>1004265342</v>
      </c>
      <c r="D60" s="180">
        <v>1140226646</v>
      </c>
      <c r="E60" s="84"/>
    </row>
    <row r="61" spans="1:5" ht="15.75" customHeight="1">
      <c r="A61" s="166" t="s">
        <v>92</v>
      </c>
      <c r="B61" s="167">
        <v>350</v>
      </c>
      <c r="C61" s="180">
        <v>6934618</v>
      </c>
      <c r="D61" s="180">
        <v>34573801</v>
      </c>
      <c r="E61" s="84"/>
    </row>
    <row r="62" spans="1:5" ht="15" customHeight="1">
      <c r="A62" s="166" t="s">
        <v>93</v>
      </c>
      <c r="B62" s="167">
        <v>360</v>
      </c>
      <c r="C62" s="180">
        <v>102533809</v>
      </c>
      <c r="D62" s="180">
        <v>83003338</v>
      </c>
      <c r="E62" s="84"/>
    </row>
    <row r="63" spans="1:5" ht="24.75" customHeight="1">
      <c r="A63" s="185" t="s">
        <v>94</v>
      </c>
      <c r="B63" s="182"/>
      <c r="C63" s="183"/>
      <c r="D63" s="183"/>
      <c r="E63" s="84"/>
    </row>
    <row r="64" spans="1:5" ht="30.75" customHeight="1">
      <c r="A64" s="166" t="s">
        <v>107</v>
      </c>
      <c r="B64" s="167">
        <v>380</v>
      </c>
      <c r="C64" s="180">
        <v>41853511</v>
      </c>
      <c r="D64" s="180">
        <v>62192190</v>
      </c>
      <c r="E64" s="84"/>
    </row>
    <row r="65" spans="1:5" ht="14.25" customHeight="1">
      <c r="A65" s="166" t="s">
        <v>95</v>
      </c>
      <c r="B65" s="167">
        <v>390</v>
      </c>
      <c r="C65" s="180">
        <v>353898</v>
      </c>
      <c r="D65" s="180">
        <v>1019474</v>
      </c>
      <c r="E65" s="84"/>
    </row>
    <row r="66" spans="1:5" ht="17.25" customHeight="1">
      <c r="A66" s="166" t="s">
        <v>96</v>
      </c>
      <c r="B66" s="167">
        <v>400</v>
      </c>
      <c r="C66" s="180">
        <v>17027742</v>
      </c>
      <c r="D66" s="180">
        <v>14588751</v>
      </c>
      <c r="E66" s="84"/>
    </row>
    <row r="67" spans="1:5" ht="16.5" customHeight="1">
      <c r="A67" s="166" t="s">
        <v>97</v>
      </c>
      <c r="B67" s="167">
        <v>410</v>
      </c>
      <c r="C67" s="180"/>
      <c r="D67" s="180"/>
      <c r="E67" s="84"/>
    </row>
    <row r="68" spans="1:5" ht="17.25" customHeight="1">
      <c r="A68" s="166" t="s">
        <v>98</v>
      </c>
      <c r="B68" s="167">
        <v>420</v>
      </c>
      <c r="C68" s="180">
        <v>5516714</v>
      </c>
      <c r="D68" s="180">
        <v>12339209</v>
      </c>
      <c r="E68" s="84"/>
    </row>
    <row r="69" spans="1:5" ht="17.25" customHeight="1">
      <c r="A69" s="166" t="s">
        <v>99</v>
      </c>
      <c r="B69" s="167">
        <v>430</v>
      </c>
      <c r="C69" s="180">
        <v>8533599</v>
      </c>
      <c r="D69" s="180">
        <v>10016859</v>
      </c>
      <c r="E69" s="84"/>
    </row>
    <row r="70" spans="1:5" ht="17.25" customHeight="1">
      <c r="A70" s="166" t="s">
        <v>100</v>
      </c>
      <c r="B70" s="167">
        <v>440</v>
      </c>
      <c r="C70" s="180">
        <v>13207347</v>
      </c>
      <c r="D70" s="180">
        <v>12895477</v>
      </c>
      <c r="E70" s="84"/>
    </row>
    <row r="71" spans="1:5" ht="33.75" customHeight="1">
      <c r="A71" s="186" t="s">
        <v>101</v>
      </c>
      <c r="B71" s="177">
        <v>540</v>
      </c>
      <c r="C71" s="187">
        <f>SUM(C60:C62,C64:C70)</f>
        <v>1200226580</v>
      </c>
      <c r="D71" s="187">
        <f>SUM(D60:D62,D64:D70)</f>
        <v>1370855745</v>
      </c>
      <c r="E71" s="84"/>
    </row>
    <row r="72" spans="1:5" ht="12.75">
      <c r="A72" s="166"/>
      <c r="B72" s="167"/>
      <c r="C72" s="180"/>
      <c r="D72" s="180"/>
      <c r="E72" s="84"/>
    </row>
    <row r="73" spans="1:5" ht="12.75">
      <c r="A73" s="166"/>
      <c r="B73" s="167"/>
      <c r="C73" s="180"/>
      <c r="D73" s="180"/>
      <c r="E73" s="84"/>
    </row>
    <row r="74" spans="1:5" ht="12.75">
      <c r="A74" s="373" t="s">
        <v>1085</v>
      </c>
      <c r="B74" s="167"/>
      <c r="C74" s="180"/>
      <c r="D74" s="180"/>
      <c r="E74" s="8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31.5" customHeight="1">
      <c r="A78"/>
      <c r="B78"/>
      <c r="C78"/>
      <c r="D78"/>
    </row>
    <row r="79" spans="1:4" ht="18.75" customHeight="1">
      <c r="A79"/>
      <c r="B79"/>
      <c r="C79"/>
      <c r="D79"/>
    </row>
    <row r="80" spans="1:4" ht="16.5" customHeight="1">
      <c r="A80"/>
      <c r="B80"/>
      <c r="C80"/>
      <c r="D80"/>
    </row>
    <row r="81" spans="1:4" ht="12.75">
      <c r="A81"/>
      <c r="B81"/>
      <c r="C81"/>
      <c r="D81"/>
    </row>
    <row r="82" spans="1:4" ht="12.75">
      <c r="A82" t="s">
        <v>116</v>
      </c>
      <c r="B82"/>
      <c r="C82"/>
      <c r="D82" t="s">
        <v>41</v>
      </c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20.25" customHeight="1">
      <c r="A86" t="s">
        <v>110</v>
      </c>
      <c r="B86"/>
      <c r="C86"/>
      <c r="D86" t="s">
        <v>43</v>
      </c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s="118" customFormat="1" ht="12.75">
      <c r="A90"/>
      <c r="B90"/>
      <c r="C90"/>
      <c r="D90"/>
    </row>
    <row r="91" spans="1:4" s="118" customFormat="1" ht="12.75">
      <c r="A91"/>
      <c r="B91"/>
      <c r="C91"/>
      <c r="D91"/>
    </row>
    <row r="92" spans="1:4" s="118" customFormat="1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</sheetData>
  <mergeCells count="2">
    <mergeCell ref="A1:D1"/>
    <mergeCell ref="A2:D2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1"/>
  <sheetViews>
    <sheetView workbookViewId="0" topLeftCell="A61">
      <selection activeCell="A73" sqref="A73"/>
    </sheetView>
  </sheetViews>
  <sheetFormatPr defaultColWidth="9.140625" defaultRowHeight="12.75"/>
  <cols>
    <col min="1" max="1" width="55.140625" style="190" customWidth="1"/>
    <col min="2" max="2" width="9.140625" style="35" hidden="1" customWidth="1"/>
    <col min="3" max="3" width="15.28125" style="191" customWidth="1"/>
    <col min="4" max="4" width="14.8515625" style="191" customWidth="1"/>
    <col min="5" max="5" width="10.00390625" style="35" customWidth="1"/>
    <col min="6" max="16384" width="9.140625" style="35" customWidth="1"/>
  </cols>
  <sheetData>
    <row r="1" spans="1:5" ht="24.75" customHeight="1">
      <c r="A1" s="663" t="s">
        <v>111</v>
      </c>
      <c r="B1" s="663"/>
      <c r="C1" s="663"/>
      <c r="D1" s="663"/>
      <c r="E1" s="84"/>
    </row>
    <row r="2" spans="1:5" ht="16.5" customHeight="1">
      <c r="A2" s="663" t="s">
        <v>108</v>
      </c>
      <c r="B2" s="663"/>
      <c r="C2" s="663"/>
      <c r="D2" s="663"/>
      <c r="E2" s="84"/>
    </row>
    <row r="3" spans="1:5" ht="12" customHeight="1">
      <c r="A3" s="166"/>
      <c r="B3" s="167"/>
      <c r="C3" s="168"/>
      <c r="D3" s="169" t="s">
        <v>1437</v>
      </c>
      <c r="E3" s="84"/>
    </row>
    <row r="4" spans="1:5" ht="29.25" customHeight="1">
      <c r="A4" s="170" t="s">
        <v>1852</v>
      </c>
      <c r="B4" s="171" t="s">
        <v>44</v>
      </c>
      <c r="C4" s="172" t="s">
        <v>1079</v>
      </c>
      <c r="D4" s="172" t="s">
        <v>45</v>
      </c>
      <c r="E4" s="84"/>
    </row>
    <row r="5" spans="1:5" ht="12.75">
      <c r="A5" s="192"/>
      <c r="B5" s="193"/>
      <c r="C5" s="194"/>
      <c r="D5" s="194"/>
      <c r="E5" s="84"/>
    </row>
    <row r="6" spans="1:5" ht="27.75" customHeight="1">
      <c r="A6" s="173" t="s">
        <v>46</v>
      </c>
      <c r="B6" s="174"/>
      <c r="C6" s="175"/>
      <c r="D6" s="175"/>
      <c r="E6" s="84"/>
    </row>
    <row r="7" spans="1:5" s="123" customFormat="1" ht="24.75" customHeight="1">
      <c r="A7" s="176" t="s">
        <v>47</v>
      </c>
      <c r="B7" s="177"/>
      <c r="C7" s="178">
        <f>C8+C9+C25</f>
        <v>667667170</v>
      </c>
      <c r="D7" s="178">
        <f>D8+D9+D25</f>
        <v>711632791</v>
      </c>
      <c r="E7" s="151"/>
    </row>
    <row r="8" spans="1:5" ht="16.5" customHeight="1">
      <c r="A8" s="179" t="s">
        <v>48</v>
      </c>
      <c r="B8" s="167">
        <v>10</v>
      </c>
      <c r="C8" s="180">
        <f>199714481-198787298</f>
        <v>927183</v>
      </c>
      <c r="D8" s="180">
        <f>219367335-215647269</f>
        <v>3720066</v>
      </c>
      <c r="E8" s="84"/>
    </row>
    <row r="9" spans="1:5" ht="15" customHeight="1">
      <c r="A9" s="166" t="s">
        <v>49</v>
      </c>
      <c r="B9" s="167">
        <v>20</v>
      </c>
      <c r="C9" s="180">
        <f>C11+SUM(C14:C24)+C13</f>
        <v>660862279</v>
      </c>
      <c r="D9" s="180">
        <f>D11+SUM(D14:D24)+D13</f>
        <v>702561013</v>
      </c>
      <c r="E9" s="84"/>
    </row>
    <row r="10" spans="1:5" ht="15.75" customHeight="1">
      <c r="A10" s="166" t="s">
        <v>50</v>
      </c>
      <c r="B10" s="167"/>
      <c r="C10" s="180"/>
      <c r="D10" s="180"/>
      <c r="E10" s="84"/>
    </row>
    <row r="11" spans="1:5" s="118" customFormat="1" ht="14.25" customHeight="1">
      <c r="A11" s="181" t="s">
        <v>51</v>
      </c>
      <c r="B11" s="182"/>
      <c r="C11" s="183">
        <v>314243455</v>
      </c>
      <c r="D11" s="183">
        <v>312367432</v>
      </c>
      <c r="E11" s="120"/>
    </row>
    <row r="12" spans="1:5" s="159" customFormat="1" ht="14.25" customHeight="1">
      <c r="A12" s="370" t="s">
        <v>1069</v>
      </c>
      <c r="B12" s="371"/>
      <c r="C12" s="372">
        <v>17099384</v>
      </c>
      <c r="D12" s="372">
        <v>26440891</v>
      </c>
      <c r="E12" s="160"/>
    </row>
    <row r="13" spans="1:5" s="159" customFormat="1" ht="13.5" customHeight="1">
      <c r="A13" s="370" t="s">
        <v>1070</v>
      </c>
      <c r="B13" s="371"/>
      <c r="C13" s="372">
        <v>198787298</v>
      </c>
      <c r="D13" s="372">
        <v>215647269</v>
      </c>
      <c r="E13" s="160"/>
    </row>
    <row r="14" spans="1:5" s="118" customFormat="1" ht="12.75">
      <c r="A14" s="181" t="s">
        <v>53</v>
      </c>
      <c r="B14" s="182"/>
      <c r="C14" s="183">
        <v>570910</v>
      </c>
      <c r="D14" s="183">
        <v>2661742</v>
      </c>
      <c r="E14" s="120"/>
    </row>
    <row r="15" spans="1:5" s="118" customFormat="1" ht="17.25" customHeight="1">
      <c r="A15" s="181" t="s">
        <v>54</v>
      </c>
      <c r="B15" s="182"/>
      <c r="C15" s="183">
        <v>1240553</v>
      </c>
      <c r="D15" s="183">
        <v>2095304</v>
      </c>
      <c r="E15" s="120"/>
    </row>
    <row r="16" spans="1:5" s="118" customFormat="1" ht="15.75" customHeight="1">
      <c r="A16" s="181" t="s">
        <v>55</v>
      </c>
      <c r="B16" s="182"/>
      <c r="C16" s="183">
        <v>63685139</v>
      </c>
      <c r="D16" s="183">
        <v>73266985</v>
      </c>
      <c r="E16" s="120"/>
    </row>
    <row r="17" spans="1:5" s="118" customFormat="1" ht="15" customHeight="1">
      <c r="A17" s="181" t="s">
        <v>56</v>
      </c>
      <c r="B17" s="182"/>
      <c r="C17" s="183">
        <v>26266708</v>
      </c>
      <c r="D17" s="183">
        <v>29567633</v>
      </c>
      <c r="E17" s="120"/>
    </row>
    <row r="18" spans="1:5" s="118" customFormat="1" ht="14.25" customHeight="1">
      <c r="A18" s="181" t="s">
        <v>57</v>
      </c>
      <c r="B18" s="182"/>
      <c r="C18" s="183">
        <v>10526615</v>
      </c>
      <c r="D18" s="183">
        <v>12959405</v>
      </c>
      <c r="E18" s="120"/>
    </row>
    <row r="19" spans="1:5" s="118" customFormat="1" ht="15.75" customHeight="1">
      <c r="A19" s="181" t="s">
        <v>58</v>
      </c>
      <c r="B19" s="182"/>
      <c r="C19" s="183">
        <v>3870882</v>
      </c>
      <c r="D19" s="183">
        <v>4733746</v>
      </c>
      <c r="E19" s="120"/>
    </row>
    <row r="20" spans="1:5" s="118" customFormat="1" ht="14.25" customHeight="1">
      <c r="A20" s="181" t="s">
        <v>59</v>
      </c>
      <c r="B20" s="182"/>
      <c r="C20" s="183">
        <v>5746447</v>
      </c>
      <c r="D20" s="183">
        <v>6001430</v>
      </c>
      <c r="E20" s="120"/>
    </row>
    <row r="21" spans="1:5" s="118" customFormat="1" ht="27.75" customHeight="1">
      <c r="A21" s="181" t="s">
        <v>1071</v>
      </c>
      <c r="B21" s="182"/>
      <c r="C21" s="183">
        <v>8524863</v>
      </c>
      <c r="D21" s="183">
        <v>11519006</v>
      </c>
      <c r="E21" s="120"/>
    </row>
    <row r="22" spans="1:5" s="118" customFormat="1" ht="15.75" customHeight="1">
      <c r="A22" s="181" t="s">
        <v>60</v>
      </c>
      <c r="B22" s="182"/>
      <c r="C22" s="183">
        <v>13709573</v>
      </c>
      <c r="D22" s="183">
        <v>12789490</v>
      </c>
      <c r="E22" s="120"/>
    </row>
    <row r="23" spans="1:5" s="118" customFormat="1" ht="15" customHeight="1">
      <c r="A23" s="181" t="s">
        <v>61</v>
      </c>
      <c r="B23" s="182"/>
      <c r="C23" s="183">
        <v>6733039</v>
      </c>
      <c r="D23" s="183">
        <v>7625150</v>
      </c>
      <c r="E23" s="120"/>
    </row>
    <row r="24" spans="1:5" s="118" customFormat="1" ht="15" customHeight="1">
      <c r="A24" s="181" t="s">
        <v>62</v>
      </c>
      <c r="B24" s="182"/>
      <c r="C24" s="183">
        <v>6956797</v>
      </c>
      <c r="D24" s="183">
        <v>11326421</v>
      </c>
      <c r="E24" s="120"/>
    </row>
    <row r="25" spans="1:5" s="118" customFormat="1" ht="15" customHeight="1">
      <c r="A25" s="179" t="s">
        <v>63</v>
      </c>
      <c r="B25" s="182">
        <v>30</v>
      </c>
      <c r="C25" s="180">
        <v>5877708</v>
      </c>
      <c r="D25" s="180">
        <v>5351712</v>
      </c>
      <c r="E25" s="120"/>
    </row>
    <row r="26" spans="1:5" ht="18.75" customHeight="1">
      <c r="A26" s="200" t="s">
        <v>113</v>
      </c>
      <c r="B26" s="167"/>
      <c r="C26" s="178">
        <f>C27+C40+C41+C42+C43+C44</f>
        <v>95812027</v>
      </c>
      <c r="D26" s="178">
        <f>D27+D40+D41+D42+D43+D44</f>
        <v>97748302</v>
      </c>
      <c r="E26" s="84"/>
    </row>
    <row r="27" spans="1:5" ht="12.75">
      <c r="A27" s="166" t="s">
        <v>123</v>
      </c>
      <c r="B27" s="167">
        <v>50</v>
      </c>
      <c r="C27" s="180">
        <f>SUM(C28:C39)-C28</f>
        <v>12500291</v>
      </c>
      <c r="D27" s="180">
        <f>SUM(D28:D39)-D28</f>
        <v>16131606</v>
      </c>
      <c r="E27" s="84"/>
    </row>
    <row r="28" spans="1:5" s="118" customFormat="1" ht="15.75" customHeight="1">
      <c r="A28" s="181" t="s">
        <v>66</v>
      </c>
      <c r="B28" s="182">
        <v>60</v>
      </c>
      <c r="C28" s="183">
        <v>9555847</v>
      </c>
      <c r="D28" s="183">
        <v>9832259</v>
      </c>
      <c r="E28" s="120"/>
    </row>
    <row r="29" spans="1:5" s="118" customFormat="1" ht="17.25" customHeight="1">
      <c r="A29" s="195" t="s">
        <v>1072</v>
      </c>
      <c r="B29" s="182"/>
      <c r="C29" s="197">
        <v>689055</v>
      </c>
      <c r="D29" s="197">
        <v>633120</v>
      </c>
      <c r="E29" s="120"/>
    </row>
    <row r="30" spans="1:5" s="118" customFormat="1" ht="15.75" customHeight="1">
      <c r="A30" s="195" t="s">
        <v>118</v>
      </c>
      <c r="B30" s="182"/>
      <c r="C30" s="197">
        <v>568285</v>
      </c>
      <c r="D30" s="197">
        <v>446692</v>
      </c>
      <c r="E30" s="120"/>
    </row>
    <row r="31" spans="1:5" s="118" customFormat="1" ht="15" customHeight="1">
      <c r="A31" s="195" t="s">
        <v>1073</v>
      </c>
      <c r="B31" s="182"/>
      <c r="C31" s="197">
        <v>2861930</v>
      </c>
      <c r="D31" s="197">
        <v>1986048</v>
      </c>
      <c r="E31" s="120"/>
    </row>
    <row r="32" spans="1:5" s="118" customFormat="1" ht="15" customHeight="1">
      <c r="A32" s="195" t="s">
        <v>1074</v>
      </c>
      <c r="B32" s="182"/>
      <c r="C32" s="197">
        <v>2232569</v>
      </c>
      <c r="D32" s="197">
        <v>2367658</v>
      </c>
      <c r="E32" s="120"/>
    </row>
    <row r="33" spans="1:5" s="118" customFormat="1" ht="15.75" customHeight="1">
      <c r="A33" s="195" t="s">
        <v>119</v>
      </c>
      <c r="B33" s="182"/>
      <c r="C33" s="197">
        <v>1009359</v>
      </c>
      <c r="D33" s="197">
        <v>946574</v>
      </c>
      <c r="E33" s="120"/>
    </row>
    <row r="34" spans="1:5" s="118" customFormat="1" ht="16.5" customHeight="1">
      <c r="A34" s="195" t="s">
        <v>120</v>
      </c>
      <c r="B34" s="182"/>
      <c r="C34" s="197">
        <v>1356833</v>
      </c>
      <c r="D34" s="197">
        <v>1794974</v>
      </c>
      <c r="E34" s="120"/>
    </row>
    <row r="35" spans="1:5" s="118" customFormat="1" ht="13.5" customHeight="1">
      <c r="A35" s="195" t="s">
        <v>121</v>
      </c>
      <c r="B35" s="182"/>
      <c r="C35" s="197">
        <v>261869</v>
      </c>
      <c r="D35" s="197">
        <v>244739</v>
      </c>
      <c r="E35" s="120"/>
    </row>
    <row r="36" spans="1:5" s="118" customFormat="1" ht="15" customHeight="1">
      <c r="A36" s="195" t="s">
        <v>122</v>
      </c>
      <c r="B36" s="182"/>
      <c r="C36" s="197">
        <v>575947</v>
      </c>
      <c r="D36" s="197">
        <v>1412454</v>
      </c>
      <c r="E36" s="120"/>
    </row>
    <row r="37" spans="1:5" s="118" customFormat="1" ht="15.75" customHeight="1">
      <c r="A37" s="181" t="s">
        <v>67</v>
      </c>
      <c r="B37" s="182">
        <v>70</v>
      </c>
      <c r="C37" s="183">
        <v>140816</v>
      </c>
      <c r="D37" s="183">
        <v>99152</v>
      </c>
      <c r="E37" s="120"/>
    </row>
    <row r="38" spans="1:5" s="118" customFormat="1" ht="15.75" customHeight="1">
      <c r="A38" s="181" t="s">
        <v>1703</v>
      </c>
      <c r="B38" s="182">
        <v>80</v>
      </c>
      <c r="C38" s="183">
        <v>263542</v>
      </c>
      <c r="D38" s="183">
        <v>845482</v>
      </c>
      <c r="E38" s="120"/>
    </row>
    <row r="39" spans="1:5" s="118" customFormat="1" ht="16.5" customHeight="1">
      <c r="A39" s="181" t="s">
        <v>68</v>
      </c>
      <c r="B39" s="182">
        <v>90</v>
      </c>
      <c r="C39" s="183">
        <v>2540086</v>
      </c>
      <c r="D39" s="183">
        <v>5354713</v>
      </c>
      <c r="E39" s="120"/>
    </row>
    <row r="40" spans="1:5" ht="15.75" customHeight="1">
      <c r="A40" s="166" t="s">
        <v>69</v>
      </c>
      <c r="B40" s="167">
        <v>110</v>
      </c>
      <c r="C40" s="180">
        <v>419000</v>
      </c>
      <c r="D40" s="180">
        <v>455630</v>
      </c>
      <c r="E40" s="84"/>
    </row>
    <row r="41" spans="1:5" ht="16.5" customHeight="1">
      <c r="A41" s="166" t="s">
        <v>1075</v>
      </c>
      <c r="B41" s="167">
        <v>120</v>
      </c>
      <c r="C41" s="180">
        <v>24331037</v>
      </c>
      <c r="D41" s="180">
        <v>21574861</v>
      </c>
      <c r="E41" s="84"/>
    </row>
    <row r="42" spans="1:5" ht="18" customHeight="1">
      <c r="A42" s="166" t="s">
        <v>1727</v>
      </c>
      <c r="B42" s="167">
        <v>130</v>
      </c>
      <c r="C42" s="180">
        <v>404475</v>
      </c>
      <c r="D42" s="180">
        <v>5433155</v>
      </c>
      <c r="E42" s="84"/>
    </row>
    <row r="43" spans="1:5" ht="19.5" customHeight="1">
      <c r="A43" s="166" t="s">
        <v>70</v>
      </c>
      <c r="B43" s="167">
        <v>140</v>
      </c>
      <c r="C43" s="180">
        <v>4465</v>
      </c>
      <c r="D43" s="180">
        <v>4465</v>
      </c>
      <c r="E43" s="84"/>
    </row>
    <row r="44" spans="1:5" ht="19.5" customHeight="1">
      <c r="A44" s="166" t="s">
        <v>86</v>
      </c>
      <c r="B44" s="167">
        <v>150</v>
      </c>
      <c r="C44" s="180">
        <f>SUM(C45:C53)-C46</f>
        <v>58152759</v>
      </c>
      <c r="D44" s="180">
        <f>SUM(D45:D53)-D46</f>
        <v>54148585</v>
      </c>
      <c r="E44" s="84"/>
    </row>
    <row r="45" spans="1:5" s="118" customFormat="1" ht="15" customHeight="1">
      <c r="A45" s="181" t="s">
        <v>87</v>
      </c>
      <c r="B45" s="182">
        <v>160</v>
      </c>
      <c r="C45" s="183">
        <v>123505</v>
      </c>
      <c r="D45" s="183">
        <v>134995</v>
      </c>
      <c r="E45" s="120"/>
    </row>
    <row r="46" spans="1:5" s="118" customFormat="1" ht="18.75" customHeight="1">
      <c r="A46" s="181" t="s">
        <v>104</v>
      </c>
      <c r="B46" s="182"/>
      <c r="C46" s="183">
        <f>SUM(C47:C51)</f>
        <v>55797872</v>
      </c>
      <c r="D46" s="183">
        <f>SUM(D47:D51)</f>
        <v>51509790</v>
      </c>
      <c r="E46" s="120"/>
    </row>
    <row r="47" spans="1:5" s="118" customFormat="1" ht="17.25" customHeight="1">
      <c r="A47" s="195" t="s">
        <v>105</v>
      </c>
      <c r="B47" s="182">
        <v>170</v>
      </c>
      <c r="C47" s="197">
        <v>6433159</v>
      </c>
      <c r="D47" s="197">
        <v>6111887</v>
      </c>
      <c r="E47" s="120"/>
    </row>
    <row r="48" spans="1:5" s="118" customFormat="1" ht="15" customHeight="1">
      <c r="A48" s="195" t="s">
        <v>1076</v>
      </c>
      <c r="B48" s="182">
        <v>180</v>
      </c>
      <c r="C48" s="197">
        <v>44551905</v>
      </c>
      <c r="D48" s="197">
        <v>40084212</v>
      </c>
      <c r="E48" s="120"/>
    </row>
    <row r="49" spans="1:5" s="118" customFormat="1" ht="14.25" customHeight="1">
      <c r="A49" s="195" t="s">
        <v>1701</v>
      </c>
      <c r="B49" s="182">
        <v>190</v>
      </c>
      <c r="C49" s="197">
        <v>2929108</v>
      </c>
      <c r="D49" s="197">
        <v>1583495</v>
      </c>
      <c r="E49" s="120"/>
    </row>
    <row r="50" spans="1:5" s="118" customFormat="1" ht="15" customHeight="1">
      <c r="A50" s="195" t="s">
        <v>1702</v>
      </c>
      <c r="B50" s="182">
        <v>200</v>
      </c>
      <c r="C50" s="197">
        <v>1685032</v>
      </c>
      <c r="D50" s="197">
        <v>2588642</v>
      </c>
      <c r="E50" s="120"/>
    </row>
    <row r="51" spans="1:5" s="118" customFormat="1" ht="16.5" customHeight="1">
      <c r="A51" s="195" t="s">
        <v>106</v>
      </c>
      <c r="B51" s="182">
        <v>210</v>
      </c>
      <c r="C51" s="197">
        <v>198668</v>
      </c>
      <c r="D51" s="197">
        <v>1141554</v>
      </c>
      <c r="E51" s="120"/>
    </row>
    <row r="52" spans="1:5" s="118" customFormat="1" ht="15.75" customHeight="1">
      <c r="A52" s="181" t="s">
        <v>1077</v>
      </c>
      <c r="B52" s="182">
        <v>220</v>
      </c>
      <c r="C52" s="183">
        <v>11822</v>
      </c>
      <c r="D52" s="183">
        <v>129104</v>
      </c>
      <c r="E52" s="120"/>
    </row>
    <row r="53" spans="1:5" s="118" customFormat="1" ht="16.5" customHeight="1">
      <c r="A53" s="181" t="s">
        <v>1078</v>
      </c>
      <c r="B53" s="182">
        <v>230</v>
      </c>
      <c r="C53" s="183">
        <v>2219560</v>
      </c>
      <c r="D53" s="183">
        <v>2374696</v>
      </c>
      <c r="E53" s="120"/>
    </row>
    <row r="54" spans="1:5" ht="28.5" customHeight="1">
      <c r="A54" s="186" t="s">
        <v>88</v>
      </c>
      <c r="B54" s="177">
        <v>330</v>
      </c>
      <c r="C54" s="187">
        <f>SUM(C7+C27+C40+C41+C42+C43+C44)</f>
        <v>763479197</v>
      </c>
      <c r="D54" s="187">
        <f>SUM(D7+D27+D40+D41+D42+D43+D44)</f>
        <v>809381093</v>
      </c>
      <c r="E54" s="84"/>
    </row>
    <row r="55" spans="1:5" ht="12.75">
      <c r="A55" s="188"/>
      <c r="B55" s="167">
        <v>2</v>
      </c>
      <c r="C55" s="189"/>
      <c r="D55" s="189"/>
      <c r="E55" s="84"/>
    </row>
    <row r="56" spans="1:5" ht="30" customHeight="1">
      <c r="A56" s="173" t="s">
        <v>89</v>
      </c>
      <c r="B56" s="167"/>
      <c r="C56" s="189"/>
      <c r="D56" s="189"/>
      <c r="E56" s="84"/>
    </row>
    <row r="57" spans="1:5" ht="19.5" customHeight="1">
      <c r="A57" s="188" t="s">
        <v>90</v>
      </c>
      <c r="B57" s="167"/>
      <c r="C57" s="189"/>
      <c r="D57" s="189"/>
      <c r="E57" s="84"/>
    </row>
    <row r="58" spans="1:5" ht="24" customHeight="1">
      <c r="A58" s="166" t="s">
        <v>91</v>
      </c>
      <c r="B58" s="167">
        <v>340</v>
      </c>
      <c r="C58" s="180">
        <v>653987169</v>
      </c>
      <c r="D58" s="180">
        <v>695245815</v>
      </c>
      <c r="E58" s="84"/>
    </row>
    <row r="59" spans="1:5" ht="15.75" customHeight="1">
      <c r="A59" s="166" t="s">
        <v>92</v>
      </c>
      <c r="B59" s="167">
        <v>350</v>
      </c>
      <c r="C59" s="180">
        <v>6732732</v>
      </c>
      <c r="D59" s="180">
        <v>7981890</v>
      </c>
      <c r="E59" s="84"/>
    </row>
    <row r="60" spans="1:5" ht="15" customHeight="1">
      <c r="A60" s="166" t="s">
        <v>93</v>
      </c>
      <c r="B60" s="167">
        <v>360</v>
      </c>
      <c r="C60" s="180">
        <v>62299166</v>
      </c>
      <c r="D60" s="180">
        <v>49184020</v>
      </c>
      <c r="E60" s="84"/>
    </row>
    <row r="61" spans="1:5" ht="24.75" customHeight="1">
      <c r="A61" s="185" t="s">
        <v>94</v>
      </c>
      <c r="B61" s="182"/>
      <c r="C61" s="183"/>
      <c r="D61" s="183"/>
      <c r="E61" s="84"/>
    </row>
    <row r="62" spans="1:5" ht="30.75" customHeight="1">
      <c r="A62" s="166" t="s">
        <v>107</v>
      </c>
      <c r="B62" s="167">
        <v>380</v>
      </c>
      <c r="C62" s="180">
        <v>14530615</v>
      </c>
      <c r="D62" s="180">
        <v>24125853</v>
      </c>
      <c r="E62" s="84"/>
    </row>
    <row r="63" spans="1:5" ht="14.25" customHeight="1">
      <c r="A63" s="166" t="s">
        <v>95</v>
      </c>
      <c r="B63" s="167">
        <v>390</v>
      </c>
      <c r="C63" s="180">
        <v>334218</v>
      </c>
      <c r="D63" s="180">
        <v>983492</v>
      </c>
      <c r="E63" s="84"/>
    </row>
    <row r="64" spans="1:5" ht="17.25" customHeight="1">
      <c r="A64" s="166" t="s">
        <v>96</v>
      </c>
      <c r="B64" s="167">
        <v>400</v>
      </c>
      <c r="C64" s="180">
        <v>7437765</v>
      </c>
      <c r="D64" s="180">
        <v>7130072</v>
      </c>
      <c r="E64" s="84"/>
    </row>
    <row r="65" spans="1:5" ht="16.5" customHeight="1">
      <c r="A65" s="166" t="s">
        <v>97</v>
      </c>
      <c r="B65" s="167">
        <v>410</v>
      </c>
      <c r="C65" s="180"/>
      <c r="D65" s="180"/>
      <c r="E65" s="84"/>
    </row>
    <row r="66" spans="1:5" ht="17.25" customHeight="1">
      <c r="A66" s="166" t="s">
        <v>98</v>
      </c>
      <c r="B66" s="167">
        <v>420</v>
      </c>
      <c r="C66" s="180">
        <v>4066467</v>
      </c>
      <c r="D66" s="180">
        <v>10529315</v>
      </c>
      <c r="E66" s="84"/>
    </row>
    <row r="67" spans="1:5" ht="17.25" customHeight="1">
      <c r="A67" s="166" t="s">
        <v>99</v>
      </c>
      <c r="B67" s="167">
        <v>430</v>
      </c>
      <c r="C67" s="180">
        <v>5469814</v>
      </c>
      <c r="D67" s="180">
        <v>6247156</v>
      </c>
      <c r="E67" s="84"/>
    </row>
    <row r="68" spans="1:5" ht="17.25" customHeight="1">
      <c r="A68" s="166" t="s">
        <v>100</v>
      </c>
      <c r="B68" s="167">
        <v>440</v>
      </c>
      <c r="C68" s="180">
        <v>8621251</v>
      </c>
      <c r="D68" s="180">
        <v>7953480</v>
      </c>
      <c r="E68" s="84"/>
    </row>
    <row r="69" spans="1:5" ht="33.75" customHeight="1">
      <c r="A69" s="186" t="s">
        <v>101</v>
      </c>
      <c r="B69" s="177">
        <v>540</v>
      </c>
      <c r="C69" s="187">
        <f>SUM(C58:C60,C62:C68)</f>
        <v>763479197</v>
      </c>
      <c r="D69" s="187">
        <f>SUM(D58:D60,D62:D68)</f>
        <v>809381093</v>
      </c>
      <c r="E69" s="84"/>
    </row>
    <row r="70" spans="1:5" ht="12.75">
      <c r="A70" s="166"/>
      <c r="B70" s="167"/>
      <c r="C70" s="180"/>
      <c r="D70" s="180"/>
      <c r="E70" s="84"/>
    </row>
    <row r="71" spans="1:5" ht="12.75">
      <c r="A71" s="166"/>
      <c r="B71" s="167"/>
      <c r="C71" s="180"/>
      <c r="D71" s="180"/>
      <c r="E71" s="84"/>
    </row>
    <row r="72" spans="1:5" ht="12.75">
      <c r="A72" s="373" t="s">
        <v>1085</v>
      </c>
      <c r="B72" s="167"/>
      <c r="C72" s="180"/>
      <c r="D72" s="180"/>
      <c r="E72" s="84"/>
    </row>
    <row r="73" spans="1:4" ht="12.75">
      <c r="A73"/>
      <c r="B73"/>
      <c r="C73"/>
      <c r="D73"/>
    </row>
    <row r="75" spans="1:4" ht="12.75">
      <c r="A75"/>
      <c r="B75"/>
      <c r="C75"/>
      <c r="D75"/>
    </row>
    <row r="76" spans="1:4" ht="12.75">
      <c r="A76" t="s">
        <v>116</v>
      </c>
      <c r="B76"/>
      <c r="C76"/>
      <c r="D76" t="s">
        <v>41</v>
      </c>
    </row>
    <row r="78" spans="1:4" ht="16.5" customHeight="1">
      <c r="A78"/>
      <c r="B78"/>
      <c r="C78"/>
      <c r="D78"/>
    </row>
    <row r="79" spans="1:4" ht="20.25" customHeight="1">
      <c r="A79" t="s">
        <v>110</v>
      </c>
      <c r="B79"/>
      <c r="C79"/>
      <c r="D79" t="s">
        <v>43</v>
      </c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s="118" customFormat="1" ht="12.75">
      <c r="A88"/>
      <c r="B88"/>
      <c r="C88"/>
      <c r="D88"/>
    </row>
    <row r="89" spans="1:4" s="118" customFormat="1" ht="12.75">
      <c r="A89"/>
      <c r="B89"/>
      <c r="C89"/>
      <c r="D89"/>
    </row>
    <row r="90" spans="1:4" s="118" customFormat="1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</sheetData>
  <mergeCells count="2">
    <mergeCell ref="A1:D1"/>
    <mergeCell ref="A2:D2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71">
      <selection activeCell="C79" sqref="C79"/>
    </sheetView>
  </sheetViews>
  <sheetFormatPr defaultColWidth="9.140625" defaultRowHeight="12.75"/>
  <cols>
    <col min="1" max="1" width="55.140625" style="190" customWidth="1"/>
    <col min="2" max="2" width="9.140625" style="35" hidden="1" customWidth="1"/>
    <col min="3" max="3" width="15.28125" style="191" customWidth="1"/>
    <col min="4" max="4" width="14.8515625" style="191" customWidth="1"/>
    <col min="5" max="5" width="10.00390625" style="35" customWidth="1"/>
    <col min="6" max="16384" width="9.140625" style="35" customWidth="1"/>
  </cols>
  <sheetData>
    <row r="1" spans="1:5" ht="20.25" customHeight="1">
      <c r="A1" s="663" t="s">
        <v>109</v>
      </c>
      <c r="B1" s="663"/>
      <c r="C1" s="663"/>
      <c r="D1" s="663"/>
      <c r="E1" s="84"/>
    </row>
    <row r="2" spans="1:5" ht="20.25" customHeight="1">
      <c r="A2" s="663" t="s">
        <v>108</v>
      </c>
      <c r="B2" s="663"/>
      <c r="C2" s="663"/>
      <c r="D2" s="663"/>
      <c r="E2" s="84"/>
    </row>
    <row r="3" spans="1:5" ht="12" customHeight="1">
      <c r="A3" s="166"/>
      <c r="B3" s="167"/>
      <c r="C3" s="168"/>
      <c r="D3" s="169" t="s">
        <v>1437</v>
      </c>
      <c r="E3" s="84"/>
    </row>
    <row r="4" spans="1:5" ht="24">
      <c r="A4" s="170" t="s">
        <v>1852</v>
      </c>
      <c r="B4" s="171" t="s">
        <v>44</v>
      </c>
      <c r="C4" s="172" t="s">
        <v>1080</v>
      </c>
      <c r="D4" s="172" t="s">
        <v>45</v>
      </c>
      <c r="E4" s="84"/>
    </row>
    <row r="5" spans="1:5" ht="15.75" customHeight="1">
      <c r="A5" s="192"/>
      <c r="B5" s="193"/>
      <c r="C5" s="194"/>
      <c r="D5" s="194"/>
      <c r="E5" s="84"/>
    </row>
    <row r="6" spans="1:5" ht="14.25" customHeight="1">
      <c r="A6" s="173" t="s">
        <v>46</v>
      </c>
      <c r="B6" s="174"/>
      <c r="C6" s="175"/>
      <c r="D6" s="175"/>
      <c r="E6" s="84"/>
    </row>
    <row r="7" spans="1:5" s="123" customFormat="1" ht="21.75" customHeight="1">
      <c r="A7" s="176" t="s">
        <v>47</v>
      </c>
      <c r="B7" s="177"/>
      <c r="C7" s="178">
        <f>C8+C9+C26</f>
        <v>381384295</v>
      </c>
      <c r="D7" s="178">
        <f>D8+D9+D26</f>
        <v>502987166</v>
      </c>
      <c r="E7" s="151"/>
    </row>
    <row r="8" spans="1:5" ht="16.5" customHeight="1">
      <c r="A8" s="179" t="s">
        <v>48</v>
      </c>
      <c r="B8" s="167">
        <v>10</v>
      </c>
      <c r="C8" s="180">
        <v>135328</v>
      </c>
      <c r="D8" s="180">
        <v>706574</v>
      </c>
      <c r="E8" s="84"/>
    </row>
    <row r="9" spans="1:5" ht="16.5" customHeight="1">
      <c r="A9" s="166" t="s">
        <v>49</v>
      </c>
      <c r="B9" s="167">
        <v>20</v>
      </c>
      <c r="C9" s="180">
        <f>C12+SUM(C14:C24)+C11-C25</f>
        <v>368958358</v>
      </c>
      <c r="D9" s="180">
        <f>D12+SUM(D14:D24)+D11-D25</f>
        <v>435266389</v>
      </c>
      <c r="E9" s="84"/>
    </row>
    <row r="10" spans="1:5" ht="15.75" customHeight="1">
      <c r="A10" s="166" t="s">
        <v>50</v>
      </c>
      <c r="B10" s="167"/>
      <c r="C10" s="180"/>
      <c r="D10" s="180"/>
      <c r="E10" s="84"/>
    </row>
    <row r="11" spans="1:5" ht="7.5" customHeight="1">
      <c r="A11" s="181"/>
      <c r="B11" s="167"/>
      <c r="C11" s="180"/>
      <c r="D11" s="180"/>
      <c r="E11" s="84"/>
    </row>
    <row r="12" spans="1:5" s="118" customFormat="1" ht="15.75" customHeight="1">
      <c r="A12" s="181" t="s">
        <v>51</v>
      </c>
      <c r="B12" s="182"/>
      <c r="C12" s="183">
        <v>311834377</v>
      </c>
      <c r="D12" s="183">
        <v>333604193</v>
      </c>
      <c r="E12" s="120"/>
    </row>
    <row r="13" spans="1:5" s="159" customFormat="1" ht="12.75" customHeight="1">
      <c r="A13" s="370" t="s">
        <v>52</v>
      </c>
      <c r="B13" s="371"/>
      <c r="C13" s="372">
        <v>107222820</v>
      </c>
      <c r="D13" s="372">
        <v>117286459</v>
      </c>
      <c r="E13" s="160"/>
    </row>
    <row r="14" spans="1:5" s="118" customFormat="1" ht="14.25" customHeight="1">
      <c r="A14" s="181" t="s">
        <v>53</v>
      </c>
      <c r="B14" s="182"/>
      <c r="C14" s="183">
        <v>4788512</v>
      </c>
      <c r="D14" s="183">
        <v>5939019</v>
      </c>
      <c r="E14" s="120"/>
    </row>
    <row r="15" spans="1:5" s="118" customFormat="1" ht="15" customHeight="1">
      <c r="A15" s="181" t="s">
        <v>54</v>
      </c>
      <c r="B15" s="182"/>
      <c r="C15" s="183">
        <v>7980826</v>
      </c>
      <c r="D15" s="183">
        <v>11521759</v>
      </c>
      <c r="E15" s="120"/>
    </row>
    <row r="16" spans="1:5" s="118" customFormat="1" ht="13.5" customHeight="1">
      <c r="A16" s="181" t="s">
        <v>55</v>
      </c>
      <c r="B16" s="182"/>
      <c r="C16" s="183">
        <v>33274234</v>
      </c>
      <c r="D16" s="183">
        <v>37339392</v>
      </c>
      <c r="E16" s="120"/>
    </row>
    <row r="17" spans="1:5" s="118" customFormat="1" ht="13.5" customHeight="1">
      <c r="A17" s="181" t="s">
        <v>56</v>
      </c>
      <c r="B17" s="182"/>
      <c r="C17" s="183">
        <v>9682151</v>
      </c>
      <c r="D17" s="183">
        <v>19065164</v>
      </c>
      <c r="E17" s="120"/>
    </row>
    <row r="18" spans="1:5" s="118" customFormat="1" ht="12.75" customHeight="1">
      <c r="A18" s="181" t="s">
        <v>57</v>
      </c>
      <c r="B18" s="182"/>
      <c r="C18" s="183">
        <v>7090754</v>
      </c>
      <c r="D18" s="183">
        <v>8598925</v>
      </c>
      <c r="E18" s="120"/>
    </row>
    <row r="19" spans="1:5" s="118" customFormat="1" ht="14.25" customHeight="1">
      <c r="A19" s="181" t="s">
        <v>58</v>
      </c>
      <c r="B19" s="182"/>
      <c r="C19" s="183">
        <v>8962521</v>
      </c>
      <c r="D19" s="183">
        <v>11014326</v>
      </c>
      <c r="E19" s="120"/>
    </row>
    <row r="20" spans="1:5" s="118" customFormat="1" ht="15" customHeight="1">
      <c r="A20" s="181" t="s">
        <v>59</v>
      </c>
      <c r="B20" s="182"/>
      <c r="C20" s="183">
        <v>4579252</v>
      </c>
      <c r="D20" s="183">
        <v>5310740</v>
      </c>
      <c r="E20" s="120"/>
    </row>
    <row r="21" spans="1:5" s="118" customFormat="1" ht="24.75" customHeight="1">
      <c r="A21" s="181" t="s">
        <v>1071</v>
      </c>
      <c r="B21" s="182"/>
      <c r="C21" s="183">
        <v>13725819</v>
      </c>
      <c r="D21" s="183">
        <v>27830663</v>
      </c>
      <c r="E21" s="120"/>
    </row>
    <row r="22" spans="1:5" s="118" customFormat="1" ht="14.25" customHeight="1">
      <c r="A22" s="181" t="s">
        <v>60</v>
      </c>
      <c r="B22" s="182"/>
      <c r="C22" s="183">
        <v>10244718</v>
      </c>
      <c r="D22" s="183">
        <v>13834600</v>
      </c>
      <c r="E22" s="120"/>
    </row>
    <row r="23" spans="1:5" s="118" customFormat="1" ht="13.5" customHeight="1">
      <c r="A23" s="181" t="s">
        <v>61</v>
      </c>
      <c r="B23" s="182"/>
      <c r="C23" s="183">
        <v>3696952</v>
      </c>
      <c r="D23" s="183">
        <v>3979515</v>
      </c>
      <c r="E23" s="120"/>
    </row>
    <row r="24" spans="1:5" s="118" customFormat="1" ht="15" customHeight="1">
      <c r="A24" s="181" t="s">
        <v>62</v>
      </c>
      <c r="B24" s="182"/>
      <c r="C24" s="183">
        <v>152922</v>
      </c>
      <c r="D24" s="183">
        <v>188835</v>
      </c>
      <c r="E24" s="120"/>
    </row>
    <row r="25" spans="1:5" s="118" customFormat="1" ht="14.25" customHeight="1">
      <c r="A25" s="181" t="s">
        <v>102</v>
      </c>
      <c r="B25" s="182"/>
      <c r="C25" s="180">
        <v>47054680</v>
      </c>
      <c r="D25" s="180">
        <v>42960742</v>
      </c>
      <c r="E25" s="120"/>
    </row>
    <row r="26" spans="1:5" ht="17.25" customHeight="1">
      <c r="A26" s="166" t="s">
        <v>63</v>
      </c>
      <c r="B26" s="167">
        <v>30</v>
      </c>
      <c r="C26" s="180">
        <v>12290609</v>
      </c>
      <c r="D26" s="180">
        <v>67014203</v>
      </c>
      <c r="E26" s="84"/>
    </row>
    <row r="27" spans="1:5" ht="22.5" customHeight="1">
      <c r="A27" s="184" t="s">
        <v>64</v>
      </c>
      <c r="B27" s="167"/>
      <c r="C27" s="178">
        <f>C28+C42+C43+C44+C45+C46</f>
        <v>55363088</v>
      </c>
      <c r="D27" s="178">
        <f>D28+D42+D43+D44+D45+D46</f>
        <v>58487486</v>
      </c>
      <c r="E27" s="84"/>
    </row>
    <row r="28" spans="1:5" ht="18" customHeight="1">
      <c r="A28" s="166" t="s">
        <v>65</v>
      </c>
      <c r="B28" s="167">
        <v>50</v>
      </c>
      <c r="C28" s="180">
        <f>SUM(C29:C41)-C29</f>
        <v>3424147</v>
      </c>
      <c r="D28" s="180">
        <f>SUM(D29:D41)-D29</f>
        <v>3978273</v>
      </c>
      <c r="E28" s="84"/>
    </row>
    <row r="29" spans="1:5" s="118" customFormat="1" ht="18" customHeight="1">
      <c r="A29" s="181" t="s">
        <v>66</v>
      </c>
      <c r="B29" s="182">
        <v>60</v>
      </c>
      <c r="C29" s="183">
        <v>3395696</v>
      </c>
      <c r="D29" s="183">
        <v>3941688</v>
      </c>
      <c r="E29" s="120"/>
    </row>
    <row r="30" spans="1:5" s="118" customFormat="1" ht="15" customHeight="1">
      <c r="A30" s="195" t="s">
        <v>1072</v>
      </c>
      <c r="B30" s="182"/>
      <c r="C30" s="197">
        <v>120420</v>
      </c>
      <c r="D30" s="197">
        <v>170631</v>
      </c>
      <c r="E30" s="120"/>
    </row>
    <row r="31" spans="1:5" s="118" customFormat="1" ht="15" customHeight="1">
      <c r="A31" s="195" t="s">
        <v>118</v>
      </c>
      <c r="B31" s="182"/>
      <c r="C31" s="197">
        <v>459488</v>
      </c>
      <c r="D31" s="197">
        <v>437576</v>
      </c>
      <c r="E31" s="120"/>
    </row>
    <row r="32" spans="1:5" s="118" customFormat="1" ht="15" customHeight="1">
      <c r="A32" s="195" t="s">
        <v>1073</v>
      </c>
      <c r="B32" s="182"/>
      <c r="C32" s="197">
        <v>180602</v>
      </c>
      <c r="D32" s="197">
        <v>72958</v>
      </c>
      <c r="E32" s="120"/>
    </row>
    <row r="33" spans="1:5" s="118" customFormat="1" ht="15" customHeight="1">
      <c r="A33" s="195" t="s">
        <v>1074</v>
      </c>
      <c r="B33" s="182"/>
      <c r="C33" s="197">
        <v>1118881</v>
      </c>
      <c r="D33" s="197">
        <v>1396828</v>
      </c>
      <c r="E33" s="120"/>
    </row>
    <row r="34" spans="1:5" s="118" customFormat="1" ht="15" customHeight="1">
      <c r="A34" s="195" t="s">
        <v>119</v>
      </c>
      <c r="B34" s="182"/>
      <c r="C34" s="197">
        <v>1125753</v>
      </c>
      <c r="D34" s="197">
        <v>1392894</v>
      </c>
      <c r="E34" s="120"/>
    </row>
    <row r="35" spans="1:5" s="118" customFormat="1" ht="15" customHeight="1">
      <c r="A35" s="195" t="s">
        <v>120</v>
      </c>
      <c r="B35" s="182"/>
      <c r="C35" s="197">
        <v>146937</v>
      </c>
      <c r="D35" s="197">
        <v>156818</v>
      </c>
      <c r="E35" s="120"/>
    </row>
    <row r="36" spans="1:5" s="118" customFormat="1" ht="15" customHeight="1">
      <c r="A36" s="195" t="s">
        <v>121</v>
      </c>
      <c r="B36" s="182"/>
      <c r="C36" s="197">
        <v>10265</v>
      </c>
      <c r="D36" s="197">
        <v>9677</v>
      </c>
      <c r="E36" s="120"/>
    </row>
    <row r="37" spans="1:5" s="118" customFormat="1" ht="15.75" customHeight="1">
      <c r="A37" s="195" t="s">
        <v>122</v>
      </c>
      <c r="B37" s="182"/>
      <c r="C37" s="197">
        <v>233350</v>
      </c>
      <c r="D37" s="197">
        <v>304306</v>
      </c>
      <c r="E37" s="120"/>
    </row>
    <row r="38" spans="1:5" s="118" customFormat="1" ht="15.75" customHeight="1">
      <c r="A38" s="181" t="s">
        <v>67</v>
      </c>
      <c r="B38" s="182">
        <v>70</v>
      </c>
      <c r="C38" s="183">
        <v>1484</v>
      </c>
      <c r="D38" s="183">
        <v>1692</v>
      </c>
      <c r="E38" s="120"/>
    </row>
    <row r="39" spans="1:5" s="118" customFormat="1" ht="16.5" customHeight="1">
      <c r="A39" s="181" t="s">
        <v>1703</v>
      </c>
      <c r="B39" s="182">
        <v>80</v>
      </c>
      <c r="C39" s="183">
        <v>3950</v>
      </c>
      <c r="D39" s="183">
        <v>34657</v>
      </c>
      <c r="E39" s="120"/>
    </row>
    <row r="40" spans="1:5" s="118" customFormat="1" ht="18.75" customHeight="1">
      <c r="A40" s="181" t="s">
        <v>68</v>
      </c>
      <c r="B40" s="182">
        <v>90</v>
      </c>
      <c r="C40" s="183"/>
      <c r="D40" s="183">
        <v>236</v>
      </c>
      <c r="E40" s="120"/>
    </row>
    <row r="41" spans="1:5" s="118" customFormat="1" ht="18" customHeight="1">
      <c r="A41" s="181" t="s">
        <v>103</v>
      </c>
      <c r="B41" s="182">
        <v>100</v>
      </c>
      <c r="C41" s="183">
        <v>23017</v>
      </c>
      <c r="D41" s="183"/>
      <c r="E41" s="120"/>
    </row>
    <row r="42" spans="1:5" ht="17.25" customHeight="1">
      <c r="A42" s="166" t="s">
        <v>69</v>
      </c>
      <c r="B42" s="167">
        <v>110</v>
      </c>
      <c r="C42" s="180">
        <v>13168</v>
      </c>
      <c r="D42" s="180">
        <v>14166</v>
      </c>
      <c r="E42" s="84"/>
    </row>
    <row r="43" spans="1:5" ht="16.5" customHeight="1">
      <c r="A43" s="166" t="s">
        <v>1075</v>
      </c>
      <c r="B43" s="167">
        <v>120</v>
      </c>
      <c r="C43" s="180">
        <v>16902182</v>
      </c>
      <c r="D43" s="180">
        <v>23694443</v>
      </c>
      <c r="E43" s="84"/>
    </row>
    <row r="44" spans="1:5" ht="16.5" customHeight="1">
      <c r="A44" s="166" t="s">
        <v>1727</v>
      </c>
      <c r="B44" s="167">
        <v>130</v>
      </c>
      <c r="C44" s="180">
        <v>2346654</v>
      </c>
      <c r="D44" s="180">
        <v>3366808</v>
      </c>
      <c r="E44" s="84"/>
    </row>
    <row r="45" spans="1:5" ht="15.75" customHeight="1">
      <c r="A45" s="166" t="s">
        <v>70</v>
      </c>
      <c r="B45" s="167">
        <v>140</v>
      </c>
      <c r="C45" s="180">
        <v>35550</v>
      </c>
      <c r="D45" s="180">
        <v>81133</v>
      </c>
      <c r="E45" s="84"/>
    </row>
    <row r="46" spans="1:5" ht="15.75" customHeight="1">
      <c r="A46" s="166" t="s">
        <v>86</v>
      </c>
      <c r="B46" s="167">
        <v>150</v>
      </c>
      <c r="C46" s="180">
        <f>SUM(C47:C55)-C48</f>
        <v>32641387</v>
      </c>
      <c r="D46" s="180">
        <f>SUM(D47:D55)-D48</f>
        <v>27352663</v>
      </c>
      <c r="E46" s="84"/>
    </row>
    <row r="47" spans="1:5" s="118" customFormat="1" ht="18" customHeight="1">
      <c r="A47" s="181" t="s">
        <v>87</v>
      </c>
      <c r="B47" s="182">
        <v>160</v>
      </c>
      <c r="C47" s="183">
        <v>287148</v>
      </c>
      <c r="D47" s="183">
        <v>264878</v>
      </c>
      <c r="E47" s="120"/>
    </row>
    <row r="48" spans="1:5" s="118" customFormat="1" ht="15.75" customHeight="1">
      <c r="A48" s="181" t="s">
        <v>104</v>
      </c>
      <c r="B48" s="182"/>
      <c r="C48" s="183">
        <f>SUM(C49:C53)</f>
        <v>26198870</v>
      </c>
      <c r="D48" s="183">
        <f>SUM(D49:D53)</f>
        <v>27052440</v>
      </c>
      <c r="E48" s="120"/>
    </row>
    <row r="49" spans="1:5" s="199" customFormat="1" ht="19.5" customHeight="1">
      <c r="A49" s="195" t="s">
        <v>105</v>
      </c>
      <c r="B49" s="196">
        <v>170</v>
      </c>
      <c r="C49" s="197">
        <v>11950890</v>
      </c>
      <c r="D49" s="197">
        <v>13777331</v>
      </c>
      <c r="E49" s="198"/>
    </row>
    <row r="50" spans="1:5" s="199" customFormat="1" ht="14.25" customHeight="1">
      <c r="A50" s="195" t="s">
        <v>1076</v>
      </c>
      <c r="B50" s="196">
        <v>180</v>
      </c>
      <c r="C50" s="197">
        <v>8929737</v>
      </c>
      <c r="D50" s="197">
        <v>12279161</v>
      </c>
      <c r="E50" s="198"/>
    </row>
    <row r="51" spans="1:5" s="199" customFormat="1" ht="14.25" customHeight="1">
      <c r="A51" s="195" t="s">
        <v>1701</v>
      </c>
      <c r="B51" s="196">
        <v>190</v>
      </c>
      <c r="C51" s="197">
        <v>5031519</v>
      </c>
      <c r="D51" s="197">
        <v>645934</v>
      </c>
      <c r="E51" s="198"/>
    </row>
    <row r="52" spans="1:5" s="199" customFormat="1" ht="14.25" customHeight="1">
      <c r="A52" s="195" t="s">
        <v>1702</v>
      </c>
      <c r="B52" s="196">
        <v>200</v>
      </c>
      <c r="C52" s="197">
        <v>171656</v>
      </c>
      <c r="D52" s="197">
        <v>235066</v>
      </c>
      <c r="E52" s="198"/>
    </row>
    <row r="53" spans="1:5" s="199" customFormat="1" ht="12.75" customHeight="1">
      <c r="A53" s="195" t="s">
        <v>106</v>
      </c>
      <c r="B53" s="196">
        <v>210</v>
      </c>
      <c r="C53" s="197">
        <v>115068</v>
      </c>
      <c r="D53" s="197">
        <v>114948</v>
      </c>
      <c r="E53" s="198"/>
    </row>
    <row r="54" spans="1:5" s="118" customFormat="1" ht="12.75">
      <c r="A54" s="181" t="s">
        <v>1077</v>
      </c>
      <c r="B54" s="182">
        <v>220</v>
      </c>
      <c r="C54" s="183">
        <v>45</v>
      </c>
      <c r="D54" s="183">
        <v>5047</v>
      </c>
      <c r="E54" s="120"/>
    </row>
    <row r="55" spans="1:5" s="118" customFormat="1" ht="16.5" customHeight="1">
      <c r="A55" s="181" t="s">
        <v>1078</v>
      </c>
      <c r="B55" s="182">
        <v>230</v>
      </c>
      <c r="C55" s="183">
        <v>6155324</v>
      </c>
      <c r="D55" s="183">
        <v>30298</v>
      </c>
      <c r="E55" s="120"/>
    </row>
    <row r="56" spans="1:5" ht="21.75" customHeight="1">
      <c r="A56" s="186" t="s">
        <v>88</v>
      </c>
      <c r="B56" s="177">
        <v>330</v>
      </c>
      <c r="C56" s="187">
        <f>SUM(C7+C28+C42+C43+C44+C45+C46)</f>
        <v>436747383</v>
      </c>
      <c r="D56" s="187">
        <f>SUM(D7+D28+D42+D43+D44+D45+D46)</f>
        <v>561474652</v>
      </c>
      <c r="E56" s="84"/>
    </row>
    <row r="57" spans="1:5" ht="12.75">
      <c r="A57" s="188"/>
      <c r="B57" s="167">
        <v>2</v>
      </c>
      <c r="C57" s="189"/>
      <c r="D57" s="189"/>
      <c r="E57" s="84"/>
    </row>
    <row r="58" spans="1:5" ht="28.5" customHeight="1">
      <c r="A58" s="173" t="s">
        <v>89</v>
      </c>
      <c r="B58" s="167"/>
      <c r="C58" s="189"/>
      <c r="D58" s="189"/>
      <c r="E58" s="84"/>
    </row>
    <row r="59" spans="1:5" ht="24" customHeight="1">
      <c r="A59" s="186" t="s">
        <v>115</v>
      </c>
      <c r="B59" s="167"/>
      <c r="C59" s="189"/>
      <c r="D59" s="189"/>
      <c r="E59" s="84"/>
    </row>
    <row r="60" spans="1:5" ht="21" customHeight="1">
      <c r="A60" s="166" t="s">
        <v>91</v>
      </c>
      <c r="B60" s="167">
        <v>340</v>
      </c>
      <c r="C60" s="180">
        <v>350278173</v>
      </c>
      <c r="D60" s="180">
        <v>444980831</v>
      </c>
      <c r="E60" s="84"/>
    </row>
    <row r="61" spans="1:5" ht="15.75" customHeight="1">
      <c r="A61" s="166" t="s">
        <v>92</v>
      </c>
      <c r="B61" s="167">
        <v>350</v>
      </c>
      <c r="C61" s="180">
        <v>201886</v>
      </c>
      <c r="D61" s="180">
        <v>26591911</v>
      </c>
      <c r="E61" s="84"/>
    </row>
    <row r="62" spans="1:5" ht="15" customHeight="1">
      <c r="A62" s="166" t="s">
        <v>93</v>
      </c>
      <c r="B62" s="167">
        <v>360</v>
      </c>
      <c r="C62" s="180">
        <v>40234643</v>
      </c>
      <c r="D62" s="180">
        <v>33819318</v>
      </c>
      <c r="E62" s="84"/>
    </row>
    <row r="63" spans="1:5" ht="26.25" customHeight="1">
      <c r="A63" s="185" t="s">
        <v>114</v>
      </c>
      <c r="B63" s="182"/>
      <c r="C63" s="183"/>
      <c r="D63" s="183"/>
      <c r="E63" s="84"/>
    </row>
    <row r="64" spans="1:5" ht="19.5" customHeight="1">
      <c r="A64" s="166" t="s">
        <v>107</v>
      </c>
      <c r="B64" s="167">
        <v>380</v>
      </c>
      <c r="C64" s="180">
        <v>27322896</v>
      </c>
      <c r="D64" s="180">
        <v>38066337</v>
      </c>
      <c r="E64" s="84"/>
    </row>
    <row r="65" spans="1:5" ht="15" customHeight="1">
      <c r="A65" s="166" t="s">
        <v>95</v>
      </c>
      <c r="B65" s="167">
        <v>390</v>
      </c>
      <c r="C65" s="180">
        <v>19680</v>
      </c>
      <c r="D65" s="180">
        <v>35982</v>
      </c>
      <c r="E65" s="84"/>
    </row>
    <row r="66" spans="1:5" ht="16.5" customHeight="1">
      <c r="A66" s="166" t="s">
        <v>96</v>
      </c>
      <c r="B66" s="167">
        <v>400</v>
      </c>
      <c r="C66" s="180">
        <v>9589977</v>
      </c>
      <c r="D66" s="180">
        <v>7458679</v>
      </c>
      <c r="E66" s="84"/>
    </row>
    <row r="67" spans="1:5" ht="15.75" customHeight="1">
      <c r="A67" s="166" t="s">
        <v>97</v>
      </c>
      <c r="B67" s="167">
        <v>410</v>
      </c>
      <c r="C67" s="180"/>
      <c r="D67" s="180"/>
      <c r="E67" s="84"/>
    </row>
    <row r="68" spans="1:5" ht="15.75" customHeight="1">
      <c r="A68" s="166" t="s">
        <v>98</v>
      </c>
      <c r="B68" s="167">
        <v>420</v>
      </c>
      <c r="C68" s="180">
        <v>1450247</v>
      </c>
      <c r="D68" s="180">
        <v>1809894</v>
      </c>
      <c r="E68" s="84"/>
    </row>
    <row r="69" spans="1:5" ht="15.75" customHeight="1">
      <c r="A69" s="166" t="s">
        <v>99</v>
      </c>
      <c r="B69" s="167">
        <v>430</v>
      </c>
      <c r="C69" s="180">
        <v>3063785</v>
      </c>
      <c r="D69" s="180">
        <v>3769703</v>
      </c>
      <c r="E69" s="84"/>
    </row>
    <row r="70" spans="1:5" ht="15" customHeight="1">
      <c r="A70" s="166" t="s">
        <v>100</v>
      </c>
      <c r="B70" s="167">
        <v>440</v>
      </c>
      <c r="C70" s="180">
        <v>4586096</v>
      </c>
      <c r="D70" s="180">
        <v>4941997</v>
      </c>
      <c r="E70" s="84"/>
    </row>
    <row r="71" spans="1:5" ht="30.75" customHeight="1">
      <c r="A71" s="186" t="s">
        <v>101</v>
      </c>
      <c r="B71" s="177">
        <v>540</v>
      </c>
      <c r="C71" s="187">
        <f>SUM(C60:C62,C64:C70)</f>
        <v>436747383</v>
      </c>
      <c r="D71" s="187">
        <f>SUM(D60:D62,D64:D70)</f>
        <v>561474652</v>
      </c>
      <c r="E71" s="84"/>
    </row>
    <row r="72" spans="1:5" ht="12.75">
      <c r="A72" s="166"/>
      <c r="B72" s="167"/>
      <c r="C72" s="180"/>
      <c r="D72" s="180"/>
      <c r="E72" s="84"/>
    </row>
    <row r="73" spans="1:5" ht="12.75">
      <c r="A73" s="373" t="s">
        <v>1085</v>
      </c>
      <c r="B73" s="167"/>
      <c r="C73" s="180"/>
      <c r="D73" s="180"/>
      <c r="E73" s="84"/>
    </row>
    <row r="74" spans="1:5" ht="12.75">
      <c r="A74" s="166"/>
      <c r="B74" s="167"/>
      <c r="C74" s="180"/>
      <c r="D74" s="180"/>
      <c r="E74" s="84"/>
    </row>
    <row r="75" spans="1:4" ht="12.75">
      <c r="A75" s="166"/>
      <c r="B75" s="167"/>
      <c r="C75" s="180"/>
      <c r="D75" s="180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 t="s">
        <v>40</v>
      </c>
      <c r="B78"/>
      <c r="C78"/>
      <c r="D78" t="s">
        <v>41</v>
      </c>
    </row>
    <row r="79" spans="1:4" ht="18.75" customHeight="1">
      <c r="A79"/>
      <c r="B79"/>
      <c r="C79"/>
      <c r="D79"/>
    </row>
    <row r="80" spans="1:4" ht="16.5" customHeight="1">
      <c r="A80"/>
      <c r="B80"/>
      <c r="C80"/>
      <c r="D80"/>
    </row>
    <row r="81" spans="1:4" ht="12.75">
      <c r="A81"/>
      <c r="B81"/>
      <c r="C81"/>
      <c r="D81"/>
    </row>
    <row r="82" spans="1:4" s="118" customFormat="1" ht="12.75">
      <c r="A82" t="s">
        <v>110</v>
      </c>
      <c r="B82"/>
      <c r="C82"/>
      <c r="D82" t="s">
        <v>43</v>
      </c>
    </row>
    <row r="84" spans="1:4" ht="12.75">
      <c r="A84"/>
      <c r="B84"/>
      <c r="C84"/>
      <c r="D84"/>
    </row>
    <row r="86" spans="1:4" ht="20.25" customHeight="1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1" spans="1:4" s="118" customFormat="1" ht="12.75">
      <c r="A91"/>
      <c r="B91"/>
      <c r="C91"/>
      <c r="D91"/>
    </row>
    <row r="92" spans="1:4" s="118" customFormat="1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</sheetData>
  <mergeCells count="2">
    <mergeCell ref="A1:D1"/>
    <mergeCell ref="A2:D2"/>
  </mergeCells>
  <printOptions/>
  <pageMargins left="1.14173228346456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52"/>
  <sheetViews>
    <sheetView workbookViewId="0" topLeftCell="A42">
      <selection activeCell="A48" sqref="A48"/>
    </sheetView>
  </sheetViews>
  <sheetFormatPr defaultColWidth="9.140625" defaultRowHeight="12.75"/>
  <cols>
    <col min="1" max="1" width="52.140625" style="128" customWidth="1"/>
    <col min="2" max="2" width="15.421875" style="128" customWidth="1"/>
    <col min="3" max="3" width="17.421875" style="128" customWidth="1"/>
    <col min="4" max="16384" width="9.28125" style="35" customWidth="1"/>
  </cols>
  <sheetData>
    <row r="2" spans="1:3" ht="15.75">
      <c r="A2" s="664" t="s">
        <v>1713</v>
      </c>
      <c r="B2" s="664"/>
      <c r="C2" s="664"/>
    </row>
    <row r="3" spans="1:3" ht="15">
      <c r="A3" s="342"/>
      <c r="B3" s="342"/>
      <c r="C3" s="342"/>
    </row>
    <row r="4" spans="1:3" ht="32.25" customHeight="1">
      <c r="A4" s="336" t="s">
        <v>1852</v>
      </c>
      <c r="B4" s="355" t="s">
        <v>1714</v>
      </c>
      <c r="C4" s="355" t="s">
        <v>45</v>
      </c>
    </row>
    <row r="5" spans="1:3" s="123" customFormat="1" ht="21.75" customHeight="1">
      <c r="A5" s="361" t="s">
        <v>46</v>
      </c>
      <c r="B5" s="361"/>
      <c r="C5" s="361"/>
    </row>
    <row r="6" spans="1:3" s="363" customFormat="1" ht="14.25">
      <c r="A6" s="362" t="s">
        <v>1715</v>
      </c>
      <c r="B6" s="362">
        <f>SUM(B7:B12)</f>
        <v>69637431</v>
      </c>
      <c r="C6" s="362">
        <f>SUM(C7:C12)</f>
        <v>48113897</v>
      </c>
    </row>
    <row r="7" spans="1:3" ht="12.75">
      <c r="A7" s="128" t="s">
        <v>1716</v>
      </c>
      <c r="B7" s="128">
        <v>1459006</v>
      </c>
      <c r="C7" s="128">
        <f>1064795-538210-3292</f>
        <v>523293</v>
      </c>
    </row>
    <row r="8" spans="1:3" ht="12.75">
      <c r="A8" s="128" t="s">
        <v>1717</v>
      </c>
      <c r="B8" s="128">
        <v>565602</v>
      </c>
      <c r="C8" s="128">
        <f>538210+3292</f>
        <v>541502</v>
      </c>
    </row>
    <row r="9" spans="1:3" ht="12.75">
      <c r="A9" s="128" t="s">
        <v>1718</v>
      </c>
      <c r="B9" s="128">
        <f>20855715+4796157+3096231</f>
        <v>28748103</v>
      </c>
      <c r="C9" s="128">
        <f>8655601+15029679+12416332+731477</f>
        <v>36833089</v>
      </c>
    </row>
    <row r="10" spans="1:3" ht="12.75">
      <c r="A10" s="128" t="s">
        <v>1719</v>
      </c>
      <c r="B10" s="128">
        <v>27761927</v>
      </c>
      <c r="C10" s="128">
        <v>6514948</v>
      </c>
    </row>
    <row r="11" spans="1:3" ht="12.75">
      <c r="A11" s="128" t="s">
        <v>1720</v>
      </c>
      <c r="B11" s="128">
        <v>11102793</v>
      </c>
      <c r="C11" s="128">
        <f>3701065-314194-682283-371465</f>
        <v>2333123</v>
      </c>
    </row>
    <row r="12" spans="1:3" ht="12.75">
      <c r="A12" s="128" t="s">
        <v>1721</v>
      </c>
      <c r="C12" s="128">
        <f>314194+682283+371465</f>
        <v>1367942</v>
      </c>
    </row>
    <row r="14" spans="1:3" s="363" customFormat="1" ht="14.25">
      <c r="A14" s="362" t="s">
        <v>1722</v>
      </c>
      <c r="B14" s="362">
        <f>SUM(B15:B18)</f>
        <v>59819790</v>
      </c>
      <c r="C14" s="362">
        <f>SUM(C15:C18)</f>
        <v>94341331</v>
      </c>
    </row>
    <row r="15" spans="1:3" ht="12.75">
      <c r="A15" s="128" t="s">
        <v>1723</v>
      </c>
      <c r="B15" s="128">
        <v>20602000</v>
      </c>
      <c r="C15" s="128">
        <v>30150000</v>
      </c>
    </row>
    <row r="16" spans="1:3" ht="12.75">
      <c r="A16" s="128" t="s">
        <v>1724</v>
      </c>
      <c r="B16" s="128">
        <v>1807022</v>
      </c>
      <c r="C16" s="128">
        <v>44500081</v>
      </c>
    </row>
    <row r="17" spans="1:3" ht="12.75">
      <c r="A17" s="128" t="s">
        <v>1725</v>
      </c>
      <c r="B17" s="128">
        <v>37410768</v>
      </c>
      <c r="C17" s="128">
        <v>18553250</v>
      </c>
    </row>
    <row r="18" spans="1:3" ht="12.75">
      <c r="A18" s="128" t="s">
        <v>1726</v>
      </c>
      <c r="C18" s="128">
        <v>1138000</v>
      </c>
    </row>
    <row r="20" spans="1:3" s="363" customFormat="1" ht="14.25">
      <c r="A20" s="362" t="s">
        <v>1727</v>
      </c>
      <c r="B20" s="362">
        <f>SUM(B21:B22)</f>
        <v>24687168</v>
      </c>
      <c r="C20" s="362">
        <f>SUM(C21:C22)</f>
        <v>20588168</v>
      </c>
    </row>
    <row r="21" spans="1:3" ht="12.75">
      <c r="A21" s="128" t="s">
        <v>1728</v>
      </c>
      <c r="B21" s="128">
        <v>545000</v>
      </c>
      <c r="C21" s="128">
        <v>2446000</v>
      </c>
    </row>
    <row r="22" spans="1:3" ht="12.75">
      <c r="A22" s="128" t="s">
        <v>1729</v>
      </c>
      <c r="B22" s="128">
        <v>24142168</v>
      </c>
      <c r="C22" s="128">
        <f>24142168-6000000</f>
        <v>18142168</v>
      </c>
    </row>
    <row r="24" spans="1:3" s="363" customFormat="1" ht="14.25">
      <c r="A24" s="362" t="s">
        <v>1730</v>
      </c>
      <c r="B24" s="362">
        <f>SUM(B25:B27)</f>
        <v>200772124</v>
      </c>
      <c r="C24" s="362">
        <f>SUM(C25:C27)</f>
        <v>182328607</v>
      </c>
    </row>
    <row r="25" spans="1:3" ht="12.75">
      <c r="A25" s="128" t="s">
        <v>1804</v>
      </c>
      <c r="B25" s="128">
        <v>15574440</v>
      </c>
      <c r="C25" s="128">
        <f>2051211+16568739</f>
        <v>18619950</v>
      </c>
    </row>
    <row r="26" spans="1:3" ht="12.75">
      <c r="A26" s="128" t="s">
        <v>1805</v>
      </c>
      <c r="B26" s="128">
        <v>164443738</v>
      </c>
      <c r="C26" s="128">
        <v>145856301</v>
      </c>
    </row>
    <row r="27" spans="1:3" ht="12.75">
      <c r="A27" s="364" t="s">
        <v>1806</v>
      </c>
      <c r="B27" s="128">
        <v>20753946</v>
      </c>
      <c r="C27" s="128">
        <v>17852356</v>
      </c>
    </row>
    <row r="28" ht="12.75">
      <c r="A28" s="364"/>
    </row>
    <row r="29" spans="1:3" s="123" customFormat="1" ht="12.75">
      <c r="A29" s="361" t="s">
        <v>1807</v>
      </c>
      <c r="B29" s="361">
        <f>B6+B14+B20+B24</f>
        <v>354916513</v>
      </c>
      <c r="C29" s="361">
        <f>C6+C14+C20+C24</f>
        <v>345372003</v>
      </c>
    </row>
    <row r="30" spans="1:3" s="123" customFormat="1" ht="12.75">
      <c r="A30" s="361"/>
      <c r="B30" s="361"/>
      <c r="C30" s="361"/>
    </row>
    <row r="31" spans="1:3" s="123" customFormat="1" ht="12.75">
      <c r="A31" s="361" t="s">
        <v>89</v>
      </c>
      <c r="B31" s="361"/>
      <c r="C31" s="361"/>
    </row>
    <row r="32" spans="1:3" s="363" customFormat="1" ht="14.25">
      <c r="A32" s="362" t="s">
        <v>1808</v>
      </c>
      <c r="B32" s="362">
        <f>SUM(B33:B35)</f>
        <v>4237330</v>
      </c>
      <c r="C32" s="362">
        <f>SUM(C33:C35)</f>
        <v>6434327</v>
      </c>
    </row>
    <row r="33" spans="1:3" ht="12.75">
      <c r="A33" s="128" t="s">
        <v>1809</v>
      </c>
      <c r="B33" s="128">
        <v>4069434</v>
      </c>
      <c r="C33" s="128">
        <v>4875298</v>
      </c>
    </row>
    <row r="34" spans="1:3" ht="12.75">
      <c r="A34" s="128" t="s">
        <v>1810</v>
      </c>
      <c r="B34" s="128">
        <v>167518</v>
      </c>
      <c r="C34" s="128">
        <v>9182</v>
      </c>
    </row>
    <row r="35" spans="1:3" ht="12.75">
      <c r="A35" s="128" t="s">
        <v>1811</v>
      </c>
      <c r="B35" s="128">
        <v>378</v>
      </c>
      <c r="C35" s="128">
        <v>1549847</v>
      </c>
    </row>
    <row r="37" spans="1:3" s="363" customFormat="1" ht="14.25">
      <c r="A37" s="362" t="s">
        <v>1812</v>
      </c>
      <c r="B37" s="362">
        <f>SUM(B38:B43)</f>
        <v>593145397</v>
      </c>
      <c r="C37" s="362">
        <f>SUM(C38:C43)</f>
        <v>557382475</v>
      </c>
    </row>
    <row r="38" spans="1:3" ht="12.75">
      <c r="A38" s="128" t="s">
        <v>1813</v>
      </c>
      <c r="B38" s="128">
        <v>218441487</v>
      </c>
      <c r="C38" s="128">
        <v>231559671</v>
      </c>
    </row>
    <row r="39" spans="1:3" ht="12.75">
      <c r="A39" s="128" t="s">
        <v>1814</v>
      </c>
      <c r="B39" s="128">
        <v>545000</v>
      </c>
      <c r="C39" s="128">
        <v>2446000</v>
      </c>
    </row>
    <row r="40" spans="1:3" ht="12.75">
      <c r="A40" s="128" t="s">
        <v>1815</v>
      </c>
      <c r="B40" s="128">
        <v>149244617</v>
      </c>
      <c r="C40" s="128">
        <f>122906079-50</f>
        <v>122906029</v>
      </c>
    </row>
    <row r="41" spans="1:3" ht="12.75">
      <c r="A41" s="128" t="s">
        <v>1816</v>
      </c>
      <c r="B41" s="128">
        <v>24142168</v>
      </c>
      <c r="C41" s="128">
        <f>24142168-6000000</f>
        <v>18142168</v>
      </c>
    </row>
    <row r="42" spans="1:3" ht="12.75">
      <c r="A42" s="128" t="s">
        <v>1817</v>
      </c>
      <c r="B42" s="128">
        <v>164443738</v>
      </c>
      <c r="C42" s="128">
        <v>145856301</v>
      </c>
    </row>
    <row r="43" spans="1:3" ht="12.75">
      <c r="A43" s="128" t="s">
        <v>1818</v>
      </c>
      <c r="B43" s="128">
        <v>36328387</v>
      </c>
      <c r="C43" s="128">
        <f>17852356+18619950</f>
        <v>36472306</v>
      </c>
    </row>
    <row r="45" spans="1:3" s="363" customFormat="1" ht="14.25">
      <c r="A45" s="362" t="s">
        <v>1819</v>
      </c>
      <c r="B45" s="362">
        <v>-242466214</v>
      </c>
      <c r="C45" s="362">
        <v>-218444799</v>
      </c>
    </row>
    <row r="46" spans="1:3" s="363" customFormat="1" ht="14.25">
      <c r="A46" s="362"/>
      <c r="B46" s="362"/>
      <c r="C46" s="362"/>
    </row>
    <row r="47" spans="1:3" s="123" customFormat="1" ht="12.75">
      <c r="A47" s="361" t="s">
        <v>1807</v>
      </c>
      <c r="B47" s="361">
        <f>B32+B37+B45</f>
        <v>354916513</v>
      </c>
      <c r="C47" s="361">
        <f>C32+C37+C45</f>
        <v>345372003</v>
      </c>
    </row>
    <row r="48" ht="21.75" customHeight="1">
      <c r="A48" s="373" t="s">
        <v>1085</v>
      </c>
    </row>
    <row r="50" ht="12.75">
      <c r="A50" s="128" t="s">
        <v>1820</v>
      </c>
    </row>
    <row r="52" ht="12.75">
      <c r="A52" s="128" t="s">
        <v>1821</v>
      </c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 Pērskatu departaments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Džoja Salnāja</dc:creator>
  <cp:keywords/>
  <dc:description/>
  <cp:lastModifiedBy>SilvijaL</cp:lastModifiedBy>
  <cp:lastPrinted>2002-11-28T13:36:33Z</cp:lastPrinted>
  <dcterms:created xsi:type="dcterms:W3CDTF">1999-04-25T09:47:04Z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