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gala variants -valsts-pasv." sheetId="1" r:id="rId1"/>
  </sheets>
  <definedNames>
    <definedName name="_xlnm.Print_Area" localSheetId="0">'gala variants -valsts-pasv.'!$A$1:$P$126</definedName>
    <definedName name="_xlnm.Print_Titles" localSheetId="0">'gala variants -valsts-pasv.'!$4:$6</definedName>
    <definedName name="Z_14A7D6E0_4F66_11D5_BB60_006097D19B5D_.wvu.PrintTitles" localSheetId="0" hidden="1">'gala variants -valsts-pasv.'!$4:$6</definedName>
    <definedName name="Z_14A7D6E0_4F66_11D5_BB60_006097D19B5D_.wvu.Rows" localSheetId="0" hidden="1">'gala variants -valsts-pasv.'!#REF!,'gala variants -valsts-pasv.'!#REF!,'gala variants -valsts-pasv.'!#REF!</definedName>
    <definedName name="Z_B5110E31_4F3C_11D5_85D9_00105A71C5B5_.wvu.PrintTitles" localSheetId="0" hidden="1">'gala variants -valsts-pasv.'!$4:$6</definedName>
    <definedName name="Z_B5110E31_4F3C_11D5_85D9_00105A71C5B5_.wvu.Rows" localSheetId="0" hidden="1">'gala variants -valsts-pasv.'!$11:$12,'gala variants -valsts-pasv.'!#REF!,'gala variants -valsts-pasv.'!#REF!,'gala variants -valsts-pasv.'!#REF!</definedName>
  </definedNames>
  <calcPr fullCalcOnLoad="1"/>
</workbook>
</file>

<file path=xl/comments1.xml><?xml version="1.0" encoding="utf-8"?>
<comments xmlns="http://schemas.openxmlformats.org/spreadsheetml/2006/main">
  <authors>
    <author>VinetaP</author>
  </authors>
  <commentList>
    <comment ref="F8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bez privat.ieņe'm. 2100500
</t>
        </r>
      </text>
    </comment>
  </commentList>
</comments>
</file>

<file path=xl/sharedStrings.xml><?xml version="1.0" encoding="utf-8"?>
<sst xmlns="http://schemas.openxmlformats.org/spreadsheetml/2006/main" count="167" uniqueCount="112">
  <si>
    <t>Rādītāji</t>
  </si>
  <si>
    <t>2000.gada izpilde</t>
  </si>
  <si>
    <t>Valsts - plāns</t>
  </si>
  <si>
    <t>Pašvaldības -plāns</t>
  </si>
  <si>
    <t>2001.gada plāns</t>
  </si>
  <si>
    <t>Pamatbudžets</t>
  </si>
  <si>
    <t>Speciālais</t>
  </si>
  <si>
    <t>Ziedojumi</t>
  </si>
  <si>
    <t>I. Kopbudžeta ieņēmumi - kopā</t>
  </si>
  <si>
    <t>Nodokļu ieņēmumi</t>
  </si>
  <si>
    <t>1.1.0.0.</t>
  </si>
  <si>
    <t>Iedzīvotāju ienākuma nodoklis</t>
  </si>
  <si>
    <t>bruto</t>
  </si>
  <si>
    <t>pārskaitīts VOVA atlikums par iepr.gadu</t>
  </si>
  <si>
    <t>1.2.0.0.</t>
  </si>
  <si>
    <t>Uzņēmumu ienākuma nodoklis</t>
  </si>
  <si>
    <t>Sociālās apdrošināšanas iemaksas</t>
  </si>
  <si>
    <t>Nekustamā īpašuma nodoklis</t>
  </si>
  <si>
    <t>4.1.0.0.</t>
  </si>
  <si>
    <t>Īpašuma nodoklis</t>
  </si>
  <si>
    <t>4.3.0.0.</t>
  </si>
  <si>
    <t>Zemes nodoklis (parādu maksājumi)</t>
  </si>
  <si>
    <t>5.1.0.0.</t>
  </si>
  <si>
    <t>Pievienotās vērtības nodoklis</t>
  </si>
  <si>
    <t>5.2.0.0</t>
  </si>
  <si>
    <t>Akcīzes nodoklis</t>
  </si>
  <si>
    <t>5.5.3.0.</t>
  </si>
  <si>
    <t>Dabas resursu nodoklis</t>
  </si>
  <si>
    <t>Iekšējie nodokļi par pakalpojumiem un precēm</t>
  </si>
  <si>
    <t>Muitas nodoklis</t>
  </si>
  <si>
    <t>Nenodokļu ieņēmumi</t>
  </si>
  <si>
    <t>8.0.0.0.</t>
  </si>
  <si>
    <t>Ieņēmumi no uzņēmējdarbības un īpašuma</t>
  </si>
  <si>
    <t>mīnuss pašvaldību % maksājumi par aizņēmumie no Valsts kases</t>
  </si>
  <si>
    <t>9.0.0.0.</t>
  </si>
  <si>
    <t>Valsts (pašvaldību) nodevas un maksājumi</t>
  </si>
  <si>
    <t>10.0.0.0.</t>
  </si>
  <si>
    <t>Sodi un sankcijas</t>
  </si>
  <si>
    <t>12.0.0.0.</t>
  </si>
  <si>
    <t>Pārējie nenodokļu maksājumi</t>
  </si>
  <si>
    <t>13.0.0.0.</t>
  </si>
  <si>
    <t>Ieņēmumi no valsts (pašvaldības) nekustamā īpašuma pārdošanas</t>
  </si>
  <si>
    <t>15.0.0.</t>
  </si>
  <si>
    <t>Ieņēmumi no zemes īpašuma pārdošanas</t>
  </si>
  <si>
    <t>Ārvalstu finansu palīdzība</t>
  </si>
  <si>
    <t>Saņemtie ziedojumi un dāvinājumi</t>
  </si>
  <si>
    <t>9.5.0.0.</t>
  </si>
  <si>
    <t>Maksājumi par budžeta iestāžu sniegtajiem maksas pakalpojumiem un citi pašu ieņēmumi</t>
  </si>
  <si>
    <t>14.0.0.0.</t>
  </si>
  <si>
    <t>Citu valdības līmeņu maksājumi un norēķini</t>
  </si>
  <si>
    <t>mīnuss valsts pamatbudžeta dotācijas un mērķdotācijas</t>
  </si>
  <si>
    <t>ekon.min/.privatiz.ieņēm.</t>
  </si>
  <si>
    <t>II. Kopbudžeta izdevumi pēc valdības funkcijām un tīrie aizdevumi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</si>
  <si>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</si>
  <si>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</si>
  <si>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</si>
  <si>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</si>
  <si>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</si>
  <si>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</si>
  <si>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</si>
  <si>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>Brīvais laiks, sports, kultūra un reliģija</t>
  </si>
  <si>
    <t>Kurināmā un enerģētikas dienesti un pasākumi</t>
  </si>
  <si>
    <t>Lauksaimniecība (zemkopība), mežkopība un zvejniecība</t>
  </si>
  <si>
    <t>Transports, sakari</t>
  </si>
  <si>
    <t>maksājumi pašv.autoceļu fondam</t>
  </si>
  <si>
    <t>Pārējā ekonomiskā darbība un dienesti</t>
  </si>
  <si>
    <t>Pārējie izdevumi, kas nav atspoguļoti pamatgrupās</t>
  </si>
  <si>
    <t xml:space="preserve">III. Kopbudžeta izdevumi pēc budžeta izdevumu ekonomiskās klasifikācijas un tīrie aizdevumi </t>
  </si>
  <si>
    <t xml:space="preserve">Kopbudžeta izdevumi  </t>
  </si>
  <si>
    <t>Uzturēšanas izdevumi</t>
  </si>
  <si>
    <t>Kārtējie izdevumi</t>
  </si>
  <si>
    <t>Atalgojumi</t>
  </si>
  <si>
    <t xml:space="preserve">Valsts sociālās apdrošināšanas obligātās iemaksas </t>
  </si>
  <si>
    <t>Komandējumu un dienesta braucienu izdevumi</t>
  </si>
  <si>
    <t>Pakalpojumu apmaksa</t>
  </si>
  <si>
    <t xml:space="preserve">Materiālu, energoresursu, ūdens un inventāra vērtībā līdz 50 Ls par 1 vienību iegāde </t>
  </si>
  <si>
    <t>Grāmatu un žurnālu iegāde</t>
  </si>
  <si>
    <t>Aizņēmuma atmaksa pamatbudžetā</t>
  </si>
  <si>
    <t>Maksājumi par aizņēmumiem un kredītiem</t>
  </si>
  <si>
    <t>Subsīdijas un dotācijas - neto</t>
  </si>
  <si>
    <t xml:space="preserve"> bruto</t>
  </si>
  <si>
    <t>Izdevumi kapitālieguldījumiem</t>
  </si>
  <si>
    <t>Kapitālie izdevumi</t>
  </si>
  <si>
    <t>Zemes iegāde</t>
  </si>
  <si>
    <t>Investīcijas</t>
  </si>
  <si>
    <t>Kopbudžeta tīrie aizdevumi</t>
  </si>
  <si>
    <t>Kopbudžeta aizdevumi</t>
  </si>
  <si>
    <t>Kopbudžeta aizdevumu atmaksas</t>
  </si>
  <si>
    <t>- 2000.gada nesadalītais atlikums + 2001.gada nesadalītais atlikums</t>
  </si>
  <si>
    <t xml:space="preserve">mīnuss valats budžeta transferts Autoceļu fondam </t>
  </si>
  <si>
    <t>Iegūstošā rūpniecība, rūpniecība, celtniecība, derīgie izrakteņi (izņemot kurināmo)</t>
  </si>
  <si>
    <t>2001.gada izpilde</t>
  </si>
  <si>
    <t>Valsts budžeta mērķdotācijas investīcijām pašvaldībām</t>
  </si>
  <si>
    <t>mīnuss valsts budžeta mērķdotācijas pašvaldībām</t>
  </si>
  <si>
    <t>mīnuss valsts budžeta dotācijas pašvaldībām</t>
  </si>
  <si>
    <t>mīnuss maksājumi pašv.autoceļu fondam</t>
  </si>
  <si>
    <t>mīnuss valsts budžeta tīrie aizdevumi pašvaldībām</t>
  </si>
  <si>
    <t>mīnuss valsts budžeta aizdevumi pašvaldībām</t>
  </si>
  <si>
    <t>mīnuss aizdevumu atmaksas no pašvaldībām</t>
  </si>
  <si>
    <t>mīnuss kredītu % nomaksa par pašvaldību ņemtajiem aizņēmumiem no Valsts kases</t>
  </si>
  <si>
    <t>x</t>
  </si>
  <si>
    <t>Valsts budžeta tranzīta pārskaitījumi</t>
  </si>
  <si>
    <t xml:space="preserve">mīnuss valsts budžeta mērķdotācijas un dotācijas pašvaldībām </t>
  </si>
  <si>
    <t>mīnuss tīrie aizdevumi pašvaldībām</t>
  </si>
  <si>
    <t>Konsolidētā kopbudžeta izpilde 2001.gadā</t>
  </si>
  <si>
    <t>(latos)</t>
  </si>
  <si>
    <t>1.pielikums</t>
  </si>
  <si>
    <t>Valsts budžets- izpilde</t>
  </si>
  <si>
    <t>Pašvaldību budžets -izpilde</t>
  </si>
  <si>
    <t>citiem budžetiem sadalāmie nodokļi</t>
  </si>
  <si>
    <t>Ārpusvalsts maksājumi</t>
  </si>
  <si>
    <t>Fiskālais deficīts (-) vai pārpalikums (+)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</si>
</sst>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1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" fontId="0" fillId="0" borderId="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center" wrapText="1"/>
    </xf>
    <xf numFmtId="3" fontId="3" fillId="0" borderId="0" xfId="19" applyNumberFormat="1" applyFont="1" applyFill="1" applyBorder="1" applyAlignment="1">
      <alignment/>
    </xf>
    <xf numFmtId="3" fontId="7" fillId="0" borderId="0" xfId="19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workbookViewId="0" topLeftCell="B1">
      <pane xSplit="1" ySplit="6" topLeftCell="J110" activePane="bottomRight" state="frozen"/>
      <selection pane="topLeft" activeCell="B1" sqref="B1"/>
      <selection pane="topRight" activeCell="C1" sqref="C1"/>
      <selection pane="bottomLeft" activeCell="B7" sqref="B7"/>
      <selection pane="bottomRight" activeCell="L118" sqref="L118"/>
    </sheetView>
  </sheetViews>
  <sheetFormatPr defaultColWidth="9.140625" defaultRowHeight="12.75"/>
  <cols>
    <col min="1" max="1" width="0" style="9" hidden="1" customWidth="1"/>
    <col min="2" max="2" width="31.8515625" style="13" customWidth="1"/>
    <col min="3" max="3" width="15.00390625" style="2" customWidth="1"/>
    <col min="4" max="4" width="15.57421875" style="13" customWidth="1"/>
    <col min="5" max="5" width="14.140625" style="2" hidden="1" customWidth="1"/>
    <col min="6" max="6" width="11.7109375" style="2" hidden="1" customWidth="1"/>
    <col min="7" max="7" width="13.00390625" style="2" hidden="1" customWidth="1"/>
    <col min="8" max="8" width="12.140625" style="2" hidden="1" customWidth="1"/>
    <col min="9" max="9" width="10.8515625" style="2" hidden="1" customWidth="1"/>
    <col min="10" max="10" width="15.57421875" style="13" customWidth="1"/>
    <col min="11" max="11" width="14.140625" style="2" customWidth="1"/>
    <col min="12" max="13" width="11.7109375" style="2" customWidth="1"/>
    <col min="14" max="14" width="13.00390625" style="2" customWidth="1"/>
    <col min="15" max="15" width="12.140625" style="2" customWidth="1"/>
    <col min="16" max="16" width="10.8515625" style="2" customWidth="1"/>
    <col min="17" max="17" width="9.140625" style="13" customWidth="1"/>
    <col min="18" max="18" width="13.140625" style="13" customWidth="1"/>
    <col min="19" max="19" width="10.140625" style="13" bestFit="1" customWidth="1"/>
    <col min="20" max="16384" width="9.140625" style="13" customWidth="1"/>
  </cols>
  <sheetData>
    <row r="1" ht="15.75">
      <c r="P1" s="14" t="s">
        <v>106</v>
      </c>
    </row>
    <row r="2" spans="2:16" ht="15.75">
      <c r="B2" s="79" t="s">
        <v>104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2:16" ht="15">
      <c r="B3" s="15"/>
      <c r="C3" s="16"/>
      <c r="D3" s="15"/>
      <c r="J3" s="15"/>
      <c r="P3" s="17" t="s">
        <v>105</v>
      </c>
    </row>
    <row r="4" spans="2:16" ht="12.75">
      <c r="B4" s="80" t="s">
        <v>0</v>
      </c>
      <c r="C4" s="82" t="s">
        <v>1</v>
      </c>
      <c r="D4" s="19"/>
      <c r="E4" s="78" t="s">
        <v>2</v>
      </c>
      <c r="F4" s="78"/>
      <c r="G4" s="78" t="s">
        <v>3</v>
      </c>
      <c r="H4" s="78"/>
      <c r="I4" s="78"/>
      <c r="J4" s="19"/>
      <c r="K4" s="78" t="s">
        <v>107</v>
      </c>
      <c r="L4" s="78"/>
      <c r="M4" s="78"/>
      <c r="N4" s="78" t="s">
        <v>108</v>
      </c>
      <c r="O4" s="78"/>
      <c r="P4" s="78"/>
    </row>
    <row r="5" spans="2:16" s="9" customFormat="1" ht="12.75">
      <c r="B5" s="81"/>
      <c r="C5" s="83"/>
      <c r="D5" s="18" t="s">
        <v>4</v>
      </c>
      <c r="E5" s="1" t="s">
        <v>5</v>
      </c>
      <c r="F5" s="1" t="s">
        <v>6</v>
      </c>
      <c r="G5" s="1" t="s">
        <v>5</v>
      </c>
      <c r="H5" s="1" t="s">
        <v>6</v>
      </c>
      <c r="I5" s="1" t="s">
        <v>7</v>
      </c>
      <c r="J5" s="18" t="s">
        <v>91</v>
      </c>
      <c r="K5" s="1" t="s">
        <v>5</v>
      </c>
      <c r="L5" s="1" t="s">
        <v>6</v>
      </c>
      <c r="M5" s="1" t="s">
        <v>7</v>
      </c>
      <c r="N5" s="1" t="s">
        <v>5</v>
      </c>
      <c r="O5" s="1" t="s">
        <v>6</v>
      </c>
      <c r="P5" s="1" t="s">
        <v>7</v>
      </c>
    </row>
    <row r="6" spans="1:16" s="23" customFormat="1" ht="13.5" customHeight="1">
      <c r="A6" s="20"/>
      <c r="B6" s="21">
        <v>1</v>
      </c>
      <c r="C6" s="22">
        <v>2</v>
      </c>
      <c r="D6" s="21">
        <v>3</v>
      </c>
      <c r="E6" s="7"/>
      <c r="F6" s="7"/>
      <c r="G6" s="7"/>
      <c r="H6" s="7"/>
      <c r="I6" s="7"/>
      <c r="J6" s="21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</row>
    <row r="7" spans="2:10" ht="12.75">
      <c r="B7" s="24"/>
      <c r="C7" s="25"/>
      <c r="D7" s="24"/>
      <c r="J7" s="24"/>
    </row>
    <row r="8" spans="2:16" ht="12.75">
      <c r="B8" s="26" t="s">
        <v>8</v>
      </c>
      <c r="C8" s="27">
        <f>SUM(C9,C30,C41,C42,C43,C44)</f>
        <v>1623005765</v>
      </c>
      <c r="D8" s="27">
        <f>SUM(E8:I8)</f>
        <v>1785114994</v>
      </c>
      <c r="E8" s="3">
        <f>SUM(E9,E30,E41,E42,E43,E44)</f>
        <v>792370309</v>
      </c>
      <c r="F8" s="3">
        <f>SUM(F9,F30,F41,F42,F43,F44)</f>
        <v>660262900</v>
      </c>
      <c r="G8" s="3">
        <f>SUM(G9,G30,G41,G42,G43,G44)</f>
        <v>307025714</v>
      </c>
      <c r="H8" s="3">
        <f>SUM(H9,H30,H41,H42,H43,H44)</f>
        <v>19425320</v>
      </c>
      <c r="I8" s="3">
        <f>SUM(I9,I30,I41,I42,I43,I44)</f>
        <v>6030751</v>
      </c>
      <c r="J8" s="27">
        <f>SUM(K8:P8)</f>
        <v>1696897176</v>
      </c>
      <c r="K8" s="3">
        <f aca="true" t="shared" si="0" ref="K8:P8">SUM(K9,K30,K41,K42,K43,K44)</f>
        <v>735655283</v>
      </c>
      <c r="L8" s="3">
        <f t="shared" si="0"/>
        <v>637915498</v>
      </c>
      <c r="M8" s="3">
        <f t="shared" si="0"/>
        <v>4660799</v>
      </c>
      <c r="N8" s="3">
        <f t="shared" si="0"/>
        <v>298581160</v>
      </c>
      <c r="O8" s="3">
        <f t="shared" si="0"/>
        <v>14552408</v>
      </c>
      <c r="P8" s="3">
        <f t="shared" si="0"/>
        <v>5532028</v>
      </c>
    </row>
    <row r="9" spans="2:16" ht="12.75">
      <c r="B9" s="28" t="s">
        <v>9</v>
      </c>
      <c r="C9" s="27">
        <f>SUM(C10,C15,C16,C17,C18,C21,C22,C23,C24,C27,C28)</f>
        <v>1373319064</v>
      </c>
      <c r="D9" s="27">
        <f>SUM(E9:I9)</f>
        <v>1507060341</v>
      </c>
      <c r="E9" s="2">
        <f>SUM(E10:E28)</f>
        <v>615019797</v>
      </c>
      <c r="F9" s="2">
        <f>SUM(F10,F15,F16,F17,F18,F21,F22,F23,F24,F27,F28)</f>
        <v>637745447</v>
      </c>
      <c r="G9" s="2">
        <f>SUM(G10,G15,G16,G17,G18,G21,G22,G23,G24,G27,G28)</f>
        <v>252223304</v>
      </c>
      <c r="H9" s="2">
        <f>SUM(H10:H28)</f>
        <v>2071793</v>
      </c>
      <c r="I9" s="2">
        <f>SUM(I10:I28)</f>
        <v>0</v>
      </c>
      <c r="J9" s="27">
        <f>SUM(K9:P9)</f>
        <v>1452292407</v>
      </c>
      <c r="K9" s="3">
        <f>SUM(K15,K18,K22,K23,K24,K27,K28)</f>
        <v>584857992</v>
      </c>
      <c r="L9" s="3">
        <f>SUM(L10,L15,L16,L17,L18,L21,L22,L23,L24,L27,L28)</f>
        <v>613680387</v>
      </c>
      <c r="M9" s="3"/>
      <c r="N9" s="3">
        <f>SUM(N10,N15,N16,N17,N18,N21,N22,N23,N24,N27,N28)</f>
        <v>251360041</v>
      </c>
      <c r="O9" s="3">
        <f>SUM(O10,O15,O16,O17,O18,O21,O22,O23,O24,O27,O28)</f>
        <v>2393987</v>
      </c>
      <c r="P9" s="3">
        <f>SUM(P10:P28)</f>
        <v>0</v>
      </c>
    </row>
    <row r="10" spans="1:16" s="10" customFormat="1" ht="12.75">
      <c r="A10" s="29" t="s">
        <v>10</v>
      </c>
      <c r="B10" s="10" t="s">
        <v>11</v>
      </c>
      <c r="C10" s="3">
        <f>C13+C14</f>
        <v>261160874</v>
      </c>
      <c r="D10" s="3">
        <f>SUM(E10:I10)</f>
        <v>285470021</v>
      </c>
      <c r="E10" s="6"/>
      <c r="F10" s="6">
        <f>F13</f>
        <v>81519197</v>
      </c>
      <c r="G10" s="6">
        <f>G13+G14</f>
        <v>203950824</v>
      </c>
      <c r="H10" s="6"/>
      <c r="I10" s="6"/>
      <c r="J10" s="3">
        <f>SUM(K10:P10)</f>
        <v>283758175</v>
      </c>
      <c r="K10" s="6"/>
      <c r="L10" s="6">
        <f>L13</f>
        <v>79770952</v>
      </c>
      <c r="M10" s="6"/>
      <c r="N10" s="6">
        <f>N13+N14</f>
        <v>203987223</v>
      </c>
      <c r="O10" s="6"/>
      <c r="P10" s="6"/>
    </row>
    <row r="11" spans="2:10" ht="12.75" customHeight="1" hidden="1">
      <c r="B11" s="30" t="s">
        <v>12</v>
      </c>
      <c r="C11" s="31"/>
      <c r="D11" s="27"/>
      <c r="J11" s="27"/>
    </row>
    <row r="12" spans="2:10" ht="12.75" customHeight="1" hidden="1">
      <c r="B12" s="32" t="s">
        <v>13</v>
      </c>
      <c r="C12" s="33"/>
      <c r="D12" s="27"/>
      <c r="J12" s="27"/>
    </row>
    <row r="13" spans="1:16" s="23" customFormat="1" ht="14.25" customHeight="1">
      <c r="A13" s="20"/>
      <c r="B13" s="20" t="s">
        <v>12</v>
      </c>
      <c r="C13" s="34">
        <v>260105644</v>
      </c>
      <c r="D13" s="8">
        <f>SUM(F13:G13)</f>
        <v>285001056</v>
      </c>
      <c r="E13" s="8"/>
      <c r="F13" s="8">
        <v>81519197</v>
      </c>
      <c r="G13" s="8">
        <v>203481859</v>
      </c>
      <c r="H13" s="8"/>
      <c r="I13" s="8"/>
      <c r="J13" s="8">
        <f>SUM(L13:N13)</f>
        <v>283289210</v>
      </c>
      <c r="K13" s="8"/>
      <c r="L13" s="8">
        <v>79770952</v>
      </c>
      <c r="M13" s="8"/>
      <c r="N13" s="8">
        <v>203518258</v>
      </c>
      <c r="O13" s="8"/>
      <c r="P13" s="8"/>
    </row>
    <row r="14" spans="1:16" s="37" customFormat="1" ht="22.5">
      <c r="A14" s="35"/>
      <c r="B14" s="36" t="s">
        <v>88</v>
      </c>
      <c r="C14" s="12">
        <v>1055230</v>
      </c>
      <c r="D14" s="5">
        <f>SUM(G14)</f>
        <v>468965</v>
      </c>
      <c r="E14" s="5"/>
      <c r="F14" s="5"/>
      <c r="G14" s="5">
        <f>-1055230+1524195</f>
        <v>468965</v>
      </c>
      <c r="H14" s="5"/>
      <c r="I14" s="5"/>
      <c r="J14" s="5">
        <f>SUM(N14)</f>
        <v>468965</v>
      </c>
      <c r="K14" s="5"/>
      <c r="L14" s="5"/>
      <c r="M14" s="5"/>
      <c r="N14" s="5">
        <f>-1055230+1524195</f>
        <v>468965</v>
      </c>
      <c r="O14" s="5"/>
      <c r="P14" s="5"/>
    </row>
    <row r="15" spans="1:16" s="10" customFormat="1" ht="12.75">
      <c r="A15" s="29" t="s">
        <v>14</v>
      </c>
      <c r="B15" s="10" t="s">
        <v>15</v>
      </c>
      <c r="C15" s="3">
        <v>73720569</v>
      </c>
      <c r="D15" s="3">
        <f aca="true" t="shared" si="1" ref="D15:D28">SUM(E15:I15)</f>
        <v>98046000</v>
      </c>
      <c r="E15" s="6">
        <v>98046000</v>
      </c>
      <c r="F15" s="6"/>
      <c r="G15" s="6"/>
      <c r="H15" s="6"/>
      <c r="I15" s="6"/>
      <c r="J15" s="3">
        <f aca="true" t="shared" si="2" ref="J15:J28">SUM(K15:P15)</f>
        <v>98416900</v>
      </c>
      <c r="K15" s="6">
        <v>98416900</v>
      </c>
      <c r="L15" s="6"/>
      <c r="M15" s="6"/>
      <c r="N15" s="6"/>
      <c r="O15" s="6"/>
      <c r="P15" s="6"/>
    </row>
    <row r="16" spans="1:16" s="10" customFormat="1" ht="12.75">
      <c r="A16" s="29"/>
      <c r="B16" s="10" t="s">
        <v>16</v>
      </c>
      <c r="C16" s="3">
        <v>466369991</v>
      </c>
      <c r="D16" s="3">
        <f t="shared" si="1"/>
        <v>495585390</v>
      </c>
      <c r="E16" s="6"/>
      <c r="F16" s="6">
        <v>495585390</v>
      </c>
      <c r="G16" s="6"/>
      <c r="H16" s="6"/>
      <c r="I16" s="6"/>
      <c r="J16" s="3">
        <f t="shared" si="2"/>
        <v>481279279</v>
      </c>
      <c r="K16" s="6"/>
      <c r="L16" s="6">
        <v>481279279</v>
      </c>
      <c r="M16" s="6"/>
      <c r="N16" s="6"/>
      <c r="O16" s="6"/>
      <c r="P16" s="6"/>
    </row>
    <row r="17" spans="1:16" s="10" customFormat="1" ht="12.75">
      <c r="A17" s="29"/>
      <c r="B17" s="10" t="s">
        <v>17</v>
      </c>
      <c r="C17" s="3">
        <v>38312338</v>
      </c>
      <c r="D17" s="3">
        <f t="shared" si="1"/>
        <v>44063159</v>
      </c>
      <c r="E17" s="6"/>
      <c r="F17" s="6"/>
      <c r="G17" s="6">
        <v>44063159</v>
      </c>
      <c r="H17" s="6"/>
      <c r="I17" s="6"/>
      <c r="J17" s="3">
        <f t="shared" si="2"/>
        <v>43759914</v>
      </c>
      <c r="K17" s="6"/>
      <c r="L17" s="6"/>
      <c r="M17" s="6"/>
      <c r="N17" s="6">
        <v>43759914</v>
      </c>
      <c r="O17" s="6"/>
      <c r="P17" s="6"/>
    </row>
    <row r="18" spans="1:16" s="10" customFormat="1" ht="12.75">
      <c r="A18" s="29" t="s">
        <v>18</v>
      </c>
      <c r="B18" s="10" t="s">
        <v>19</v>
      </c>
      <c r="C18" s="3">
        <v>4596242</v>
      </c>
      <c r="D18" s="3">
        <f t="shared" si="1"/>
        <v>1763756</v>
      </c>
      <c r="E18" s="6"/>
      <c r="F18" s="6"/>
      <c r="G18" s="6">
        <v>1763756</v>
      </c>
      <c r="H18" s="6"/>
      <c r="I18" s="6"/>
      <c r="J18" s="3">
        <f>J19+J20</f>
        <v>1281631</v>
      </c>
      <c r="K18" s="6">
        <f>K19-K20</f>
        <v>0</v>
      </c>
      <c r="L18" s="6"/>
      <c r="M18" s="6"/>
      <c r="N18" s="6">
        <f>N19-N20</f>
        <v>1281631</v>
      </c>
      <c r="O18" s="6"/>
      <c r="P18" s="6"/>
    </row>
    <row r="19" spans="1:16" s="23" customFormat="1" ht="11.25">
      <c r="A19" s="20"/>
      <c r="B19" s="20" t="s">
        <v>12</v>
      </c>
      <c r="C19" s="38" t="s">
        <v>100</v>
      </c>
      <c r="D19" s="38" t="s">
        <v>100</v>
      </c>
      <c r="E19" s="8"/>
      <c r="F19" s="8"/>
      <c r="G19" s="8"/>
      <c r="H19" s="8"/>
      <c r="I19" s="8"/>
      <c r="J19" s="8">
        <f>SUM(K19:N19)</f>
        <v>1281631</v>
      </c>
      <c r="K19" s="8">
        <v>-497291</v>
      </c>
      <c r="L19" s="8"/>
      <c r="M19" s="8"/>
      <c r="N19" s="8">
        <v>1778922</v>
      </c>
      <c r="O19" s="8"/>
      <c r="P19" s="8"/>
    </row>
    <row r="20" spans="1:16" s="37" customFormat="1" ht="11.25">
      <c r="A20" s="35"/>
      <c r="B20" s="39" t="s">
        <v>109</v>
      </c>
      <c r="C20" s="40" t="s">
        <v>100</v>
      </c>
      <c r="D20" s="40" t="s">
        <v>100</v>
      </c>
      <c r="E20" s="5"/>
      <c r="F20" s="5"/>
      <c r="G20" s="5"/>
      <c r="H20" s="5"/>
      <c r="I20" s="5"/>
      <c r="J20" s="5">
        <f>SUM(K20:N20)</f>
        <v>0</v>
      </c>
      <c r="K20" s="5">
        <v>-497291</v>
      </c>
      <c r="L20" s="5"/>
      <c r="M20" s="5"/>
      <c r="N20" s="5">
        <v>497291</v>
      </c>
      <c r="O20" s="5"/>
      <c r="P20" s="5"/>
    </row>
    <row r="21" spans="1:16" s="10" customFormat="1" ht="12.75">
      <c r="A21" s="29" t="s">
        <v>20</v>
      </c>
      <c r="B21" s="10" t="s">
        <v>21</v>
      </c>
      <c r="C21" s="3">
        <v>1299751</v>
      </c>
      <c r="D21" s="3">
        <f t="shared" si="1"/>
        <v>1245662</v>
      </c>
      <c r="E21" s="6"/>
      <c r="F21" s="6"/>
      <c r="G21" s="6">
        <v>1245662</v>
      </c>
      <c r="H21" s="6"/>
      <c r="I21" s="6"/>
      <c r="J21" s="3">
        <f t="shared" si="2"/>
        <v>1042569</v>
      </c>
      <c r="K21" s="6"/>
      <c r="L21" s="6"/>
      <c r="M21" s="6"/>
      <c r="N21" s="6">
        <v>1042569</v>
      </c>
      <c r="O21" s="6"/>
      <c r="P21" s="6"/>
    </row>
    <row r="22" spans="1:16" s="10" customFormat="1" ht="12.75">
      <c r="A22" s="29" t="s">
        <v>22</v>
      </c>
      <c r="B22" s="10" t="s">
        <v>23</v>
      </c>
      <c r="C22" s="3">
        <v>337866713</v>
      </c>
      <c r="D22" s="3">
        <f t="shared" si="1"/>
        <v>368947657</v>
      </c>
      <c r="E22" s="6">
        <v>368947657</v>
      </c>
      <c r="F22" s="6"/>
      <c r="G22" s="6"/>
      <c r="H22" s="6"/>
      <c r="I22" s="6"/>
      <c r="J22" s="3">
        <f t="shared" si="2"/>
        <v>350571520</v>
      </c>
      <c r="K22" s="6">
        <v>350571520</v>
      </c>
      <c r="L22" s="6"/>
      <c r="M22" s="6"/>
      <c r="N22" s="6"/>
      <c r="O22" s="6"/>
      <c r="P22" s="6"/>
    </row>
    <row r="23" spans="1:16" s="10" customFormat="1" ht="12.75">
      <c r="A23" s="29" t="s">
        <v>24</v>
      </c>
      <c r="B23" s="10" t="s">
        <v>25</v>
      </c>
      <c r="C23" s="3">
        <v>164037483</v>
      </c>
      <c r="D23" s="3">
        <f t="shared" si="1"/>
        <v>184533000</v>
      </c>
      <c r="E23" s="6">
        <v>132843140</v>
      </c>
      <c r="F23" s="6">
        <f>49067000+350000+1608660+664200</f>
        <v>51689860</v>
      </c>
      <c r="G23" s="6"/>
      <c r="H23" s="6"/>
      <c r="I23" s="6"/>
      <c r="J23" s="3">
        <f t="shared" si="2"/>
        <v>160973126</v>
      </c>
      <c r="K23" s="6">
        <v>116486032</v>
      </c>
      <c r="L23" s="6">
        <v>44487094</v>
      </c>
      <c r="M23" s="6"/>
      <c r="N23" s="6"/>
      <c r="O23" s="6"/>
      <c r="P23" s="6"/>
    </row>
    <row r="24" spans="1:16" s="10" customFormat="1" ht="12.75">
      <c r="A24" s="29" t="s">
        <v>26</v>
      </c>
      <c r="B24" s="10" t="s">
        <v>27</v>
      </c>
      <c r="C24" s="3">
        <v>10364508</v>
      </c>
      <c r="D24" s="3">
        <f t="shared" si="1"/>
        <v>11022793</v>
      </c>
      <c r="E24" s="6"/>
      <c r="F24" s="6">
        <v>8951000</v>
      </c>
      <c r="G24" s="6"/>
      <c r="H24" s="6">
        <v>2071793</v>
      </c>
      <c r="I24" s="6"/>
      <c r="J24" s="3">
        <f t="shared" si="2"/>
        <v>10537049</v>
      </c>
      <c r="K24" s="6">
        <f>K25-K26</f>
        <v>0</v>
      </c>
      <c r="L24" s="6">
        <f>L25</f>
        <v>8143062</v>
      </c>
      <c r="M24" s="6"/>
      <c r="N24" s="6"/>
      <c r="O24" s="6">
        <f>O25-O26</f>
        <v>2393987</v>
      </c>
      <c r="P24" s="6"/>
    </row>
    <row r="25" spans="1:16" s="23" customFormat="1" ht="11.25">
      <c r="A25" s="20"/>
      <c r="B25" s="20" t="s">
        <v>12</v>
      </c>
      <c r="C25" s="38" t="s">
        <v>100</v>
      </c>
      <c r="D25" s="38" t="s">
        <v>100</v>
      </c>
      <c r="E25" s="8"/>
      <c r="F25" s="8"/>
      <c r="G25" s="8"/>
      <c r="H25" s="8"/>
      <c r="I25" s="8"/>
      <c r="J25" s="8">
        <f>SUM(K25:O25)</f>
        <v>10537049</v>
      </c>
      <c r="K25" s="8">
        <v>499832</v>
      </c>
      <c r="L25" s="8">
        <v>8143062</v>
      </c>
      <c r="M25" s="8"/>
      <c r="N25" s="8"/>
      <c r="O25" s="8">
        <v>1894155</v>
      </c>
      <c r="P25" s="8"/>
    </row>
    <row r="26" spans="1:16" s="37" customFormat="1" ht="11.25">
      <c r="A26" s="35"/>
      <c r="B26" s="39" t="s">
        <v>109</v>
      </c>
      <c r="C26" s="40" t="s">
        <v>100</v>
      </c>
      <c r="D26" s="40" t="s">
        <v>100</v>
      </c>
      <c r="E26" s="5"/>
      <c r="F26" s="5"/>
      <c r="G26" s="5"/>
      <c r="H26" s="5"/>
      <c r="I26" s="5"/>
      <c r="J26" s="5">
        <f>SUM(K26:O26)</f>
        <v>0</v>
      </c>
      <c r="K26" s="5">
        <v>499832</v>
      </c>
      <c r="L26" s="5"/>
      <c r="M26" s="5"/>
      <c r="N26" s="5"/>
      <c r="O26" s="5">
        <v>-499832</v>
      </c>
      <c r="P26" s="5"/>
    </row>
    <row r="27" spans="1:16" s="10" customFormat="1" ht="25.5">
      <c r="A27" s="29"/>
      <c r="B27" s="41" t="s">
        <v>28</v>
      </c>
      <c r="C27" s="42">
        <v>1175595</v>
      </c>
      <c r="D27" s="3">
        <f t="shared" si="1"/>
        <v>4439903</v>
      </c>
      <c r="E27" s="6">
        <v>3240000</v>
      </c>
      <c r="F27" s="6"/>
      <c r="G27" s="6">
        <v>1199903</v>
      </c>
      <c r="H27" s="6"/>
      <c r="I27" s="6"/>
      <c r="J27" s="3">
        <f t="shared" si="2"/>
        <v>5332374</v>
      </c>
      <c r="K27" s="6">
        <v>4043670</v>
      </c>
      <c r="L27" s="6"/>
      <c r="M27" s="6"/>
      <c r="N27" s="6">
        <v>1288704</v>
      </c>
      <c r="O27" s="6"/>
      <c r="P27" s="6"/>
    </row>
    <row r="28" spans="1:16" s="10" customFormat="1" ht="12.75">
      <c r="A28" s="29"/>
      <c r="B28" s="10" t="s">
        <v>29</v>
      </c>
      <c r="C28" s="6">
        <v>14415000</v>
      </c>
      <c r="D28" s="3">
        <f t="shared" si="1"/>
        <v>11943000</v>
      </c>
      <c r="E28" s="6">
        <v>11943000</v>
      </c>
      <c r="F28" s="6"/>
      <c r="G28" s="6"/>
      <c r="H28" s="6"/>
      <c r="I28" s="6"/>
      <c r="J28" s="3">
        <f t="shared" si="2"/>
        <v>15339870</v>
      </c>
      <c r="K28" s="6">
        <v>15339870</v>
      </c>
      <c r="L28" s="6"/>
      <c r="M28" s="6"/>
      <c r="N28" s="6"/>
      <c r="O28" s="6"/>
      <c r="P28" s="6"/>
    </row>
    <row r="29" spans="2:10" ht="12.75">
      <c r="B29" s="43"/>
      <c r="C29" s="44"/>
      <c r="D29" s="27"/>
      <c r="J29" s="27"/>
    </row>
    <row r="30" spans="1:16" s="10" customFormat="1" ht="12.75">
      <c r="A30" s="29"/>
      <c r="B30" s="45" t="s">
        <v>30</v>
      </c>
      <c r="C30" s="46">
        <f>SUM(C31,C34,C35,C36,C39,C40)</f>
        <v>130492808</v>
      </c>
      <c r="D30" s="3">
        <f>SUM(E30:I30)</f>
        <v>112393390</v>
      </c>
      <c r="E30" s="3">
        <f>SUM(E31,E34,E35,E36)</f>
        <v>59886971</v>
      </c>
      <c r="F30" s="3">
        <f>SUM(F34,F35,F36)</f>
        <v>16284286</v>
      </c>
      <c r="G30" s="3">
        <f>SUM(G31,G34,G35,G36,G39,G40)</f>
        <v>19636533</v>
      </c>
      <c r="H30" s="3">
        <f>SUM(H36,H39,H40)</f>
        <v>16585600</v>
      </c>
      <c r="I30" s="6">
        <f>SUM(I31:I40)</f>
        <v>0</v>
      </c>
      <c r="J30" s="3">
        <f>SUM(K30:P30)</f>
        <v>113337897</v>
      </c>
      <c r="K30" s="3">
        <f>SUM(K31,K34,K35,K36,K39)</f>
        <v>64386570</v>
      </c>
      <c r="L30" s="3">
        <f>SUM(L34,L35,L36)</f>
        <v>18524075</v>
      </c>
      <c r="M30" s="3"/>
      <c r="N30" s="3">
        <f>SUM(N31,N34,N35,N36,N39,N40)</f>
        <v>19152194</v>
      </c>
      <c r="O30" s="3">
        <f>SUM(O36,O39,O40)</f>
        <v>11275058</v>
      </c>
      <c r="P30" s="6">
        <f>SUM(P31:P40)</f>
        <v>0</v>
      </c>
    </row>
    <row r="31" spans="1:16" s="10" customFormat="1" ht="24">
      <c r="A31" s="29" t="s">
        <v>31</v>
      </c>
      <c r="B31" s="47" t="s">
        <v>32</v>
      </c>
      <c r="C31" s="48">
        <f>C32-C33</f>
        <v>18095881</v>
      </c>
      <c r="D31" s="3">
        <f>SUM(E31:I31)</f>
        <v>13311125</v>
      </c>
      <c r="E31" s="3">
        <f>E32-E33</f>
        <v>12875813</v>
      </c>
      <c r="F31" s="3"/>
      <c r="G31" s="3">
        <f>G32-G33</f>
        <v>435312</v>
      </c>
      <c r="H31" s="3"/>
      <c r="I31" s="3"/>
      <c r="J31" s="3">
        <f>SUM(K31:P31)</f>
        <v>22087704</v>
      </c>
      <c r="K31" s="6">
        <f aca="true" t="shared" si="3" ref="K31:P31">K32-K33</f>
        <v>21662053</v>
      </c>
      <c r="L31" s="6">
        <f t="shared" si="3"/>
        <v>0</v>
      </c>
      <c r="M31" s="6">
        <f t="shared" si="3"/>
        <v>0</v>
      </c>
      <c r="N31" s="6">
        <f t="shared" si="3"/>
        <v>425651</v>
      </c>
      <c r="O31" s="6">
        <f t="shared" si="3"/>
        <v>0</v>
      </c>
      <c r="P31" s="6">
        <f t="shared" si="3"/>
        <v>0</v>
      </c>
    </row>
    <row r="32" spans="1:16" s="23" customFormat="1" ht="11.25">
      <c r="A32" s="20"/>
      <c r="B32" s="49" t="s">
        <v>12</v>
      </c>
      <c r="C32" s="50">
        <v>19974696</v>
      </c>
      <c r="D32" s="8">
        <f>SUM(E32:I32)</f>
        <v>16213537</v>
      </c>
      <c r="E32" s="8">
        <f>1250000+14528225</f>
        <v>15778225</v>
      </c>
      <c r="F32" s="8"/>
      <c r="G32" s="8">
        <v>435312</v>
      </c>
      <c r="H32" s="8"/>
      <c r="I32" s="8"/>
      <c r="J32" s="8">
        <f>SUM(K32:P32)</f>
        <v>25095767</v>
      </c>
      <c r="K32" s="8">
        <v>24670116</v>
      </c>
      <c r="L32" s="8"/>
      <c r="M32" s="8"/>
      <c r="N32" s="8">
        <v>425651</v>
      </c>
      <c r="O32" s="8"/>
      <c r="P32" s="8"/>
    </row>
    <row r="33" spans="1:16" s="37" customFormat="1" ht="22.5">
      <c r="A33" s="35"/>
      <c r="B33" s="51" t="s">
        <v>33</v>
      </c>
      <c r="C33" s="52">
        <v>1878815</v>
      </c>
      <c r="D33" s="5">
        <f>SUM(E33)</f>
        <v>2902412</v>
      </c>
      <c r="E33" s="5">
        <v>2902412</v>
      </c>
      <c r="F33" s="5"/>
      <c r="G33" s="5"/>
      <c r="H33" s="5"/>
      <c r="I33" s="5"/>
      <c r="J33" s="5">
        <f>SUM(K33)</f>
        <v>3008063</v>
      </c>
      <c r="K33" s="5">
        <v>3008063</v>
      </c>
      <c r="L33" s="5"/>
      <c r="M33" s="5"/>
      <c r="N33" s="5"/>
      <c r="O33" s="5"/>
      <c r="P33" s="5"/>
    </row>
    <row r="34" spans="1:16" s="10" customFormat="1" ht="25.5">
      <c r="A34" s="29" t="s">
        <v>34</v>
      </c>
      <c r="B34" s="41" t="s">
        <v>35</v>
      </c>
      <c r="C34" s="48">
        <v>43907160</v>
      </c>
      <c r="D34" s="3">
        <f>SUM(E34:I34)</f>
        <v>43790629</v>
      </c>
      <c r="E34" s="6">
        <f>21059195+852609+624000+3500000</f>
        <v>26035804</v>
      </c>
      <c r="F34" s="6">
        <f>2890000+75000+300000+822000+2100000+8300000</f>
        <v>14487000</v>
      </c>
      <c r="G34" s="6">
        <f>29731750-G43</f>
        <v>3267825</v>
      </c>
      <c r="H34" s="6"/>
      <c r="I34" s="6"/>
      <c r="J34" s="3">
        <f>SUM(K34:P34)</f>
        <v>42533911</v>
      </c>
      <c r="K34" s="6">
        <v>24223502</v>
      </c>
      <c r="L34" s="6">
        <v>14981764</v>
      </c>
      <c r="M34" s="6"/>
      <c r="N34" s="6">
        <v>3328645</v>
      </c>
      <c r="O34" s="6"/>
      <c r="P34" s="6"/>
    </row>
    <row r="35" spans="1:16" s="10" customFormat="1" ht="12.75">
      <c r="A35" s="29" t="s">
        <v>36</v>
      </c>
      <c r="B35" s="10" t="s">
        <v>37</v>
      </c>
      <c r="C35" s="3">
        <v>9401772</v>
      </c>
      <c r="D35" s="3">
        <f>SUM(E35:I35)</f>
        <v>8922891</v>
      </c>
      <c r="E35" s="6">
        <v>8594225</v>
      </c>
      <c r="F35" s="6">
        <v>65000</v>
      </c>
      <c r="G35" s="6">
        <v>263666</v>
      </c>
      <c r="H35" s="6"/>
      <c r="I35" s="6"/>
      <c r="J35" s="3">
        <f>SUM(K35:P35)</f>
        <v>7816840</v>
      </c>
      <c r="K35" s="6">
        <v>7434985</v>
      </c>
      <c r="L35" s="6">
        <v>40720</v>
      </c>
      <c r="M35" s="6"/>
      <c r="N35" s="6">
        <v>341135</v>
      </c>
      <c r="O35" s="6"/>
      <c r="P35" s="6"/>
    </row>
    <row r="36" spans="1:16" s="10" customFormat="1" ht="12.75">
      <c r="A36" s="29" t="s">
        <v>38</v>
      </c>
      <c r="B36" s="10" t="s">
        <v>39</v>
      </c>
      <c r="C36" s="3">
        <f>C37-C38</f>
        <v>42494538</v>
      </c>
      <c r="D36" s="3">
        <f>D37-D38</f>
        <v>45475666</v>
      </c>
      <c r="E36" s="6">
        <f>E37</f>
        <v>12381129</v>
      </c>
      <c r="F36" s="6">
        <f>F37</f>
        <v>1732286</v>
      </c>
      <c r="G36" s="6">
        <f>G37</f>
        <v>14776651</v>
      </c>
      <c r="H36" s="6">
        <f>H37-H38</f>
        <v>16585600</v>
      </c>
      <c r="I36" s="6"/>
      <c r="J36" s="3">
        <f>J37-J38</f>
        <v>39544205</v>
      </c>
      <c r="K36" s="6">
        <f>K37</f>
        <v>10593092</v>
      </c>
      <c r="L36" s="6">
        <f>L37</f>
        <v>3501591</v>
      </c>
      <c r="M36" s="6"/>
      <c r="N36" s="6">
        <f>N37-N38</f>
        <v>14174464</v>
      </c>
      <c r="O36" s="6">
        <f>O37-O38</f>
        <v>11275058</v>
      </c>
      <c r="P36" s="6"/>
    </row>
    <row r="37" spans="1:16" s="23" customFormat="1" ht="11.25">
      <c r="A37" s="20"/>
      <c r="B37" s="20" t="s">
        <v>12</v>
      </c>
      <c r="C37" s="34">
        <v>56996456</v>
      </c>
      <c r="D37" s="8">
        <f>SUM(E37:H37)</f>
        <v>56113058</v>
      </c>
      <c r="E37" s="8">
        <v>12381129</v>
      </c>
      <c r="F37" s="8">
        <v>1732286</v>
      </c>
      <c r="G37" s="8">
        <v>14776651</v>
      </c>
      <c r="H37" s="8">
        <f>28675609+10571650-12090009+65742</f>
        <v>27222992</v>
      </c>
      <c r="I37" s="8"/>
      <c r="J37" s="8">
        <f>SUM(K37:O37)</f>
        <v>53329623</v>
      </c>
      <c r="K37" s="8">
        <v>10593092</v>
      </c>
      <c r="L37" s="8">
        <v>3501591</v>
      </c>
      <c r="M37" s="8"/>
      <c r="N37" s="8">
        <v>14174464</v>
      </c>
      <c r="O37" s="8">
        <f>25008579+51897</f>
        <v>25060476</v>
      </c>
      <c r="P37" s="8"/>
    </row>
    <row r="38" spans="1:16" s="37" customFormat="1" ht="22.5">
      <c r="A38" s="35"/>
      <c r="B38" s="51" t="s">
        <v>89</v>
      </c>
      <c r="C38" s="12">
        <v>14501918</v>
      </c>
      <c r="D38" s="5">
        <f>SUM(H38)</f>
        <v>10637392</v>
      </c>
      <c r="E38" s="5"/>
      <c r="F38" s="5"/>
      <c r="G38" s="5"/>
      <c r="H38" s="5">
        <f>10571650+65742</f>
        <v>10637392</v>
      </c>
      <c r="I38" s="5"/>
      <c r="J38" s="5">
        <f>SUM(O38)</f>
        <v>13785418</v>
      </c>
      <c r="K38" s="5"/>
      <c r="L38" s="5"/>
      <c r="M38" s="5"/>
      <c r="N38" s="5"/>
      <c r="O38" s="5">
        <v>13785418</v>
      </c>
      <c r="P38" s="5"/>
    </row>
    <row r="39" spans="1:16" s="10" customFormat="1" ht="25.5">
      <c r="A39" s="29" t="s">
        <v>40</v>
      </c>
      <c r="B39" s="41" t="s">
        <v>41</v>
      </c>
      <c r="C39" s="42">
        <v>16413594</v>
      </c>
      <c r="D39" s="3">
        <f aca="true" t="shared" si="4" ref="D39:D44">SUM(E39:I39)</f>
        <v>647411</v>
      </c>
      <c r="E39" s="6"/>
      <c r="F39" s="6"/>
      <c r="G39" s="6">
        <v>647411</v>
      </c>
      <c r="H39" s="6"/>
      <c r="I39" s="6"/>
      <c r="J39" s="3">
        <f aca="true" t="shared" si="5" ref="J39:J44">SUM(K39:P39)</f>
        <v>1143770</v>
      </c>
      <c r="K39" s="6">
        <v>472938</v>
      </c>
      <c r="L39" s="6"/>
      <c r="M39" s="6"/>
      <c r="N39" s="6">
        <v>670832</v>
      </c>
      <c r="O39" s="6"/>
      <c r="P39" s="6"/>
    </row>
    <row r="40" spans="1:16" s="10" customFormat="1" ht="25.5">
      <c r="A40" s="29" t="s">
        <v>42</v>
      </c>
      <c r="B40" s="41" t="s">
        <v>43</v>
      </c>
      <c r="C40" s="42">
        <v>179863</v>
      </c>
      <c r="D40" s="3">
        <f t="shared" si="4"/>
        <v>245668</v>
      </c>
      <c r="E40" s="6"/>
      <c r="F40" s="6"/>
      <c r="G40" s="6">
        <v>245668</v>
      </c>
      <c r="H40" s="6"/>
      <c r="I40" s="6"/>
      <c r="J40" s="3">
        <f t="shared" si="5"/>
        <v>211467</v>
      </c>
      <c r="K40" s="6"/>
      <c r="L40" s="6"/>
      <c r="M40" s="6"/>
      <c r="N40" s="6">
        <v>211467</v>
      </c>
      <c r="O40" s="6"/>
      <c r="P40" s="6"/>
    </row>
    <row r="41" spans="1:16" s="10" customFormat="1" ht="12.75">
      <c r="A41" s="29"/>
      <c r="B41" s="53" t="s">
        <v>44</v>
      </c>
      <c r="C41" s="54">
        <v>19058715</v>
      </c>
      <c r="D41" s="3">
        <f t="shared" si="4"/>
        <v>55150438</v>
      </c>
      <c r="E41" s="6">
        <v>52377182</v>
      </c>
      <c r="F41" s="6">
        <f>2539438+65668+168150</f>
        <v>2773256</v>
      </c>
      <c r="G41" s="6"/>
      <c r="H41" s="6"/>
      <c r="I41" s="6"/>
      <c r="J41" s="3">
        <f t="shared" si="5"/>
        <v>28452783</v>
      </c>
      <c r="K41" s="6">
        <v>25947024</v>
      </c>
      <c r="L41" s="6">
        <v>2505759</v>
      </c>
      <c r="M41" s="6"/>
      <c r="N41" s="6"/>
      <c r="O41" s="6"/>
      <c r="P41" s="6"/>
    </row>
    <row r="42" spans="1:16" s="10" customFormat="1" ht="25.5">
      <c r="A42" s="29"/>
      <c r="B42" s="53" t="s">
        <v>45</v>
      </c>
      <c r="C42" s="54">
        <v>12929641</v>
      </c>
      <c r="D42" s="3">
        <f t="shared" si="4"/>
        <v>6030751</v>
      </c>
      <c r="E42" s="6"/>
      <c r="F42" s="6"/>
      <c r="G42" s="6"/>
      <c r="H42" s="6"/>
      <c r="I42" s="6">
        <v>6030751</v>
      </c>
      <c r="J42" s="3">
        <f t="shared" si="5"/>
        <v>10192827</v>
      </c>
      <c r="K42" s="6"/>
      <c r="L42" s="6"/>
      <c r="M42" s="6">
        <v>4660799</v>
      </c>
      <c r="N42" s="6"/>
      <c r="O42" s="6"/>
      <c r="P42" s="6">
        <v>5532028</v>
      </c>
    </row>
    <row r="43" spans="1:16" s="10" customFormat="1" ht="51">
      <c r="A43" s="29" t="s">
        <v>46</v>
      </c>
      <c r="B43" s="53" t="s">
        <v>47</v>
      </c>
      <c r="C43" s="54">
        <v>85174588</v>
      </c>
      <c r="D43" s="3">
        <f t="shared" si="4"/>
        <v>95778122</v>
      </c>
      <c r="E43" s="6">
        <v>65086359</v>
      </c>
      <c r="F43" s="6">
        <f>50000+3212246+68100+129565</f>
        <v>3459911</v>
      </c>
      <c r="G43" s="6">
        <v>26463925</v>
      </c>
      <c r="H43" s="6">
        <v>767927</v>
      </c>
      <c r="I43" s="6"/>
      <c r="J43" s="3">
        <f t="shared" si="5"/>
        <v>90902984</v>
      </c>
      <c r="K43" s="6">
        <v>60463697</v>
      </c>
      <c r="L43" s="6">
        <v>3205277</v>
      </c>
      <c r="M43" s="6"/>
      <c r="N43" s="6">
        <v>26350647</v>
      </c>
      <c r="O43" s="6">
        <v>883363</v>
      </c>
      <c r="P43" s="6"/>
    </row>
    <row r="44" spans="1:16" s="10" customFormat="1" ht="25.5">
      <c r="A44" s="29" t="s">
        <v>48</v>
      </c>
      <c r="B44" s="53" t="s">
        <v>49</v>
      </c>
      <c r="C44" s="54">
        <f>C45-C46</f>
        <v>2030949</v>
      </c>
      <c r="D44" s="3">
        <f t="shared" si="4"/>
        <v>8701952</v>
      </c>
      <c r="E44" s="6"/>
      <c r="F44" s="6">
        <f>F45</f>
        <v>0</v>
      </c>
      <c r="G44" s="6">
        <f>G45-G46</f>
        <v>8701952</v>
      </c>
      <c r="H44" s="6">
        <f>H45-H46</f>
        <v>0</v>
      </c>
      <c r="I44" s="6"/>
      <c r="J44" s="3">
        <f t="shared" si="5"/>
        <v>1718278</v>
      </c>
      <c r="K44" s="6"/>
      <c r="L44" s="6">
        <f>L45</f>
        <v>0</v>
      </c>
      <c r="M44" s="6"/>
      <c r="N44" s="6">
        <f>N45-N46</f>
        <v>1718278</v>
      </c>
      <c r="O44" s="6">
        <f>O45</f>
        <v>0</v>
      </c>
      <c r="P44" s="6"/>
    </row>
    <row r="45" spans="1:16" s="23" customFormat="1" ht="11.25">
      <c r="A45" s="20"/>
      <c r="B45" s="49" t="s">
        <v>12</v>
      </c>
      <c r="C45" s="50">
        <v>111679138</v>
      </c>
      <c r="D45" s="38" t="s">
        <v>100</v>
      </c>
      <c r="E45" s="8"/>
      <c r="F45" s="8">
        <v>0</v>
      </c>
      <c r="G45" s="8">
        <v>121315277</v>
      </c>
      <c r="H45" s="8">
        <v>0</v>
      </c>
      <c r="I45" s="8"/>
      <c r="J45" s="38" t="s">
        <v>100</v>
      </c>
      <c r="K45" s="8"/>
      <c r="L45" s="8">
        <v>0</v>
      </c>
      <c r="M45" s="8"/>
      <c r="N45" s="8">
        <v>121049669</v>
      </c>
      <c r="O45" s="8">
        <v>0</v>
      </c>
      <c r="P45" s="8"/>
    </row>
    <row r="46" spans="1:16" s="37" customFormat="1" ht="22.5">
      <c r="A46" s="35"/>
      <c r="B46" s="51" t="s">
        <v>50</v>
      </c>
      <c r="C46" s="52">
        <v>109648189</v>
      </c>
      <c r="D46" s="40" t="s">
        <v>100</v>
      </c>
      <c r="E46" s="5"/>
      <c r="F46" s="5"/>
      <c r="G46" s="5">
        <v>112613325</v>
      </c>
      <c r="H46" s="5">
        <v>0</v>
      </c>
      <c r="I46" s="5"/>
      <c r="J46" s="38" t="s">
        <v>100</v>
      </c>
      <c r="K46" s="5"/>
      <c r="L46" s="5"/>
      <c r="M46" s="5"/>
      <c r="N46" s="5">
        <f>112178494+7152897</f>
        <v>119331391</v>
      </c>
      <c r="O46" s="5"/>
      <c r="P46" s="5"/>
    </row>
    <row r="47" spans="2:10" ht="12.75">
      <c r="B47" s="55"/>
      <c r="C47" s="56"/>
      <c r="D47" s="27"/>
      <c r="J47" s="27"/>
    </row>
    <row r="48" spans="2:12" ht="12.75" customHeight="1" hidden="1">
      <c r="B48" s="43" t="s">
        <v>51</v>
      </c>
      <c r="C48" s="44"/>
      <c r="D48" s="27">
        <f>SUM(E48:I48)</f>
        <v>2874300</v>
      </c>
      <c r="F48" s="2">
        <v>2874300</v>
      </c>
      <c r="J48" s="27">
        <f>SUM(K48:P48)</f>
        <v>2874300</v>
      </c>
      <c r="L48" s="2">
        <v>2874300</v>
      </c>
    </row>
    <row r="49" spans="2:10" ht="12.75" customHeight="1" hidden="1">
      <c r="B49" s="43"/>
      <c r="C49" s="44"/>
      <c r="D49" s="27"/>
      <c r="J49" s="27"/>
    </row>
    <row r="50" spans="1:16" s="10" customFormat="1" ht="38.25">
      <c r="A50" s="29"/>
      <c r="B50" s="57" t="s">
        <v>52</v>
      </c>
      <c r="C50" s="3">
        <f>SUM(C51,C54,C55,C56,C59,C60,C63,C66,C69,C72,C73,C74,C78,C81)</f>
        <v>1743080402</v>
      </c>
      <c r="D50" s="3">
        <f>SUM(D51,D54,D55,D56,D59,D60,D63,D66,D69,D72,D73,D74,D78,D81)</f>
        <v>1934367240</v>
      </c>
      <c r="E50" s="3">
        <f>SUM(E51,E54,E55,E56,E59,E60,E64,E66,E69,E72,E73,E74,E78,E81)</f>
        <v>651661116</v>
      </c>
      <c r="F50" s="3">
        <f aca="true" t="shared" si="6" ref="F50:P50">SUM(F51,F54,F55,F56,F59,F60,F63,F66,F69,F72,F73,F74,F78,F81)</f>
        <v>764559204</v>
      </c>
      <c r="G50" s="3">
        <f t="shared" si="6"/>
        <v>457278183</v>
      </c>
      <c r="H50" s="3">
        <f t="shared" si="6"/>
        <v>54270492</v>
      </c>
      <c r="I50" s="3">
        <f t="shared" si="6"/>
        <v>6598245</v>
      </c>
      <c r="J50" s="3">
        <f t="shared" si="6"/>
        <v>1798446713</v>
      </c>
      <c r="K50" s="3">
        <f t="shared" si="6"/>
        <v>594591705</v>
      </c>
      <c r="L50" s="3">
        <f t="shared" si="6"/>
        <v>711753039</v>
      </c>
      <c r="M50" s="3">
        <f t="shared" si="6"/>
        <v>4339422</v>
      </c>
      <c r="N50" s="3">
        <f t="shared" si="6"/>
        <v>447191126</v>
      </c>
      <c r="O50" s="3">
        <f t="shared" si="6"/>
        <v>35531707</v>
      </c>
      <c r="P50" s="3">
        <f t="shared" si="6"/>
        <v>5039714</v>
      </c>
    </row>
    <row r="51" spans="1:16" s="10" customFormat="1" ht="12.75">
      <c r="A51" s="29">
        <v>1</v>
      </c>
      <c r="B51" s="58" t="s">
        <v>53</v>
      </c>
      <c r="C51" s="48">
        <v>126199931</v>
      </c>
      <c r="D51" s="3">
        <f>SUM(E51:I51)</f>
        <v>151506789</v>
      </c>
      <c r="E51" s="6">
        <f>SUM(E52-E53)</f>
        <v>91833206</v>
      </c>
      <c r="F51" s="6">
        <f>SUM(F52-F53)</f>
        <v>925137</v>
      </c>
      <c r="G51" s="6">
        <f>SUM(G52-G53)</f>
        <v>50216838</v>
      </c>
      <c r="H51" s="6">
        <f>SUM(H52-H53)</f>
        <v>8278959</v>
      </c>
      <c r="I51" s="6">
        <f>SUM(I52-I53)</f>
        <v>252649</v>
      </c>
      <c r="J51" s="3">
        <f>SUM(K51:P51)</f>
        <v>137585865</v>
      </c>
      <c r="K51" s="6">
        <f aca="true" t="shared" si="7" ref="K51:P51">SUM(K52-K53)</f>
        <v>83550266</v>
      </c>
      <c r="L51" s="6">
        <f t="shared" si="7"/>
        <v>133887</v>
      </c>
      <c r="M51" s="6">
        <f t="shared" si="7"/>
        <v>741786</v>
      </c>
      <c r="N51" s="6">
        <f t="shared" si="7"/>
        <v>48172377</v>
      </c>
      <c r="O51" s="6">
        <f t="shared" si="7"/>
        <v>4767066</v>
      </c>
      <c r="P51" s="6">
        <f t="shared" si="7"/>
        <v>220483</v>
      </c>
    </row>
    <row r="52" spans="1:16" s="23" customFormat="1" ht="11.25">
      <c r="A52" s="20"/>
      <c r="B52" s="49" t="s">
        <v>12</v>
      </c>
      <c r="C52" s="50">
        <f>126199931+1598</f>
        <v>126201529</v>
      </c>
      <c r="D52" s="8">
        <f>SUM(E52:I52)</f>
        <v>151514447</v>
      </c>
      <c r="E52" s="8">
        <v>91833206</v>
      </c>
      <c r="F52" s="8">
        <v>925137</v>
      </c>
      <c r="G52" s="8">
        <v>50224496</v>
      </c>
      <c r="H52" s="8">
        <v>8278959</v>
      </c>
      <c r="I52" s="8">
        <v>252649</v>
      </c>
      <c r="J52" s="8">
        <f>SUM(K52:P52)</f>
        <v>137592509</v>
      </c>
      <c r="K52" s="8">
        <v>83550266</v>
      </c>
      <c r="L52" s="8">
        <v>133887</v>
      </c>
      <c r="M52" s="8">
        <v>741786</v>
      </c>
      <c r="N52" s="8">
        <v>48179021</v>
      </c>
      <c r="O52" s="8">
        <v>4767066</v>
      </c>
      <c r="P52" s="8">
        <v>220483</v>
      </c>
    </row>
    <row r="53" spans="1:16" s="37" customFormat="1" ht="28.5" customHeight="1">
      <c r="A53" s="35"/>
      <c r="B53" s="51" t="s">
        <v>99</v>
      </c>
      <c r="C53" s="59">
        <v>1598</v>
      </c>
      <c r="D53" s="5">
        <f>SUM(G53)</f>
        <v>7658</v>
      </c>
      <c r="E53" s="5"/>
      <c r="F53" s="5"/>
      <c r="G53" s="5">
        <v>7658</v>
      </c>
      <c r="H53" s="5"/>
      <c r="I53" s="5"/>
      <c r="J53" s="5">
        <f>SUM(N53)</f>
        <v>6644</v>
      </c>
      <c r="K53" s="5"/>
      <c r="L53" s="5"/>
      <c r="M53" s="5"/>
      <c r="N53" s="5">
        <v>6644</v>
      </c>
      <c r="O53" s="5"/>
      <c r="P53" s="5"/>
    </row>
    <row r="54" spans="1:18" s="10" customFormat="1" ht="12.75">
      <c r="A54" s="29">
        <v>2</v>
      </c>
      <c r="B54" s="58" t="s">
        <v>54</v>
      </c>
      <c r="C54" s="48">
        <v>40713101</v>
      </c>
      <c r="D54" s="3">
        <f>SUM(E54:I54)</f>
        <v>47732082</v>
      </c>
      <c r="E54" s="6">
        <v>47450960</v>
      </c>
      <c r="F54" s="6">
        <v>0</v>
      </c>
      <c r="G54" s="6">
        <v>135522</v>
      </c>
      <c r="H54" s="6">
        <v>145600</v>
      </c>
      <c r="I54" s="6">
        <v>0</v>
      </c>
      <c r="J54" s="3">
        <f>SUM(K54:P54)</f>
        <v>47375554</v>
      </c>
      <c r="K54" s="6">
        <v>47179815</v>
      </c>
      <c r="L54" s="6">
        <v>0</v>
      </c>
      <c r="M54" s="6">
        <v>76478</v>
      </c>
      <c r="N54" s="6">
        <v>113828</v>
      </c>
      <c r="O54" s="6">
        <v>5433</v>
      </c>
      <c r="P54" s="6">
        <v>0</v>
      </c>
      <c r="R54" s="6"/>
    </row>
    <row r="55" spans="1:16" s="10" customFormat="1" ht="25.5">
      <c r="A55" s="29">
        <v>3</v>
      </c>
      <c r="B55" s="58" t="s">
        <v>55</v>
      </c>
      <c r="C55" s="48">
        <v>111867317</v>
      </c>
      <c r="D55" s="3">
        <f>SUM(E55:I55)</f>
        <v>122776515</v>
      </c>
      <c r="E55" s="6">
        <v>115897006</v>
      </c>
      <c r="F55" s="6">
        <v>0</v>
      </c>
      <c r="G55" s="6">
        <v>6426919</v>
      </c>
      <c r="H55" s="6">
        <v>404158</v>
      </c>
      <c r="I55" s="6">
        <v>48432</v>
      </c>
      <c r="J55" s="3">
        <f>SUM(K55:P55)</f>
        <v>116066858</v>
      </c>
      <c r="K55" s="6">
        <v>109157202</v>
      </c>
      <c r="L55" s="6"/>
      <c r="M55" s="6">
        <v>217395</v>
      </c>
      <c r="N55" s="6">
        <v>6203749</v>
      </c>
      <c r="O55" s="6">
        <v>444529</v>
      </c>
      <c r="P55" s="6">
        <v>43983</v>
      </c>
    </row>
    <row r="56" spans="1:16" s="10" customFormat="1" ht="12.75">
      <c r="A56" s="29">
        <v>4</v>
      </c>
      <c r="B56" s="58" t="s">
        <v>56</v>
      </c>
      <c r="C56" s="48">
        <v>294254784</v>
      </c>
      <c r="D56" s="3">
        <f aca="true" t="shared" si="8" ref="D56:M56">D57-D58</f>
        <v>333121844</v>
      </c>
      <c r="E56" s="6">
        <f t="shared" si="8"/>
        <v>97272221</v>
      </c>
      <c r="F56" s="6">
        <f t="shared" si="8"/>
        <v>7955930</v>
      </c>
      <c r="G56" s="6">
        <f t="shared" si="8"/>
        <v>223355376</v>
      </c>
      <c r="H56" s="6">
        <f t="shared" si="8"/>
        <v>3380590</v>
      </c>
      <c r="I56" s="6">
        <f t="shared" si="8"/>
        <v>1157727</v>
      </c>
      <c r="J56" s="3">
        <f t="shared" si="8"/>
        <v>328483945</v>
      </c>
      <c r="K56" s="6">
        <f t="shared" si="8"/>
        <v>94467147</v>
      </c>
      <c r="L56" s="6">
        <f t="shared" si="8"/>
        <v>7088231</v>
      </c>
      <c r="M56" s="6">
        <f t="shared" si="8"/>
        <v>1479926</v>
      </c>
      <c r="N56" s="6">
        <f>N57-N58</f>
        <v>221252753</v>
      </c>
      <c r="O56" s="6">
        <f>O57-O58</f>
        <v>3314292</v>
      </c>
      <c r="P56" s="6">
        <f>P57-P58</f>
        <v>881596</v>
      </c>
    </row>
    <row r="57" spans="1:16" s="23" customFormat="1" ht="11.25">
      <c r="A57" s="20"/>
      <c r="B57" s="49" t="s">
        <v>12</v>
      </c>
      <c r="C57" s="50">
        <f>C56+21958</f>
        <v>294276742</v>
      </c>
      <c r="D57" s="8">
        <f>SUM(E57:I57)</f>
        <v>333145761</v>
      </c>
      <c r="E57" s="8">
        <v>97272221</v>
      </c>
      <c r="F57" s="8">
        <v>7955930</v>
      </c>
      <c r="G57" s="8">
        <v>223379293</v>
      </c>
      <c r="H57" s="8">
        <v>3380590</v>
      </c>
      <c r="I57" s="8">
        <v>1157727</v>
      </c>
      <c r="J57" s="8">
        <f>SUM(K57:P57)</f>
        <v>328513058</v>
      </c>
      <c r="K57" s="8">
        <v>94467147</v>
      </c>
      <c r="L57" s="8">
        <v>7088231</v>
      </c>
      <c r="M57" s="8">
        <v>1479926</v>
      </c>
      <c r="N57" s="8">
        <v>221281866</v>
      </c>
      <c r="O57" s="8">
        <v>3314292</v>
      </c>
      <c r="P57" s="8">
        <v>881596</v>
      </c>
    </row>
    <row r="58" spans="1:16" s="37" customFormat="1" ht="27.75" customHeight="1">
      <c r="A58" s="35"/>
      <c r="B58" s="51" t="s">
        <v>99</v>
      </c>
      <c r="C58" s="59">
        <v>21958</v>
      </c>
      <c r="D58" s="5">
        <f>SUM(G58)</f>
        <v>23917</v>
      </c>
      <c r="E58" s="5"/>
      <c r="F58" s="5"/>
      <c r="G58" s="5">
        <v>23917</v>
      </c>
      <c r="H58" s="5"/>
      <c r="I58" s="5"/>
      <c r="J58" s="5">
        <f>SUM(N58)</f>
        <v>29113</v>
      </c>
      <c r="K58" s="5"/>
      <c r="L58" s="5"/>
      <c r="M58" s="5"/>
      <c r="N58" s="5">
        <v>29113</v>
      </c>
      <c r="O58" s="5"/>
      <c r="P58" s="5"/>
    </row>
    <row r="59" spans="1:16" s="10" customFormat="1" ht="12.75">
      <c r="A59" s="29">
        <v>5</v>
      </c>
      <c r="B59" s="58" t="s">
        <v>57</v>
      </c>
      <c r="C59" s="48">
        <v>154279494</v>
      </c>
      <c r="D59" s="3">
        <f>SUM(E59:I59)</f>
        <v>167276855</v>
      </c>
      <c r="E59" s="6">
        <v>14986881</v>
      </c>
      <c r="F59" s="6">
        <v>144348387</v>
      </c>
      <c r="G59" s="6">
        <v>7188739</v>
      </c>
      <c r="H59" s="6">
        <v>696165</v>
      </c>
      <c r="I59" s="6">
        <v>56683</v>
      </c>
      <c r="J59" s="3">
        <f>SUM(K59:P59)</f>
        <v>163486847</v>
      </c>
      <c r="K59" s="6">
        <v>13834642</v>
      </c>
      <c r="L59" s="6">
        <v>141318245</v>
      </c>
      <c r="M59" s="6">
        <v>564497</v>
      </c>
      <c r="N59" s="6">
        <v>7035422</v>
      </c>
      <c r="O59" s="6">
        <v>696195</v>
      </c>
      <c r="P59" s="6">
        <v>37846</v>
      </c>
    </row>
    <row r="60" spans="1:16" s="10" customFormat="1" ht="25.5">
      <c r="A60" s="29">
        <v>6</v>
      </c>
      <c r="B60" s="58" t="s">
        <v>58</v>
      </c>
      <c r="C60" s="48">
        <v>615852477</v>
      </c>
      <c r="D60" s="3">
        <f>D61-D62</f>
        <v>649951678</v>
      </c>
      <c r="E60" s="6">
        <f>E61</f>
        <v>78601402</v>
      </c>
      <c r="F60" s="6">
        <f>F61</f>
        <v>530258379</v>
      </c>
      <c r="G60" s="6">
        <f>G61-G62</f>
        <v>38452082</v>
      </c>
      <c r="H60" s="6">
        <f>H61-H62</f>
        <v>2275482</v>
      </c>
      <c r="I60" s="6">
        <v>364333</v>
      </c>
      <c r="J60" s="3">
        <f>J61-J62</f>
        <v>616409001</v>
      </c>
      <c r="K60" s="6">
        <f>K61</f>
        <v>78400687</v>
      </c>
      <c r="L60" s="6">
        <f>L61</f>
        <v>497573459</v>
      </c>
      <c r="M60" s="6">
        <f>M61</f>
        <v>25266</v>
      </c>
      <c r="N60" s="6">
        <f>N61-N62</f>
        <v>37836930</v>
      </c>
      <c r="O60" s="6">
        <f>O61-O62</f>
        <v>2364226</v>
      </c>
      <c r="P60" s="6">
        <f>P61-P62</f>
        <v>208433</v>
      </c>
    </row>
    <row r="61" spans="1:16" s="23" customFormat="1" ht="11.25">
      <c r="A61" s="20"/>
      <c r="B61" s="49" t="s">
        <v>12</v>
      </c>
      <c r="C61" s="52">
        <f>C60+760</f>
        <v>615853237</v>
      </c>
      <c r="D61" s="8">
        <f>SUM(E61:I61)</f>
        <v>649953232</v>
      </c>
      <c r="E61" s="8">
        <v>78601402</v>
      </c>
      <c r="F61" s="8">
        <v>530258379</v>
      </c>
      <c r="G61" s="8">
        <v>38453636</v>
      </c>
      <c r="H61" s="8">
        <v>2275482</v>
      </c>
      <c r="I61" s="8">
        <v>364333</v>
      </c>
      <c r="J61" s="8">
        <f>SUM(K61:P61)</f>
        <v>616410555</v>
      </c>
      <c r="K61" s="8">
        <v>78400687</v>
      </c>
      <c r="L61" s="8">
        <v>497573459</v>
      </c>
      <c r="M61" s="8">
        <v>25266</v>
      </c>
      <c r="N61" s="8">
        <v>37838484</v>
      </c>
      <c r="O61" s="8">
        <v>2364226</v>
      </c>
      <c r="P61" s="8">
        <v>208433</v>
      </c>
    </row>
    <row r="62" spans="1:16" s="37" customFormat="1" ht="25.5" customHeight="1">
      <c r="A62" s="35"/>
      <c r="B62" s="51" t="s">
        <v>99</v>
      </c>
      <c r="C62" s="59">
        <v>760</v>
      </c>
      <c r="D62" s="5">
        <f>SUM(G62)</f>
        <v>1554</v>
      </c>
      <c r="E62" s="5"/>
      <c r="F62" s="5"/>
      <c r="G62" s="5">
        <v>1554</v>
      </c>
      <c r="H62" s="5"/>
      <c r="I62" s="5"/>
      <c r="J62" s="5">
        <f>SUM(N62)</f>
        <v>1554</v>
      </c>
      <c r="K62" s="5"/>
      <c r="L62" s="5"/>
      <c r="M62" s="5"/>
      <c r="N62" s="5">
        <v>1554</v>
      </c>
      <c r="O62" s="5"/>
      <c r="P62" s="5"/>
    </row>
    <row r="63" spans="1:16" s="10" customFormat="1" ht="25.5">
      <c r="A63" s="29">
        <v>7</v>
      </c>
      <c r="B63" s="58" t="s">
        <v>59</v>
      </c>
      <c r="C63" s="48">
        <v>92932764</v>
      </c>
      <c r="D63" s="3">
        <f aca="true" t="shared" si="9" ref="D63:M63">D64-D65</f>
        <v>124912140</v>
      </c>
      <c r="E63" s="6">
        <f t="shared" si="9"/>
        <v>11538783</v>
      </c>
      <c r="F63" s="6">
        <f t="shared" si="9"/>
        <v>9155328</v>
      </c>
      <c r="G63" s="6">
        <f t="shared" si="9"/>
        <v>74577081</v>
      </c>
      <c r="H63" s="6">
        <f t="shared" si="9"/>
        <v>25822945</v>
      </c>
      <c r="I63" s="6">
        <f t="shared" si="9"/>
        <v>3818003</v>
      </c>
      <c r="J63" s="3">
        <f t="shared" si="9"/>
        <v>105442433</v>
      </c>
      <c r="K63" s="6">
        <f t="shared" si="9"/>
        <v>8469391</v>
      </c>
      <c r="L63" s="6">
        <f t="shared" si="9"/>
        <v>8778044</v>
      </c>
      <c r="M63" s="6">
        <f t="shared" si="9"/>
        <v>111957</v>
      </c>
      <c r="N63" s="6">
        <f>N64-N65</f>
        <v>71833196</v>
      </c>
      <c r="O63" s="6">
        <f>O64-O65</f>
        <v>13063024</v>
      </c>
      <c r="P63" s="6">
        <f>P64-P65</f>
        <v>3186821</v>
      </c>
    </row>
    <row r="64" spans="1:16" s="23" customFormat="1" ht="11.25">
      <c r="A64" s="20"/>
      <c r="B64" s="49" t="s">
        <v>12</v>
      </c>
      <c r="C64" s="50">
        <f>C63+8628</f>
        <v>92941392</v>
      </c>
      <c r="D64" s="8">
        <f>SUM(E64:I64)</f>
        <v>124933335</v>
      </c>
      <c r="E64" s="8">
        <v>11538783</v>
      </c>
      <c r="F64" s="8">
        <v>9155328</v>
      </c>
      <c r="G64" s="8">
        <v>74583456</v>
      </c>
      <c r="H64" s="8">
        <v>25837765</v>
      </c>
      <c r="I64" s="8">
        <v>3818003</v>
      </c>
      <c r="J64" s="8">
        <f>SUM(K64:P64)</f>
        <v>105464337</v>
      </c>
      <c r="K64" s="8">
        <v>8469391</v>
      </c>
      <c r="L64" s="8">
        <v>8778044</v>
      </c>
      <c r="M64" s="8">
        <v>111957</v>
      </c>
      <c r="N64" s="8">
        <v>71840368</v>
      </c>
      <c r="O64" s="8">
        <v>13077756</v>
      </c>
      <c r="P64" s="8">
        <v>3186821</v>
      </c>
    </row>
    <row r="65" spans="1:16" s="37" customFormat="1" ht="25.5" customHeight="1">
      <c r="A65" s="35"/>
      <c r="B65" s="51" t="s">
        <v>99</v>
      </c>
      <c r="C65" s="59">
        <v>8628</v>
      </c>
      <c r="D65" s="5">
        <f>SUM(E65:I65)</f>
        <v>21195</v>
      </c>
      <c r="E65" s="5"/>
      <c r="F65" s="5"/>
      <c r="G65" s="5">
        <v>6375</v>
      </c>
      <c r="H65" s="5">
        <v>14820</v>
      </c>
      <c r="I65" s="5"/>
      <c r="J65" s="5">
        <f>SUM(K65:P65)</f>
        <v>21904</v>
      </c>
      <c r="K65" s="5"/>
      <c r="L65" s="5"/>
      <c r="M65" s="5"/>
      <c r="N65" s="5">
        <v>7172</v>
      </c>
      <c r="O65" s="5">
        <f>14679+53</f>
        <v>14732</v>
      </c>
      <c r="P65" s="5"/>
    </row>
    <row r="66" spans="1:16" s="10" customFormat="1" ht="25.5">
      <c r="A66" s="29">
        <v>8</v>
      </c>
      <c r="B66" s="58" t="s">
        <v>60</v>
      </c>
      <c r="C66" s="48">
        <v>59710078</v>
      </c>
      <c r="D66" s="3">
        <f>SUM(E66:I66)</f>
        <v>63656904</v>
      </c>
      <c r="E66" s="6">
        <f>E67</f>
        <v>22095721</v>
      </c>
      <c r="F66" s="6">
        <f>F67-F68</f>
        <v>3997119</v>
      </c>
      <c r="G66" s="6">
        <f>G67-G68</f>
        <v>35906196</v>
      </c>
      <c r="H66" s="6">
        <f>H67-H68</f>
        <v>598762</v>
      </c>
      <c r="I66" s="6">
        <f>I67-I68</f>
        <v>1059106</v>
      </c>
      <c r="J66" s="3">
        <f>SUM(K66:P66)</f>
        <v>63176380</v>
      </c>
      <c r="K66" s="6">
        <f>K67</f>
        <v>21948808</v>
      </c>
      <c r="L66" s="6">
        <f>L67-L68</f>
        <v>3462736</v>
      </c>
      <c r="M66" s="6">
        <f>M67-M68</f>
        <v>1011160</v>
      </c>
      <c r="N66" s="6">
        <f>N67-N68</f>
        <v>35041508</v>
      </c>
      <c r="O66" s="6">
        <f>O67-O68</f>
        <v>776436</v>
      </c>
      <c r="P66" s="6">
        <f>P67-P68</f>
        <v>935732</v>
      </c>
    </row>
    <row r="67" spans="1:16" s="23" customFormat="1" ht="12" customHeight="1">
      <c r="A67" s="20"/>
      <c r="B67" s="49" t="s">
        <v>12</v>
      </c>
      <c r="C67" s="50">
        <f>C66+200</f>
        <v>59710278</v>
      </c>
      <c r="D67" s="8">
        <f aca="true" t="shared" si="10" ref="D67:D73">SUM(E67:I67)</f>
        <v>63665023</v>
      </c>
      <c r="E67" s="8">
        <v>22095721</v>
      </c>
      <c r="F67" s="8">
        <v>3997119</v>
      </c>
      <c r="G67" s="8">
        <v>35914315</v>
      </c>
      <c r="H67" s="8">
        <v>598762</v>
      </c>
      <c r="I67" s="8">
        <v>1059106</v>
      </c>
      <c r="J67" s="8">
        <f aca="true" t="shared" si="11" ref="J67:J73">SUM(K67:P67)</f>
        <v>63184114</v>
      </c>
      <c r="K67" s="8">
        <v>21948808</v>
      </c>
      <c r="L67" s="8">
        <v>3462736</v>
      </c>
      <c r="M67" s="8">
        <v>1011160</v>
      </c>
      <c r="N67" s="8">
        <v>35049242</v>
      </c>
      <c r="O67" s="8">
        <v>776436</v>
      </c>
      <c r="P67" s="8">
        <v>935732</v>
      </c>
    </row>
    <row r="68" spans="1:16" s="37" customFormat="1" ht="25.5" customHeight="1">
      <c r="A68" s="35"/>
      <c r="B68" s="51" t="s">
        <v>99</v>
      </c>
      <c r="C68" s="59">
        <v>200</v>
      </c>
      <c r="D68" s="5">
        <f t="shared" si="10"/>
        <v>8119</v>
      </c>
      <c r="E68" s="5"/>
      <c r="F68" s="5"/>
      <c r="G68" s="5">
        <v>8119</v>
      </c>
      <c r="H68" s="5"/>
      <c r="I68" s="5"/>
      <c r="J68" s="5">
        <f t="shared" si="11"/>
        <v>7734</v>
      </c>
      <c r="K68" s="5"/>
      <c r="L68" s="5"/>
      <c r="M68" s="5"/>
      <c r="N68" s="5">
        <v>7734</v>
      </c>
      <c r="O68" s="5"/>
      <c r="P68" s="5"/>
    </row>
    <row r="69" spans="1:16" s="10" customFormat="1" ht="25.5">
      <c r="A69" s="29">
        <v>9</v>
      </c>
      <c r="B69" s="58" t="s">
        <v>61</v>
      </c>
      <c r="C69" s="48">
        <v>1666303</v>
      </c>
      <c r="D69" s="3">
        <f t="shared" si="10"/>
        <v>1101445</v>
      </c>
      <c r="E69" s="6">
        <f>E70-E71</f>
        <v>202127</v>
      </c>
      <c r="F69" s="6">
        <f>F70-F71</f>
        <v>0</v>
      </c>
      <c r="G69" s="6">
        <f>G70-G71</f>
        <v>890828</v>
      </c>
      <c r="H69" s="6">
        <f>H70-H71</f>
        <v>3100</v>
      </c>
      <c r="I69" s="6">
        <f>I70-I71</f>
        <v>5390</v>
      </c>
      <c r="J69" s="3">
        <f t="shared" si="11"/>
        <v>1072631</v>
      </c>
      <c r="K69" s="6">
        <f aca="true" t="shared" si="12" ref="K69:P69">K70-K71</f>
        <v>179518</v>
      </c>
      <c r="L69" s="6">
        <f t="shared" si="12"/>
        <v>0</v>
      </c>
      <c r="M69" s="6">
        <f t="shared" si="12"/>
        <v>0</v>
      </c>
      <c r="N69" s="6">
        <f t="shared" si="12"/>
        <v>888956</v>
      </c>
      <c r="O69" s="6">
        <f t="shared" si="12"/>
        <v>3051</v>
      </c>
      <c r="P69" s="6">
        <f t="shared" si="12"/>
        <v>1106</v>
      </c>
    </row>
    <row r="70" spans="1:16" s="23" customFormat="1" ht="11.25">
      <c r="A70" s="20"/>
      <c r="B70" s="49" t="s">
        <v>12</v>
      </c>
      <c r="C70" s="50">
        <f>C69+33243</f>
        <v>1699546</v>
      </c>
      <c r="D70" s="8">
        <f t="shared" si="10"/>
        <v>1140485</v>
      </c>
      <c r="E70" s="8">
        <v>202127</v>
      </c>
      <c r="F70" s="8">
        <v>0</v>
      </c>
      <c r="G70" s="8">
        <v>929868</v>
      </c>
      <c r="H70" s="8">
        <v>3100</v>
      </c>
      <c r="I70" s="8">
        <v>5390</v>
      </c>
      <c r="J70" s="8">
        <f t="shared" si="11"/>
        <v>1111671</v>
      </c>
      <c r="K70" s="8">
        <v>179518</v>
      </c>
      <c r="L70" s="8">
        <v>0</v>
      </c>
      <c r="M70" s="8">
        <v>0</v>
      </c>
      <c r="N70" s="8">
        <v>927996</v>
      </c>
      <c r="O70" s="8">
        <v>3051</v>
      </c>
      <c r="P70" s="8">
        <v>1106</v>
      </c>
    </row>
    <row r="71" spans="1:16" s="37" customFormat="1" ht="25.5" customHeight="1">
      <c r="A71" s="35"/>
      <c r="B71" s="51" t="s">
        <v>99</v>
      </c>
      <c r="C71" s="59">
        <v>33243</v>
      </c>
      <c r="D71" s="5">
        <f t="shared" si="10"/>
        <v>39040</v>
      </c>
      <c r="E71" s="5"/>
      <c r="F71" s="5"/>
      <c r="G71" s="5">
        <v>39040</v>
      </c>
      <c r="H71" s="5"/>
      <c r="I71" s="5"/>
      <c r="J71" s="5">
        <f t="shared" si="11"/>
        <v>39040</v>
      </c>
      <c r="K71" s="5"/>
      <c r="L71" s="5"/>
      <c r="M71" s="5"/>
      <c r="N71" s="5">
        <v>39040</v>
      </c>
      <c r="O71" s="5"/>
      <c r="P71" s="5"/>
    </row>
    <row r="72" spans="1:16" s="10" customFormat="1" ht="25.5">
      <c r="A72" s="29">
        <v>10</v>
      </c>
      <c r="B72" s="58" t="s">
        <v>62</v>
      </c>
      <c r="C72" s="48">
        <v>68161485</v>
      </c>
      <c r="D72" s="3">
        <f t="shared" si="10"/>
        <v>84099625</v>
      </c>
      <c r="E72" s="6">
        <v>81646795</v>
      </c>
      <c r="F72" s="6">
        <v>500000</v>
      </c>
      <c r="G72" s="6">
        <v>1733812</v>
      </c>
      <c r="H72" s="6">
        <v>218818</v>
      </c>
      <c r="I72" s="6">
        <v>200</v>
      </c>
      <c r="J72" s="3">
        <f t="shared" si="11"/>
        <v>67420031</v>
      </c>
      <c r="K72" s="6">
        <v>65081017</v>
      </c>
      <c r="L72" s="6">
        <v>498334</v>
      </c>
      <c r="M72" s="6">
        <v>75411</v>
      </c>
      <c r="N72" s="6">
        <v>1569316</v>
      </c>
      <c r="O72" s="6">
        <v>195753</v>
      </c>
      <c r="P72" s="6">
        <v>200</v>
      </c>
    </row>
    <row r="73" spans="1:16" s="10" customFormat="1" ht="38.25">
      <c r="A73" s="29">
        <v>11</v>
      </c>
      <c r="B73" s="58" t="s">
        <v>90</v>
      </c>
      <c r="C73" s="48">
        <v>903564</v>
      </c>
      <c r="D73" s="3">
        <f t="shared" si="10"/>
        <v>1084747</v>
      </c>
      <c r="E73" s="6">
        <v>912523</v>
      </c>
      <c r="F73" s="6">
        <v>0</v>
      </c>
      <c r="G73" s="6">
        <v>155696</v>
      </c>
      <c r="H73" s="6">
        <v>16528</v>
      </c>
      <c r="I73" s="6">
        <v>0</v>
      </c>
      <c r="J73" s="3">
        <f t="shared" si="11"/>
        <v>1000409</v>
      </c>
      <c r="K73" s="6">
        <v>908228</v>
      </c>
      <c r="L73" s="6"/>
      <c r="M73" s="6"/>
      <c r="N73" s="6">
        <v>85766</v>
      </c>
      <c r="O73" s="6">
        <v>6415</v>
      </c>
      <c r="P73" s="6">
        <v>0</v>
      </c>
    </row>
    <row r="74" spans="1:16" s="10" customFormat="1" ht="12.75">
      <c r="A74" s="29">
        <v>12</v>
      </c>
      <c r="B74" s="58" t="s">
        <v>63</v>
      </c>
      <c r="C74" s="48">
        <v>85623936</v>
      </c>
      <c r="D74" s="3">
        <f aca="true" t="shared" si="13" ref="D74:M74">D75-D76-D77</f>
        <v>102945835</v>
      </c>
      <c r="E74" s="6">
        <f t="shared" si="13"/>
        <v>16138770</v>
      </c>
      <c r="F74" s="6">
        <f t="shared" si="13"/>
        <v>63238324</v>
      </c>
      <c r="G74" s="6">
        <f t="shared" si="13"/>
        <v>12206980</v>
      </c>
      <c r="H74" s="6">
        <f t="shared" si="13"/>
        <v>12090831</v>
      </c>
      <c r="I74" s="6">
        <f t="shared" si="13"/>
        <v>-729070</v>
      </c>
      <c r="J74" s="3">
        <f t="shared" si="13"/>
        <v>82847586</v>
      </c>
      <c r="K74" s="6">
        <f t="shared" si="13"/>
        <v>11627224</v>
      </c>
      <c r="L74" s="6">
        <f t="shared" si="13"/>
        <v>50366649</v>
      </c>
      <c r="M74" s="6">
        <f t="shared" si="13"/>
        <v>0</v>
      </c>
      <c r="N74" s="6">
        <f>N75-N76-N77</f>
        <v>11764969</v>
      </c>
      <c r="O74" s="6">
        <f>O75-O76-O77</f>
        <v>9817815</v>
      </c>
      <c r="P74" s="6">
        <f>P75-P76-P77</f>
        <v>-729071</v>
      </c>
    </row>
    <row r="75" spans="1:16" s="23" customFormat="1" ht="11.25">
      <c r="A75" s="20"/>
      <c r="B75" s="49" t="s">
        <v>12</v>
      </c>
      <c r="C75" s="50">
        <f>C74+C76+C77</f>
        <v>100154432</v>
      </c>
      <c r="D75" s="8">
        <f>SUM(E75:I75)</f>
        <v>113570782</v>
      </c>
      <c r="E75" s="8">
        <v>16138770</v>
      </c>
      <c r="F75" s="8">
        <v>73861871</v>
      </c>
      <c r="G75" s="8">
        <v>12208380</v>
      </c>
      <c r="H75" s="8">
        <v>12090831</v>
      </c>
      <c r="I75" s="8">
        <v>-729070</v>
      </c>
      <c r="J75" s="8">
        <f>SUM(K75:P75)</f>
        <v>96635309</v>
      </c>
      <c r="K75" s="8">
        <v>11627224</v>
      </c>
      <c r="L75" s="8">
        <v>64152067</v>
      </c>
      <c r="M75" s="8">
        <v>0</v>
      </c>
      <c r="N75" s="8">
        <v>11767274</v>
      </c>
      <c r="O75" s="8">
        <v>9817815</v>
      </c>
      <c r="P75" s="8">
        <v>-729071</v>
      </c>
    </row>
    <row r="76" spans="1:16" s="37" customFormat="1" ht="11.25">
      <c r="A76" s="35"/>
      <c r="B76" s="51" t="s">
        <v>64</v>
      </c>
      <c r="C76" s="52">
        <v>14501918</v>
      </c>
      <c r="D76" s="5">
        <f>SUM(E76:I76)</f>
        <v>10623547</v>
      </c>
      <c r="E76" s="5"/>
      <c r="F76" s="5">
        <v>10623547</v>
      </c>
      <c r="G76" s="5"/>
      <c r="H76" s="5"/>
      <c r="I76" s="5"/>
      <c r="J76" s="5">
        <f>SUM(K76:P76)</f>
        <v>13785418</v>
      </c>
      <c r="K76" s="5"/>
      <c r="L76" s="5">
        <v>13785418</v>
      </c>
      <c r="M76" s="5"/>
      <c r="N76" s="5"/>
      <c r="O76" s="5"/>
      <c r="P76" s="5"/>
    </row>
    <row r="77" spans="1:16" s="37" customFormat="1" ht="25.5" customHeight="1">
      <c r="A77" s="35"/>
      <c r="B77" s="51" t="s">
        <v>99</v>
      </c>
      <c r="C77" s="59">
        <f>509+28069</f>
        <v>28578</v>
      </c>
      <c r="D77" s="5">
        <f>SUM(E77:I77)</f>
        <v>1400</v>
      </c>
      <c r="E77" s="5"/>
      <c r="F77" s="5"/>
      <c r="G77" s="5">
        <v>1400</v>
      </c>
      <c r="H77" s="5"/>
      <c r="I77" s="5"/>
      <c r="J77" s="5">
        <f>SUM(K77:P77)</f>
        <v>2305</v>
      </c>
      <c r="K77" s="5"/>
      <c r="L77" s="5"/>
      <c r="M77" s="5"/>
      <c r="N77" s="5">
        <v>2305</v>
      </c>
      <c r="O77" s="5"/>
      <c r="P77" s="5"/>
    </row>
    <row r="78" spans="1:16" s="10" customFormat="1" ht="25.5">
      <c r="A78" s="29">
        <v>13</v>
      </c>
      <c r="B78" s="58" t="s">
        <v>65</v>
      </c>
      <c r="C78" s="48">
        <v>36440942</v>
      </c>
      <c r="D78" s="3">
        <f aca="true" t="shared" si="14" ref="D78:M78">D79-D80</f>
        <v>32897670</v>
      </c>
      <c r="E78" s="6">
        <f t="shared" si="14"/>
        <v>25686566</v>
      </c>
      <c r="F78" s="6">
        <f t="shared" si="14"/>
        <v>4180600</v>
      </c>
      <c r="G78" s="6">
        <f t="shared" si="14"/>
        <v>1489623</v>
      </c>
      <c r="H78" s="6">
        <f t="shared" si="14"/>
        <v>1043100</v>
      </c>
      <c r="I78" s="6">
        <f t="shared" si="14"/>
        <v>497781</v>
      </c>
      <c r="J78" s="3">
        <f t="shared" si="14"/>
        <v>27542463</v>
      </c>
      <c r="K78" s="6">
        <f t="shared" si="14"/>
        <v>22328723</v>
      </c>
      <c r="L78" s="6">
        <f t="shared" si="14"/>
        <v>2533454</v>
      </c>
      <c r="M78" s="6">
        <f t="shared" si="14"/>
        <v>35546</v>
      </c>
      <c r="N78" s="6">
        <f>N79-N80</f>
        <v>1444695</v>
      </c>
      <c r="O78" s="6">
        <f>O79-O80</f>
        <v>961717</v>
      </c>
      <c r="P78" s="6">
        <f>P79-P80</f>
        <v>238328</v>
      </c>
    </row>
    <row r="79" spans="1:16" s="23" customFormat="1" ht="11.25">
      <c r="A79" s="20"/>
      <c r="B79" s="49" t="s">
        <v>12</v>
      </c>
      <c r="C79" s="50">
        <f>C78+C80</f>
        <v>36441558</v>
      </c>
      <c r="D79" s="8">
        <f aca="true" t="shared" si="15" ref="D79:D85">SUM(E79:I79)</f>
        <v>32898900</v>
      </c>
      <c r="E79" s="8">
        <v>25686566</v>
      </c>
      <c r="F79" s="8">
        <v>4180600</v>
      </c>
      <c r="G79" s="8">
        <v>1490180</v>
      </c>
      <c r="H79" s="8">
        <v>1043773</v>
      </c>
      <c r="I79" s="8">
        <v>497781</v>
      </c>
      <c r="J79" s="8">
        <f aca="true" t="shared" si="16" ref="J79:J85">SUM(K79:P79)</f>
        <v>27543136</v>
      </c>
      <c r="K79" s="8">
        <v>22328723</v>
      </c>
      <c r="L79" s="8">
        <v>2533454</v>
      </c>
      <c r="M79" s="8">
        <v>35546</v>
      </c>
      <c r="N79" s="8">
        <v>1444695</v>
      </c>
      <c r="O79" s="8">
        <v>962390</v>
      </c>
      <c r="P79" s="8">
        <v>238328</v>
      </c>
    </row>
    <row r="80" spans="1:16" s="37" customFormat="1" ht="24.75" customHeight="1">
      <c r="A80" s="35"/>
      <c r="B80" s="51" t="s">
        <v>99</v>
      </c>
      <c r="C80" s="59">
        <v>616</v>
      </c>
      <c r="D80" s="5">
        <f t="shared" si="15"/>
        <v>1230</v>
      </c>
      <c r="E80" s="5"/>
      <c r="F80" s="5"/>
      <c r="G80" s="5">
        <v>557</v>
      </c>
      <c r="H80" s="5">
        <v>673</v>
      </c>
      <c r="I80" s="5"/>
      <c r="J80" s="5">
        <f t="shared" si="16"/>
        <v>673</v>
      </c>
      <c r="K80" s="5"/>
      <c r="L80" s="5"/>
      <c r="M80" s="5"/>
      <c r="N80" s="5"/>
      <c r="O80" s="5">
        <v>673</v>
      </c>
      <c r="P80" s="5"/>
    </row>
    <row r="81" spans="1:16" s="10" customFormat="1" ht="25.5">
      <c r="A81" s="29">
        <v>14</v>
      </c>
      <c r="B81" s="58" t="s">
        <v>66</v>
      </c>
      <c r="C81" s="48">
        <v>54474226</v>
      </c>
      <c r="D81" s="3">
        <f t="shared" si="15"/>
        <v>51303111</v>
      </c>
      <c r="E81" s="6">
        <f>E82-E83-E84</f>
        <v>47398155</v>
      </c>
      <c r="F81" s="6">
        <f>F82-F83-F84</f>
        <v>0</v>
      </c>
      <c r="G81" s="6">
        <f>G82-G83-G84-G85</f>
        <v>4542491</v>
      </c>
      <c r="H81" s="6">
        <f>H82-H83-H84</f>
        <v>-704546</v>
      </c>
      <c r="I81" s="6">
        <f>I82-I83-I84</f>
        <v>67011</v>
      </c>
      <c r="J81" s="3">
        <f t="shared" si="16"/>
        <v>40536710</v>
      </c>
      <c r="K81" s="6">
        <f aca="true" t="shared" si="17" ref="K81:P81">K82-K83-K84</f>
        <v>37459037</v>
      </c>
      <c r="L81" s="6">
        <f t="shared" si="17"/>
        <v>0</v>
      </c>
      <c r="M81" s="6">
        <f t="shared" si="17"/>
        <v>0</v>
      </c>
      <c r="N81" s="6">
        <f>N82-N83-N84-N85</f>
        <v>3947661</v>
      </c>
      <c r="O81" s="6">
        <f t="shared" si="17"/>
        <v>-884245</v>
      </c>
      <c r="P81" s="6">
        <f t="shared" si="17"/>
        <v>14257</v>
      </c>
    </row>
    <row r="82" spans="1:16" s="23" customFormat="1" ht="11.25">
      <c r="A82" s="20"/>
      <c r="B82" s="49" t="s">
        <v>12</v>
      </c>
      <c r="C82" s="50">
        <f>C81+C83+C84+C85</f>
        <v>176060341</v>
      </c>
      <c r="D82" s="8">
        <f t="shared" si="15"/>
        <v>177140922</v>
      </c>
      <c r="E82" s="8">
        <v>170437667</v>
      </c>
      <c r="F82" s="8">
        <v>0</v>
      </c>
      <c r="G82" s="8">
        <v>7340790</v>
      </c>
      <c r="H82" s="8">
        <v>-704546</v>
      </c>
      <c r="I82" s="8">
        <v>67011</v>
      </c>
      <c r="J82" s="8">
        <f t="shared" si="16"/>
        <v>169744264</v>
      </c>
      <c r="K82" s="8">
        <v>163767495</v>
      </c>
      <c r="L82" s="8">
        <v>0</v>
      </c>
      <c r="M82" s="8">
        <v>0</v>
      </c>
      <c r="N82" s="8">
        <v>6846757</v>
      </c>
      <c r="O82" s="8">
        <v>-884245</v>
      </c>
      <c r="P82" s="8">
        <v>14257</v>
      </c>
    </row>
    <row r="83" spans="1:18" s="37" customFormat="1" ht="22.5">
      <c r="A83" s="35"/>
      <c r="B83" s="51" t="s">
        <v>102</v>
      </c>
      <c r="C83" s="52">
        <v>109648189</v>
      </c>
      <c r="D83" s="5">
        <f t="shared" si="15"/>
        <v>112613325</v>
      </c>
      <c r="E83" s="5">
        <v>112613325</v>
      </c>
      <c r="F83" s="5"/>
      <c r="G83" s="5"/>
      <c r="H83" s="5"/>
      <c r="I83" s="5"/>
      <c r="J83" s="5">
        <f t="shared" si="16"/>
        <v>119331391</v>
      </c>
      <c r="K83" s="5">
        <f>112178494+7152897</f>
        <v>119331391</v>
      </c>
      <c r="L83" s="5"/>
      <c r="M83" s="5"/>
      <c r="N83" s="5"/>
      <c r="O83" s="5"/>
      <c r="P83" s="5"/>
      <c r="R83" s="5"/>
    </row>
    <row r="84" spans="1:16" s="37" customFormat="1" ht="11.25">
      <c r="A84" s="35"/>
      <c r="B84" s="51" t="s">
        <v>103</v>
      </c>
      <c r="C84" s="52">
        <v>10154692</v>
      </c>
      <c r="D84" s="5">
        <f t="shared" si="15"/>
        <v>10426187</v>
      </c>
      <c r="E84" s="5">
        <v>10426187</v>
      </c>
      <c r="F84" s="5"/>
      <c r="G84" s="5"/>
      <c r="H84" s="5"/>
      <c r="I84" s="5"/>
      <c r="J84" s="5">
        <f t="shared" si="16"/>
        <v>6977067</v>
      </c>
      <c r="K84" s="5">
        <v>6977067</v>
      </c>
      <c r="L84" s="5"/>
      <c r="M84" s="5"/>
      <c r="N84" s="5"/>
      <c r="O84" s="5"/>
      <c r="P84" s="5"/>
    </row>
    <row r="85" spans="1:16" s="37" customFormat="1" ht="25.5" customHeight="1">
      <c r="A85" s="35"/>
      <c r="B85" s="51" t="s">
        <v>99</v>
      </c>
      <c r="C85" s="59">
        <f>1781549+1685</f>
        <v>1783234</v>
      </c>
      <c r="D85" s="5">
        <f t="shared" si="15"/>
        <v>2798299</v>
      </c>
      <c r="E85" s="11"/>
      <c r="F85" s="11"/>
      <c r="G85" s="5">
        <v>2798299</v>
      </c>
      <c r="H85" s="5"/>
      <c r="I85" s="11"/>
      <c r="J85" s="5">
        <f t="shared" si="16"/>
        <v>2899096</v>
      </c>
      <c r="K85" s="11"/>
      <c r="L85" s="11"/>
      <c r="M85" s="11"/>
      <c r="N85" s="5">
        <v>2899096</v>
      </c>
      <c r="O85" s="5"/>
      <c r="P85" s="11"/>
    </row>
    <row r="86" spans="4:10" ht="12.75">
      <c r="D86" s="27"/>
      <c r="J86" s="27"/>
    </row>
    <row r="87" spans="1:16" s="10" customFormat="1" ht="38.25">
      <c r="A87" s="29"/>
      <c r="B87" s="57" t="s">
        <v>67</v>
      </c>
      <c r="C87" s="60">
        <f>SUM(C89,C116)</f>
        <v>1743080402</v>
      </c>
      <c r="D87" s="3">
        <f>SUM(D91,D110,D116)</f>
        <v>1934367240</v>
      </c>
      <c r="E87" s="3">
        <f>SUM(E91,E110,E116)</f>
        <v>651661116</v>
      </c>
      <c r="F87" s="3">
        <f>SUM(F89,F116)</f>
        <v>764559204</v>
      </c>
      <c r="G87" s="3">
        <f>SUM(G89,G116)</f>
        <v>457278183</v>
      </c>
      <c r="H87" s="3">
        <f>SUM(H89,H116)</f>
        <v>54270492</v>
      </c>
      <c r="I87" s="3">
        <f>SUM(I89,I116)</f>
        <v>6598245</v>
      </c>
      <c r="J87" s="3">
        <f>SUM(J91,J110,J116)</f>
        <v>1798446713</v>
      </c>
      <c r="K87" s="3">
        <f>SUM(K91,K110,K116)</f>
        <v>594591705</v>
      </c>
      <c r="L87" s="3">
        <f>SUM(L89,L116)</f>
        <v>711753039</v>
      </c>
      <c r="M87" s="3">
        <f>SUM(M89,M116)</f>
        <v>4339422</v>
      </c>
      <c r="N87" s="3">
        <f>SUM(N89,N116)</f>
        <v>447191126</v>
      </c>
      <c r="O87" s="3">
        <f>SUM(O89,O116)</f>
        <v>35531707</v>
      </c>
      <c r="P87" s="3">
        <f>SUM(P89,P116)</f>
        <v>5039714</v>
      </c>
    </row>
    <row r="88" spans="1:16" s="10" customFormat="1" ht="12.75">
      <c r="A88" s="29"/>
      <c r="B88" s="57"/>
      <c r="C88" s="60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s="10" customFormat="1" ht="12.75">
      <c r="A89" s="29"/>
      <c r="B89" s="61" t="s">
        <v>68</v>
      </c>
      <c r="C89" s="60">
        <f>SUM(C91,C110)</f>
        <v>1743751841</v>
      </c>
      <c r="D89" s="3">
        <f>SUM(D91,D110)</f>
        <v>1937116102</v>
      </c>
      <c r="E89" s="3">
        <f>SUM(E91,E110)</f>
        <v>656413523</v>
      </c>
      <c r="F89" s="3">
        <f>SUM(F91,F110)</f>
        <v>758189152</v>
      </c>
      <c r="G89" s="3">
        <f>SUM(G91,G110,)</f>
        <v>457603732</v>
      </c>
      <c r="H89" s="3">
        <f>SUM(H91,H110,)</f>
        <v>57388413</v>
      </c>
      <c r="I89" s="3">
        <f>SUM(I91,I110,)</f>
        <v>7521282</v>
      </c>
      <c r="J89" s="3">
        <f>SUM(J91,J110)</f>
        <v>1801102325</v>
      </c>
      <c r="K89" s="3">
        <f>SUM(K91,K110)</f>
        <v>598322698</v>
      </c>
      <c r="L89" s="3">
        <f>SUM(L91,L110)</f>
        <v>706087352</v>
      </c>
      <c r="M89" s="3">
        <f>SUM(M91,M110,)</f>
        <v>4339422</v>
      </c>
      <c r="N89" s="3">
        <f>SUM(N91,N110,)</f>
        <v>447504915</v>
      </c>
      <c r="O89" s="3">
        <f>SUM(O91,O110,)</f>
        <v>38900187</v>
      </c>
      <c r="P89" s="3">
        <f>SUM(P91,P110,)</f>
        <v>5947751</v>
      </c>
    </row>
    <row r="90" spans="1:16" s="10" customFormat="1" ht="12.75">
      <c r="A90" s="29"/>
      <c r="B90" s="61"/>
      <c r="C90" s="6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s="10" customFormat="1" ht="12.75">
      <c r="A91" s="29"/>
      <c r="B91" s="61" t="s">
        <v>69</v>
      </c>
      <c r="C91" s="60">
        <f aca="true" t="shared" si="18" ref="C91:I91">SUM(C92,C102,C105)</f>
        <v>1567625115</v>
      </c>
      <c r="D91" s="3">
        <f t="shared" si="18"/>
        <v>1718508222</v>
      </c>
      <c r="E91" s="3">
        <f t="shared" si="18"/>
        <v>589907028</v>
      </c>
      <c r="F91" s="3">
        <f t="shared" si="18"/>
        <v>725164227</v>
      </c>
      <c r="G91" s="3">
        <f t="shared" si="18"/>
        <v>368581902</v>
      </c>
      <c r="H91" s="3">
        <f t="shared" si="18"/>
        <v>30780741</v>
      </c>
      <c r="I91" s="3">
        <f t="shared" si="18"/>
        <v>4074324</v>
      </c>
      <c r="J91" s="3">
        <f aca="true" t="shared" si="19" ref="J91:P91">SUM(J92,J102,J105)</f>
        <v>1619337594</v>
      </c>
      <c r="K91" s="3">
        <f t="shared" si="19"/>
        <v>545479366</v>
      </c>
      <c r="L91" s="3">
        <f t="shared" si="19"/>
        <v>679651131</v>
      </c>
      <c r="M91" s="3">
        <f t="shared" si="19"/>
        <v>3962879</v>
      </c>
      <c r="N91" s="3">
        <f t="shared" si="19"/>
        <v>361518907</v>
      </c>
      <c r="O91" s="3">
        <f t="shared" si="19"/>
        <v>25502466</v>
      </c>
      <c r="P91" s="3">
        <f t="shared" si="19"/>
        <v>3222845</v>
      </c>
    </row>
    <row r="92" spans="1:16" s="10" customFormat="1" ht="12.75">
      <c r="A92" s="29"/>
      <c r="B92" s="58" t="s">
        <v>70</v>
      </c>
      <c r="C92" s="48">
        <f>SUM(C93:C100)</f>
        <v>699243473</v>
      </c>
      <c r="D92" s="3">
        <f aca="true" t="shared" si="20" ref="D92:D99">SUM(E92:I92)</f>
        <v>762073663</v>
      </c>
      <c r="E92" s="3">
        <v>379916673</v>
      </c>
      <c r="F92" s="3">
        <v>31334901</v>
      </c>
      <c r="G92" s="3">
        <f>SUM(G93,G94,G95,G96,G97,G98)</f>
        <v>324353726</v>
      </c>
      <c r="H92" s="3">
        <f>SUM(H93:H98)</f>
        <v>22888951</v>
      </c>
      <c r="I92" s="3">
        <f>SUM(I93:I98)</f>
        <v>3579412</v>
      </c>
      <c r="J92" s="3">
        <f aca="true" t="shared" si="21" ref="J92:J101">SUM(K92:P92)</f>
        <v>735577256</v>
      </c>
      <c r="K92" s="3">
        <f>SUM(K93,K94,K95,K96,K97,K98,K99)</f>
        <v>362508808</v>
      </c>
      <c r="L92" s="3">
        <f>SUM(L93,L94,L95,L96,L97,L98,L99)</f>
        <v>28469388</v>
      </c>
      <c r="M92" s="3">
        <f>SUM(M93,M94,M95,M96,M97,M98,M101)</f>
        <v>3271652</v>
      </c>
      <c r="N92" s="3">
        <f>SUM(N93,N94,N95,N96,N97,N98)</f>
        <v>320058015</v>
      </c>
      <c r="O92" s="3">
        <f>SUM(O93:O98)</f>
        <v>18489092</v>
      </c>
      <c r="P92" s="3">
        <f>SUM(P93:P98)</f>
        <v>2780301</v>
      </c>
    </row>
    <row r="93" spans="1:16" s="23" customFormat="1" ht="11.25">
      <c r="A93" s="20"/>
      <c r="B93" s="62" t="s">
        <v>71</v>
      </c>
      <c r="C93" s="63">
        <v>314043686</v>
      </c>
      <c r="D93" s="64">
        <f t="shared" si="20"/>
        <v>347149510</v>
      </c>
      <c r="E93" s="8">
        <v>173539339</v>
      </c>
      <c r="F93" s="8">
        <v>1539261</v>
      </c>
      <c r="G93" s="8">
        <v>168806670</v>
      </c>
      <c r="H93" s="8">
        <v>2890297</v>
      </c>
      <c r="I93" s="8">
        <v>373943</v>
      </c>
      <c r="J93" s="64">
        <f t="shared" si="21"/>
        <v>344871426</v>
      </c>
      <c r="K93" s="8">
        <v>170757750</v>
      </c>
      <c r="L93" s="8">
        <v>1427117</v>
      </c>
      <c r="M93" s="8">
        <v>485380</v>
      </c>
      <c r="N93" s="8">
        <v>169255607</v>
      </c>
      <c r="O93" s="8">
        <v>2615183</v>
      </c>
      <c r="P93" s="8">
        <v>330389</v>
      </c>
    </row>
    <row r="94" spans="1:16" s="23" customFormat="1" ht="22.5">
      <c r="A94" s="20"/>
      <c r="B94" s="62" t="s">
        <v>72</v>
      </c>
      <c r="C94" s="63">
        <v>82403349</v>
      </c>
      <c r="D94" s="64">
        <f t="shared" si="20"/>
        <v>44239356</v>
      </c>
      <c r="E94" s="8"/>
      <c r="F94" s="8"/>
      <c r="G94" s="8">
        <v>43427619</v>
      </c>
      <c r="H94" s="8">
        <v>720131</v>
      </c>
      <c r="I94" s="8">
        <v>91606</v>
      </c>
      <c r="J94" s="64">
        <f t="shared" si="21"/>
        <v>85859565</v>
      </c>
      <c r="K94" s="8">
        <v>41619857</v>
      </c>
      <c r="L94" s="8">
        <v>345599</v>
      </c>
      <c r="M94" s="8">
        <v>79322</v>
      </c>
      <c r="N94" s="8">
        <v>43093461</v>
      </c>
      <c r="O94" s="8">
        <v>643261</v>
      </c>
      <c r="P94" s="8">
        <v>78065</v>
      </c>
    </row>
    <row r="95" spans="1:16" s="23" customFormat="1" ht="22.5">
      <c r="A95" s="20"/>
      <c r="B95" s="62" t="s">
        <v>73</v>
      </c>
      <c r="C95" s="63">
        <v>7291671</v>
      </c>
      <c r="D95" s="64">
        <f t="shared" si="20"/>
        <v>1583344</v>
      </c>
      <c r="E95" s="8"/>
      <c r="F95" s="8"/>
      <c r="G95" s="8">
        <v>1395160</v>
      </c>
      <c r="H95" s="8">
        <v>84397</v>
      </c>
      <c r="I95" s="8">
        <v>103787</v>
      </c>
      <c r="J95" s="64">
        <f t="shared" si="21"/>
        <v>8029144</v>
      </c>
      <c r="K95" s="8">
        <v>5783894</v>
      </c>
      <c r="L95" s="8">
        <v>497783</v>
      </c>
      <c r="M95" s="8">
        <v>322354</v>
      </c>
      <c r="N95" s="8">
        <v>1285937</v>
      </c>
      <c r="O95" s="8">
        <v>59359</v>
      </c>
      <c r="P95" s="8">
        <v>79817</v>
      </c>
    </row>
    <row r="96" spans="1:16" s="23" customFormat="1" ht="11.25">
      <c r="A96" s="20"/>
      <c r="B96" s="62" t="s">
        <v>74</v>
      </c>
      <c r="C96" s="63">
        <v>171294022</v>
      </c>
      <c r="D96" s="64">
        <f t="shared" si="20"/>
        <v>71712421</v>
      </c>
      <c r="E96" s="8"/>
      <c r="F96" s="8"/>
      <c r="G96" s="8">
        <v>52107699</v>
      </c>
      <c r="H96" s="8">
        <v>17170461</v>
      </c>
      <c r="I96" s="8">
        <v>2434261</v>
      </c>
      <c r="J96" s="64">
        <f t="shared" si="21"/>
        <v>170148671</v>
      </c>
      <c r="K96" s="8">
        <v>82844005</v>
      </c>
      <c r="L96" s="8">
        <v>20589321</v>
      </c>
      <c r="M96" s="8">
        <v>2086112</v>
      </c>
      <c r="N96" s="8">
        <v>49341462</v>
      </c>
      <c r="O96" s="8">
        <v>13432248</v>
      </c>
      <c r="P96" s="8">
        <v>1855523</v>
      </c>
    </row>
    <row r="97" spans="1:16" s="23" customFormat="1" ht="33.75">
      <c r="A97" s="20"/>
      <c r="B97" s="62" t="s">
        <v>75</v>
      </c>
      <c r="C97" s="63">
        <v>116918826</v>
      </c>
      <c r="D97" s="64">
        <f t="shared" si="20"/>
        <v>58833965</v>
      </c>
      <c r="E97" s="8"/>
      <c r="F97" s="8"/>
      <c r="G97" s="8">
        <v>56423639</v>
      </c>
      <c r="H97" s="8">
        <v>1909798</v>
      </c>
      <c r="I97" s="8">
        <v>500528</v>
      </c>
      <c r="J97" s="64">
        <f t="shared" si="21"/>
        <v>117407164</v>
      </c>
      <c r="K97" s="8">
        <v>59830028</v>
      </c>
      <c r="L97" s="8">
        <v>382942</v>
      </c>
      <c r="M97" s="8">
        <v>250149</v>
      </c>
      <c r="N97" s="8">
        <v>54944440</v>
      </c>
      <c r="O97" s="8">
        <v>1627684</v>
      </c>
      <c r="P97" s="8">
        <v>371921</v>
      </c>
    </row>
    <row r="98" spans="1:16" s="23" customFormat="1" ht="11.25">
      <c r="A98" s="20"/>
      <c r="B98" s="62" t="s">
        <v>76</v>
      </c>
      <c r="C98" s="63">
        <v>3424953</v>
      </c>
      <c r="D98" s="64">
        <f t="shared" si="20"/>
        <v>2382093</v>
      </c>
      <c r="E98" s="8"/>
      <c r="F98" s="8"/>
      <c r="G98" s="8">
        <v>2192939</v>
      </c>
      <c r="H98" s="8">
        <v>113867</v>
      </c>
      <c r="I98" s="8">
        <v>75287</v>
      </c>
      <c r="J98" s="64">
        <f t="shared" si="21"/>
        <v>3787078</v>
      </c>
      <c r="K98" s="8">
        <v>1449127</v>
      </c>
      <c r="L98" s="8">
        <v>3192</v>
      </c>
      <c r="M98" s="8">
        <v>21708</v>
      </c>
      <c r="N98" s="8">
        <v>2137108</v>
      </c>
      <c r="O98" s="8">
        <v>111357</v>
      </c>
      <c r="P98" s="8">
        <v>64586</v>
      </c>
    </row>
    <row r="99" spans="1:16" s="23" customFormat="1" ht="11.25">
      <c r="A99" s="20"/>
      <c r="B99" s="62" t="s">
        <v>77</v>
      </c>
      <c r="C99" s="63">
        <v>3866906</v>
      </c>
      <c r="D99" s="64">
        <f t="shared" si="20"/>
        <v>5690057</v>
      </c>
      <c r="E99" s="8"/>
      <c r="F99" s="8">
        <v>5690057</v>
      </c>
      <c r="G99" s="8"/>
      <c r="H99" s="8"/>
      <c r="I99" s="8"/>
      <c r="J99" s="64">
        <f t="shared" si="21"/>
        <v>5447581</v>
      </c>
      <c r="K99" s="8">
        <v>224147</v>
      </c>
      <c r="L99" s="8">
        <v>5223434</v>
      </c>
      <c r="M99" s="8">
        <v>0</v>
      </c>
      <c r="N99" s="8">
        <v>0</v>
      </c>
      <c r="O99" s="8">
        <v>0</v>
      </c>
      <c r="P99" s="8">
        <v>0</v>
      </c>
    </row>
    <row r="100" spans="1:16" s="23" customFormat="1" ht="11.25">
      <c r="A100" s="20"/>
      <c r="B100" s="62" t="s">
        <v>101</v>
      </c>
      <c r="C100" s="63">
        <v>60</v>
      </c>
      <c r="D100" s="64"/>
      <c r="E100" s="8"/>
      <c r="F100" s="8"/>
      <c r="G100" s="8"/>
      <c r="H100" s="8"/>
      <c r="I100" s="8"/>
      <c r="J100" s="64">
        <f t="shared" si="21"/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</row>
    <row r="101" spans="1:16" s="23" customFormat="1" ht="11.25">
      <c r="A101" s="20"/>
      <c r="B101" s="62" t="s">
        <v>110</v>
      </c>
      <c r="C101" s="65"/>
      <c r="D101" s="64"/>
      <c r="E101" s="8"/>
      <c r="F101" s="8"/>
      <c r="G101" s="8"/>
      <c r="H101" s="8"/>
      <c r="I101" s="8"/>
      <c r="J101" s="64">
        <f t="shared" si="21"/>
        <v>26627</v>
      </c>
      <c r="K101" s="8">
        <v>0</v>
      </c>
      <c r="L101" s="8">
        <v>0</v>
      </c>
      <c r="M101" s="8">
        <v>26627</v>
      </c>
      <c r="N101" s="8">
        <v>0</v>
      </c>
      <c r="O101" s="8">
        <v>0</v>
      </c>
      <c r="P101" s="8">
        <v>0</v>
      </c>
    </row>
    <row r="102" spans="1:16" s="10" customFormat="1" ht="25.5">
      <c r="A102" s="29"/>
      <c r="B102" s="58" t="s">
        <v>78</v>
      </c>
      <c r="C102" s="48">
        <v>46521766</v>
      </c>
      <c r="D102" s="3">
        <f aca="true" t="shared" si="22" ref="D102:P102">D103-D104</f>
        <v>54151078</v>
      </c>
      <c r="E102" s="3">
        <f t="shared" si="22"/>
        <v>44065415</v>
      </c>
      <c r="F102" s="3">
        <f t="shared" si="22"/>
        <v>8594114</v>
      </c>
      <c r="G102" s="3">
        <f t="shared" si="22"/>
        <v>1484479</v>
      </c>
      <c r="H102" s="3">
        <f t="shared" si="22"/>
        <v>7070</v>
      </c>
      <c r="I102" s="3">
        <f t="shared" si="22"/>
        <v>0</v>
      </c>
      <c r="J102" s="3">
        <f t="shared" si="22"/>
        <v>49939161</v>
      </c>
      <c r="K102" s="3">
        <f t="shared" si="22"/>
        <v>40275453</v>
      </c>
      <c r="L102" s="3">
        <f t="shared" si="22"/>
        <v>8358077</v>
      </c>
      <c r="M102" s="3">
        <f t="shared" si="22"/>
        <v>0</v>
      </c>
      <c r="N102" s="3">
        <f t="shared" si="22"/>
        <v>1295933</v>
      </c>
      <c r="O102" s="3">
        <f t="shared" si="22"/>
        <v>9698</v>
      </c>
      <c r="P102" s="3">
        <f t="shared" si="22"/>
        <v>0</v>
      </c>
    </row>
    <row r="103" spans="1:16" s="23" customFormat="1" ht="11.25">
      <c r="A103" s="20"/>
      <c r="B103" s="49" t="s">
        <v>12</v>
      </c>
      <c r="C103" s="50">
        <f>C102+C104</f>
        <v>48400581</v>
      </c>
      <c r="D103" s="8">
        <f>SUM(E103:I103)</f>
        <v>57053490</v>
      </c>
      <c r="E103" s="8">
        <v>44065415</v>
      </c>
      <c r="F103" s="8">
        <v>8594114</v>
      </c>
      <c r="G103" s="8">
        <v>4371398</v>
      </c>
      <c r="H103" s="8">
        <v>22563</v>
      </c>
      <c r="I103" s="64">
        <v>0</v>
      </c>
      <c r="J103" s="8">
        <f>SUM(K103:P103)</f>
        <v>52947224</v>
      </c>
      <c r="K103" s="8">
        <v>40275453</v>
      </c>
      <c r="L103" s="8">
        <v>8358077</v>
      </c>
      <c r="M103" s="8">
        <v>0</v>
      </c>
      <c r="N103" s="8">
        <v>4288591</v>
      </c>
      <c r="O103" s="8">
        <v>25103</v>
      </c>
      <c r="P103" s="64">
        <v>0</v>
      </c>
    </row>
    <row r="104" spans="1:16" s="37" customFormat="1" ht="26.25" customHeight="1">
      <c r="A104" s="35"/>
      <c r="B104" s="51" t="s">
        <v>99</v>
      </c>
      <c r="C104" s="52">
        <f>1849061+29754</f>
        <v>1878815</v>
      </c>
      <c r="D104" s="5">
        <f>SUM(E104:I104)</f>
        <v>2902412</v>
      </c>
      <c r="E104" s="11"/>
      <c r="F104" s="11"/>
      <c r="G104" s="5">
        <v>2886919</v>
      </c>
      <c r="H104" s="5">
        <v>15493</v>
      </c>
      <c r="I104" s="11"/>
      <c r="J104" s="5">
        <f>SUM(K104:P104)</f>
        <v>3008063</v>
      </c>
      <c r="K104" s="11"/>
      <c r="L104" s="11"/>
      <c r="M104" s="11"/>
      <c r="N104" s="5">
        <v>2992658</v>
      </c>
      <c r="O104" s="5">
        <v>15405</v>
      </c>
      <c r="P104" s="11"/>
    </row>
    <row r="105" spans="1:16" s="10" customFormat="1" ht="12.75">
      <c r="A105" s="29"/>
      <c r="B105" s="58" t="s">
        <v>79</v>
      </c>
      <c r="C105" s="48">
        <v>821859876</v>
      </c>
      <c r="D105" s="3">
        <f aca="true" t="shared" si="23" ref="D105:P105">D106-D107-D108-D109</f>
        <v>902283481</v>
      </c>
      <c r="E105" s="3">
        <f t="shared" si="23"/>
        <v>165924940</v>
      </c>
      <c r="F105" s="3">
        <f t="shared" si="23"/>
        <v>685235212</v>
      </c>
      <c r="G105" s="3">
        <f t="shared" si="23"/>
        <v>42743697</v>
      </c>
      <c r="H105" s="3">
        <f t="shared" si="23"/>
        <v>7884720</v>
      </c>
      <c r="I105" s="3">
        <f t="shared" si="23"/>
        <v>494912</v>
      </c>
      <c r="J105" s="3">
        <f t="shared" si="23"/>
        <v>833821177</v>
      </c>
      <c r="K105" s="3">
        <f t="shared" si="23"/>
        <v>142695105</v>
      </c>
      <c r="L105" s="3">
        <f t="shared" si="23"/>
        <v>642823666</v>
      </c>
      <c r="M105" s="3">
        <f t="shared" si="23"/>
        <v>691227</v>
      </c>
      <c r="N105" s="3">
        <f t="shared" si="23"/>
        <v>40164959</v>
      </c>
      <c r="O105" s="3">
        <f t="shared" si="23"/>
        <v>7003676</v>
      </c>
      <c r="P105" s="3">
        <f t="shared" si="23"/>
        <v>442544</v>
      </c>
    </row>
    <row r="106" spans="1:16" s="23" customFormat="1" ht="11.25">
      <c r="A106" s="20"/>
      <c r="B106" s="49" t="s">
        <v>80</v>
      </c>
      <c r="C106" s="50">
        <f>C105+C107+C108+C109</f>
        <v>935307975</v>
      </c>
      <c r="D106" s="8">
        <f aca="true" t="shared" si="24" ref="D106:D112">SUM(E106:I106)</f>
        <v>1015136279</v>
      </c>
      <c r="E106" s="8">
        <v>268154191</v>
      </c>
      <c r="F106" s="8">
        <v>695858759</v>
      </c>
      <c r="G106" s="64">
        <v>42743697</v>
      </c>
      <c r="H106" s="8">
        <v>7884720</v>
      </c>
      <c r="I106" s="8">
        <v>494912</v>
      </c>
      <c r="J106" s="8">
        <f aca="true" t="shared" si="25" ref="J106:J112">SUM(K106:P106)</f>
        <v>956927601</v>
      </c>
      <c r="K106" s="8">
        <v>252016111</v>
      </c>
      <c r="L106" s="8">
        <v>656609084</v>
      </c>
      <c r="M106" s="8">
        <v>691227</v>
      </c>
      <c r="N106" s="64">
        <v>40164959</v>
      </c>
      <c r="O106" s="8">
        <v>7003676</v>
      </c>
      <c r="P106" s="8">
        <v>442544</v>
      </c>
    </row>
    <row r="107" spans="1:16" s="37" customFormat="1" ht="22.5">
      <c r="A107" s="35"/>
      <c r="B107" s="51" t="s">
        <v>93</v>
      </c>
      <c r="C107" s="52">
        <v>91869612</v>
      </c>
      <c r="D107" s="5">
        <f t="shared" si="24"/>
        <v>101686316</v>
      </c>
      <c r="E107" s="5">
        <v>101686316</v>
      </c>
      <c r="F107" s="5"/>
      <c r="G107" s="11"/>
      <c r="H107" s="5"/>
      <c r="I107" s="5"/>
      <c r="J107" s="5">
        <f t="shared" si="25"/>
        <v>101657891</v>
      </c>
      <c r="K107" s="5">
        <v>101657891</v>
      </c>
      <c r="L107" s="5"/>
      <c r="M107" s="5"/>
      <c r="N107" s="11"/>
      <c r="O107" s="5"/>
      <c r="P107" s="5"/>
    </row>
    <row r="108" spans="1:16" s="37" customFormat="1" ht="22.5">
      <c r="A108" s="35"/>
      <c r="B108" s="51" t="s">
        <v>94</v>
      </c>
      <c r="C108" s="52">
        <v>7076569</v>
      </c>
      <c r="D108" s="5">
        <f t="shared" si="24"/>
        <v>542935</v>
      </c>
      <c r="E108" s="5">
        <v>542935</v>
      </c>
      <c r="F108" s="5"/>
      <c r="G108" s="11"/>
      <c r="H108" s="5"/>
      <c r="I108" s="5"/>
      <c r="J108" s="5">
        <f t="shared" si="25"/>
        <v>7663115</v>
      </c>
      <c r="K108" s="5">
        <f>510218+7152897</f>
        <v>7663115</v>
      </c>
      <c r="L108" s="5"/>
      <c r="M108" s="5"/>
      <c r="N108" s="11"/>
      <c r="O108" s="5"/>
      <c r="P108" s="5"/>
    </row>
    <row r="109" spans="1:16" s="37" customFormat="1" ht="11.25">
      <c r="A109" s="35"/>
      <c r="B109" s="51" t="s">
        <v>95</v>
      </c>
      <c r="C109" s="52">
        <v>14501918</v>
      </c>
      <c r="D109" s="5">
        <f t="shared" si="24"/>
        <v>10623547</v>
      </c>
      <c r="E109" s="5"/>
      <c r="F109" s="5">
        <v>10623547</v>
      </c>
      <c r="G109" s="11"/>
      <c r="H109" s="5"/>
      <c r="I109" s="5"/>
      <c r="J109" s="5">
        <f t="shared" si="25"/>
        <v>13785418</v>
      </c>
      <c r="K109" s="5"/>
      <c r="L109" s="5">
        <v>13785418</v>
      </c>
      <c r="M109" s="5"/>
      <c r="N109" s="11"/>
      <c r="O109" s="5"/>
      <c r="P109" s="5"/>
    </row>
    <row r="110" spans="1:16" s="10" customFormat="1" ht="12.75">
      <c r="A110" s="29"/>
      <c r="B110" s="61" t="s">
        <v>81</v>
      </c>
      <c r="C110" s="66">
        <f>SUM(C111:C113)</f>
        <v>176126726</v>
      </c>
      <c r="D110" s="3">
        <f t="shared" si="24"/>
        <v>218607880</v>
      </c>
      <c r="E110" s="3">
        <f>SUM(E111:E113)</f>
        <v>66506495</v>
      </c>
      <c r="F110" s="3">
        <f>SUM(F111:F113)</f>
        <v>33024925</v>
      </c>
      <c r="G110" s="3">
        <f>SUM(G111:G113)</f>
        <v>89021830</v>
      </c>
      <c r="H110" s="3">
        <f>SUM(H111:H113)</f>
        <v>26607672</v>
      </c>
      <c r="I110" s="3">
        <f>SUM(I111:I113)</f>
        <v>3446958</v>
      </c>
      <c r="J110" s="3">
        <f t="shared" si="25"/>
        <v>181764731</v>
      </c>
      <c r="K110" s="3">
        <f aca="true" t="shared" si="26" ref="K110:P110">SUM(K111:K113)</f>
        <v>52843332</v>
      </c>
      <c r="L110" s="3">
        <f t="shared" si="26"/>
        <v>26436221</v>
      </c>
      <c r="M110" s="3">
        <f t="shared" si="26"/>
        <v>376543</v>
      </c>
      <c r="N110" s="3">
        <f t="shared" si="26"/>
        <v>85986008</v>
      </c>
      <c r="O110" s="3">
        <f t="shared" si="26"/>
        <v>13397721</v>
      </c>
      <c r="P110" s="3">
        <f t="shared" si="26"/>
        <v>2724906</v>
      </c>
    </row>
    <row r="111" spans="1:16" s="23" customFormat="1" ht="11.25">
      <c r="A111" s="20"/>
      <c r="B111" s="62" t="s">
        <v>82</v>
      </c>
      <c r="C111" s="65">
        <v>74761669</v>
      </c>
      <c r="D111" s="8">
        <f t="shared" si="24"/>
        <v>84912459</v>
      </c>
      <c r="E111" s="8">
        <v>20123909</v>
      </c>
      <c r="F111" s="8">
        <v>12560112</v>
      </c>
      <c r="G111" s="8">
        <v>25777731</v>
      </c>
      <c r="H111" s="8">
        <v>23604832</v>
      </c>
      <c r="I111" s="8">
        <v>2845875</v>
      </c>
      <c r="J111" s="8">
        <f t="shared" si="25"/>
        <v>64329779</v>
      </c>
      <c r="K111" s="8">
        <v>16351789</v>
      </c>
      <c r="L111" s="8">
        <v>9780991</v>
      </c>
      <c r="M111" s="8">
        <v>367743</v>
      </c>
      <c r="N111" s="8">
        <v>24107537</v>
      </c>
      <c r="O111" s="8">
        <v>11578096</v>
      </c>
      <c r="P111" s="8">
        <v>2143623</v>
      </c>
    </row>
    <row r="112" spans="1:16" s="23" customFormat="1" ht="11.25">
      <c r="A112" s="20"/>
      <c r="B112" s="62" t="s">
        <v>83</v>
      </c>
      <c r="C112" s="65">
        <v>456657</v>
      </c>
      <c r="D112" s="8">
        <f t="shared" si="24"/>
        <v>1601218</v>
      </c>
      <c r="E112" s="8"/>
      <c r="F112" s="8"/>
      <c r="G112" s="8">
        <v>1520597</v>
      </c>
      <c r="H112" s="8">
        <v>42188</v>
      </c>
      <c r="I112" s="8">
        <v>38433</v>
      </c>
      <c r="J112" s="8">
        <f t="shared" si="25"/>
        <v>1414728</v>
      </c>
      <c r="K112" s="8">
        <v>119571</v>
      </c>
      <c r="L112" s="8">
        <v>10000</v>
      </c>
      <c r="M112" s="8">
        <v>8800</v>
      </c>
      <c r="N112" s="8">
        <v>1205450</v>
      </c>
      <c r="O112" s="8">
        <v>36344</v>
      </c>
      <c r="P112" s="8">
        <v>34563</v>
      </c>
    </row>
    <row r="113" spans="1:16" s="23" customFormat="1" ht="11.25">
      <c r="A113" s="20"/>
      <c r="B113" s="62" t="s">
        <v>84</v>
      </c>
      <c r="C113" s="65">
        <v>100908400</v>
      </c>
      <c r="D113" s="8">
        <f aca="true" t="shared" si="27" ref="D113:M113">D114-D115</f>
        <v>132094203</v>
      </c>
      <c r="E113" s="8">
        <f t="shared" si="27"/>
        <v>46382586</v>
      </c>
      <c r="F113" s="8">
        <f t="shared" si="27"/>
        <v>20464813</v>
      </c>
      <c r="G113" s="8">
        <f t="shared" si="27"/>
        <v>61723502</v>
      </c>
      <c r="H113" s="8">
        <f t="shared" si="27"/>
        <v>2960652</v>
      </c>
      <c r="I113" s="8">
        <f t="shared" si="27"/>
        <v>562650</v>
      </c>
      <c r="J113" s="8">
        <f t="shared" si="27"/>
        <v>116020224</v>
      </c>
      <c r="K113" s="8">
        <f t="shared" si="27"/>
        <v>36371972</v>
      </c>
      <c r="L113" s="8">
        <f t="shared" si="27"/>
        <v>16645230</v>
      </c>
      <c r="M113" s="8">
        <f t="shared" si="27"/>
        <v>0</v>
      </c>
      <c r="N113" s="8">
        <v>60673021</v>
      </c>
      <c r="O113" s="8">
        <v>1783281</v>
      </c>
      <c r="P113" s="8">
        <v>546720</v>
      </c>
    </row>
    <row r="114" spans="1:16" s="23" customFormat="1" ht="11.25">
      <c r="A114" s="20"/>
      <c r="B114" s="49" t="s">
        <v>12</v>
      </c>
      <c r="C114" s="50">
        <f>C113+C115</f>
        <v>111610408</v>
      </c>
      <c r="D114" s="67">
        <f>SUM(E114:I114)</f>
        <v>142478277</v>
      </c>
      <c r="E114" s="8">
        <v>56766660</v>
      </c>
      <c r="F114" s="8">
        <v>20464813</v>
      </c>
      <c r="G114" s="8">
        <v>61723502</v>
      </c>
      <c r="H114" s="8">
        <v>2960652</v>
      </c>
      <c r="I114" s="8">
        <v>562650</v>
      </c>
      <c r="J114" s="67">
        <f>SUM(K114:P114)</f>
        <v>126030609</v>
      </c>
      <c r="K114" s="8">
        <v>46382357</v>
      </c>
      <c r="L114" s="8">
        <v>16645230</v>
      </c>
      <c r="M114" s="8"/>
      <c r="N114" s="8">
        <v>60673021</v>
      </c>
      <c r="O114" s="8">
        <v>1783281</v>
      </c>
      <c r="P114" s="8">
        <v>546720</v>
      </c>
    </row>
    <row r="115" spans="1:16" s="37" customFormat="1" ht="22.5">
      <c r="A115" s="35"/>
      <c r="B115" s="51" t="s">
        <v>92</v>
      </c>
      <c r="C115" s="52">
        <v>10702008</v>
      </c>
      <c r="D115" s="68">
        <f>SUM(E115:I115)</f>
        <v>10384074</v>
      </c>
      <c r="E115" s="5">
        <v>10384074</v>
      </c>
      <c r="F115" s="5"/>
      <c r="G115" s="5"/>
      <c r="H115" s="5"/>
      <c r="I115" s="5"/>
      <c r="J115" s="68">
        <f>SUM(K115:P115)</f>
        <v>10010385</v>
      </c>
      <c r="K115" s="5">
        <v>10010385</v>
      </c>
      <c r="L115" s="5"/>
      <c r="M115" s="5"/>
      <c r="N115" s="5"/>
      <c r="O115" s="5"/>
      <c r="P115" s="5"/>
    </row>
    <row r="116" spans="1:16" s="10" customFormat="1" ht="12.75">
      <c r="A116" s="29"/>
      <c r="B116" s="61" t="s">
        <v>85</v>
      </c>
      <c r="C116" s="66">
        <v>-671439</v>
      </c>
      <c r="D116" s="3">
        <f>SUM(E116:I116)</f>
        <v>-2748862</v>
      </c>
      <c r="E116" s="3">
        <f>E117-E118</f>
        <v>-4752407</v>
      </c>
      <c r="F116" s="3">
        <f>F117-F118</f>
        <v>6370052</v>
      </c>
      <c r="G116" s="3">
        <f aca="true" t="shared" si="28" ref="G116:I117">G119-G122</f>
        <v>-325549</v>
      </c>
      <c r="H116" s="3">
        <f t="shared" si="28"/>
        <v>-3117921</v>
      </c>
      <c r="I116" s="3">
        <f t="shared" si="28"/>
        <v>-923037</v>
      </c>
      <c r="J116" s="3">
        <f>SUM(K116:P116)</f>
        <v>-2655612</v>
      </c>
      <c r="K116" s="3">
        <f>K117-K118</f>
        <v>-3730993</v>
      </c>
      <c r="L116" s="3">
        <f>L117-L118</f>
        <v>5665687</v>
      </c>
      <c r="M116" s="3">
        <f>M117-M118</f>
        <v>0</v>
      </c>
      <c r="N116" s="3">
        <f aca="true" t="shared" si="29" ref="N116:P117">N119-N122</f>
        <v>-313789</v>
      </c>
      <c r="O116" s="3">
        <f t="shared" si="29"/>
        <v>-3368480</v>
      </c>
      <c r="P116" s="3">
        <f t="shared" si="29"/>
        <v>-908037</v>
      </c>
    </row>
    <row r="117" spans="1:16" s="23" customFormat="1" ht="11.25">
      <c r="A117" s="20"/>
      <c r="B117" s="49" t="s">
        <v>12</v>
      </c>
      <c r="C117" s="50">
        <f>C116+C118</f>
        <v>9483253</v>
      </c>
      <c r="D117" s="8">
        <f>D120-D123</f>
        <v>7677325</v>
      </c>
      <c r="E117" s="8">
        <f>E120-E123</f>
        <v>5673780</v>
      </c>
      <c r="F117" s="8">
        <f>F120-F123</f>
        <v>6370052</v>
      </c>
      <c r="G117" s="64">
        <f t="shared" si="28"/>
        <v>-325549</v>
      </c>
      <c r="H117" s="64">
        <f t="shared" si="28"/>
        <v>-3117921</v>
      </c>
      <c r="I117" s="64">
        <f t="shared" si="28"/>
        <v>-923037</v>
      </c>
      <c r="J117" s="64">
        <f aca="true" t="shared" si="30" ref="J117:M118">J120-J123</f>
        <v>4321455</v>
      </c>
      <c r="K117" s="8">
        <f t="shared" si="30"/>
        <v>3246074</v>
      </c>
      <c r="L117" s="8">
        <f t="shared" si="30"/>
        <v>5665687</v>
      </c>
      <c r="M117" s="8">
        <f t="shared" si="30"/>
        <v>0</v>
      </c>
      <c r="N117" s="64">
        <f t="shared" si="29"/>
        <v>-313789</v>
      </c>
      <c r="O117" s="64">
        <f t="shared" si="29"/>
        <v>-3368480</v>
      </c>
      <c r="P117" s="64">
        <f t="shared" si="29"/>
        <v>-908037</v>
      </c>
    </row>
    <row r="118" spans="1:16" s="37" customFormat="1" ht="22.5">
      <c r="A118" s="35"/>
      <c r="B118" s="51" t="s">
        <v>96</v>
      </c>
      <c r="C118" s="52">
        <v>10154692</v>
      </c>
      <c r="D118" s="5">
        <f>D121-D124</f>
        <v>10426187</v>
      </c>
      <c r="E118" s="12">
        <f>E121-E124</f>
        <v>10426187</v>
      </c>
      <c r="F118" s="12"/>
      <c r="G118" s="11"/>
      <c r="H118" s="11"/>
      <c r="I118" s="11"/>
      <c r="J118" s="11">
        <f t="shared" si="30"/>
        <v>6977067</v>
      </c>
      <c r="K118" s="12">
        <f t="shared" si="30"/>
        <v>6977067</v>
      </c>
      <c r="L118" s="12"/>
      <c r="M118" s="12"/>
      <c r="N118" s="11"/>
      <c r="O118" s="11"/>
      <c r="P118" s="11"/>
    </row>
    <row r="119" spans="1:16" s="73" customFormat="1" ht="12">
      <c r="A119" s="69"/>
      <c r="B119" s="70" t="s">
        <v>86</v>
      </c>
      <c r="C119" s="71" t="s">
        <v>100</v>
      </c>
      <c r="D119" s="72">
        <f aca="true" t="shared" si="31" ref="D119:P119">D120-D121</f>
        <v>11271730</v>
      </c>
      <c r="E119" s="4">
        <f t="shared" si="31"/>
        <v>3511594</v>
      </c>
      <c r="F119" s="4">
        <f t="shared" si="31"/>
        <v>6531692</v>
      </c>
      <c r="G119" s="4">
        <f t="shared" si="31"/>
        <v>133581</v>
      </c>
      <c r="H119" s="4">
        <f t="shared" si="31"/>
        <v>1094863</v>
      </c>
      <c r="I119" s="4">
        <f t="shared" si="31"/>
        <v>0</v>
      </c>
      <c r="J119" s="72">
        <f t="shared" si="31"/>
        <v>11995776</v>
      </c>
      <c r="K119" s="4">
        <f t="shared" si="31"/>
        <v>4977755</v>
      </c>
      <c r="L119" s="4">
        <f t="shared" si="31"/>
        <v>5946246</v>
      </c>
      <c r="M119" s="4">
        <f t="shared" si="31"/>
        <v>0</v>
      </c>
      <c r="N119" s="4">
        <f t="shared" si="31"/>
        <v>147123</v>
      </c>
      <c r="O119" s="4">
        <f t="shared" si="31"/>
        <v>924652</v>
      </c>
      <c r="P119" s="4">
        <f t="shared" si="31"/>
        <v>0</v>
      </c>
    </row>
    <row r="120" spans="1:16" s="23" customFormat="1" ht="11.25">
      <c r="A120" s="20"/>
      <c r="B120" s="49" t="s">
        <v>12</v>
      </c>
      <c r="C120" s="74" t="s">
        <v>100</v>
      </c>
      <c r="D120" s="8">
        <f>SUM(E120:I120)</f>
        <v>34746461</v>
      </c>
      <c r="E120" s="8">
        <v>26986325</v>
      </c>
      <c r="F120" s="8">
        <v>6531692</v>
      </c>
      <c r="G120" s="8">
        <v>133581</v>
      </c>
      <c r="H120" s="8">
        <v>1094863</v>
      </c>
      <c r="I120" s="8">
        <v>0</v>
      </c>
      <c r="J120" s="8">
        <f>SUM(K120:P120)</f>
        <v>39637741</v>
      </c>
      <c r="K120" s="8">
        <v>32619720</v>
      </c>
      <c r="L120" s="8">
        <v>5946246</v>
      </c>
      <c r="M120" s="8"/>
      <c r="N120" s="8">
        <v>147123</v>
      </c>
      <c r="O120" s="8">
        <v>924652</v>
      </c>
      <c r="P120" s="8">
        <v>0</v>
      </c>
    </row>
    <row r="121" spans="1:16" s="37" customFormat="1" ht="22.5">
      <c r="A121" s="35"/>
      <c r="B121" s="51" t="s">
        <v>97</v>
      </c>
      <c r="C121" s="75" t="s">
        <v>100</v>
      </c>
      <c r="D121" s="5">
        <f>SUM(E121:I121)</f>
        <v>23474731</v>
      </c>
      <c r="E121" s="12">
        <v>23474731</v>
      </c>
      <c r="F121" s="12"/>
      <c r="G121" s="5"/>
      <c r="H121" s="5"/>
      <c r="I121" s="5"/>
      <c r="J121" s="5">
        <f>SUM(K121:P121)</f>
        <v>27641965</v>
      </c>
      <c r="K121" s="12">
        <v>27641965</v>
      </c>
      <c r="L121" s="12"/>
      <c r="M121" s="12"/>
      <c r="N121" s="5"/>
      <c r="O121" s="5"/>
      <c r="P121" s="5"/>
    </row>
    <row r="122" spans="1:16" s="73" customFormat="1" ht="12">
      <c r="A122" s="69"/>
      <c r="B122" s="69" t="s">
        <v>87</v>
      </c>
      <c r="C122" s="76" t="s">
        <v>100</v>
      </c>
      <c r="D122" s="72">
        <f aca="true" t="shared" si="32" ref="D122:P122">D123-D124</f>
        <v>14020592</v>
      </c>
      <c r="E122" s="4">
        <f t="shared" si="32"/>
        <v>8264001</v>
      </c>
      <c r="F122" s="4">
        <f t="shared" si="32"/>
        <v>161640</v>
      </c>
      <c r="G122" s="4">
        <f t="shared" si="32"/>
        <v>459130</v>
      </c>
      <c r="H122" s="4">
        <f t="shared" si="32"/>
        <v>4212784</v>
      </c>
      <c r="I122" s="4">
        <f t="shared" si="32"/>
        <v>923037</v>
      </c>
      <c r="J122" s="4">
        <f t="shared" si="32"/>
        <v>14651388</v>
      </c>
      <c r="K122" s="4">
        <f t="shared" si="32"/>
        <v>8708748</v>
      </c>
      <c r="L122" s="4">
        <f t="shared" si="32"/>
        <v>280559</v>
      </c>
      <c r="M122" s="4">
        <f t="shared" si="32"/>
        <v>0</v>
      </c>
      <c r="N122" s="4">
        <f t="shared" si="32"/>
        <v>460912</v>
      </c>
      <c r="O122" s="4">
        <f t="shared" si="32"/>
        <v>4293132</v>
      </c>
      <c r="P122" s="4">
        <f t="shared" si="32"/>
        <v>908037</v>
      </c>
    </row>
    <row r="123" spans="1:16" s="23" customFormat="1" ht="11.25">
      <c r="A123" s="20"/>
      <c r="B123" s="49" t="s">
        <v>12</v>
      </c>
      <c r="C123" s="74" t="s">
        <v>100</v>
      </c>
      <c r="D123" s="8">
        <f>SUM(E123:I123)</f>
        <v>27069136</v>
      </c>
      <c r="E123" s="8">
        <v>21312545</v>
      </c>
      <c r="F123" s="8">
        <v>161640</v>
      </c>
      <c r="G123" s="8">
        <v>459130</v>
      </c>
      <c r="H123" s="8">
        <v>4212784</v>
      </c>
      <c r="I123" s="8">
        <v>923037</v>
      </c>
      <c r="J123" s="8">
        <f>SUM(K123:P123)</f>
        <v>35316286</v>
      </c>
      <c r="K123" s="8">
        <v>29373646</v>
      </c>
      <c r="L123" s="8">
        <v>280559</v>
      </c>
      <c r="M123" s="8"/>
      <c r="N123" s="8">
        <v>460912</v>
      </c>
      <c r="O123" s="8">
        <v>4293132</v>
      </c>
      <c r="P123" s="8">
        <v>908037</v>
      </c>
    </row>
    <row r="124" spans="1:16" s="37" customFormat="1" ht="22.5">
      <c r="A124" s="35"/>
      <c r="B124" s="51" t="s">
        <v>98</v>
      </c>
      <c r="C124" s="75" t="s">
        <v>100</v>
      </c>
      <c r="D124" s="5">
        <f>SUM(E124:I124)</f>
        <v>13048544</v>
      </c>
      <c r="E124" s="5">
        <v>13048544</v>
      </c>
      <c r="F124" s="5"/>
      <c r="G124" s="5"/>
      <c r="H124" s="5"/>
      <c r="I124" s="5"/>
      <c r="J124" s="5">
        <f>SUM(K124:P124)</f>
        <v>20664898</v>
      </c>
      <c r="K124" s="5">
        <v>20664898</v>
      </c>
      <c r="L124" s="5"/>
      <c r="M124" s="5"/>
      <c r="N124" s="5"/>
      <c r="O124" s="5"/>
      <c r="P124" s="5"/>
    </row>
    <row r="125" ht="12.75">
      <c r="C125" s="77"/>
    </row>
    <row r="126" spans="2:16" ht="25.5">
      <c r="B126" s="58" t="s">
        <v>111</v>
      </c>
      <c r="C126" s="3">
        <f aca="true" t="shared" si="33" ref="C126:P126">C8-C87</f>
        <v>-120074637</v>
      </c>
      <c r="D126" s="3">
        <f t="shared" si="33"/>
        <v>-149252246</v>
      </c>
      <c r="E126" s="3">
        <f t="shared" si="33"/>
        <v>140709193</v>
      </c>
      <c r="F126" s="3">
        <f t="shared" si="33"/>
        <v>-104296304</v>
      </c>
      <c r="G126" s="3">
        <f t="shared" si="33"/>
        <v>-150252469</v>
      </c>
      <c r="H126" s="3">
        <f t="shared" si="33"/>
        <v>-34845172</v>
      </c>
      <c r="I126" s="3">
        <f t="shared" si="33"/>
        <v>-567494</v>
      </c>
      <c r="J126" s="3">
        <f t="shared" si="33"/>
        <v>-101549537</v>
      </c>
      <c r="K126" s="3">
        <f t="shared" si="33"/>
        <v>141063578</v>
      </c>
      <c r="L126" s="3">
        <f t="shared" si="33"/>
        <v>-73837541</v>
      </c>
      <c r="M126" s="3">
        <f t="shared" si="33"/>
        <v>321377</v>
      </c>
      <c r="N126" s="3">
        <f t="shared" si="33"/>
        <v>-148609966</v>
      </c>
      <c r="O126" s="3">
        <f t="shared" si="33"/>
        <v>-20979299</v>
      </c>
      <c r="P126" s="3">
        <f t="shared" si="33"/>
        <v>492314</v>
      </c>
    </row>
  </sheetData>
  <mergeCells count="7">
    <mergeCell ref="N4:P4"/>
    <mergeCell ref="K4:M4"/>
    <mergeCell ref="B2:P2"/>
    <mergeCell ref="E4:F4"/>
    <mergeCell ref="G4:I4"/>
    <mergeCell ref="B4:B5"/>
    <mergeCell ref="C4:C5"/>
  </mergeCells>
  <printOptions horizontalCentered="1"/>
  <pageMargins left="0.7480314960629921" right="0.7480314960629921" top="0.7086614173228347" bottom="0.2755905511811024" header="0.31496062992125984" footer="0.03937007874015748"/>
  <pageSetup firstPageNumber="11" useFirstPageNumber="1" horizontalDpi="600" verticalDpi="600" orientation="landscape" paperSize="9" scale="65" r:id="rId3"/>
  <headerFooter alignWithMargins="0">
    <oddFooter>&amp;R&amp;P</oddFooter>
  </headerFooter>
  <rowBreaks count="2" manualBreakCount="2">
    <brk id="46" max="15" man="1"/>
    <brk id="85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VinetaP</dc:creator>
  <cp:keywords/>
  <dc:description/>
  <cp:lastModifiedBy>VinetaP</cp:lastModifiedBy>
  <cp:lastPrinted>2002-06-05T10:44:51Z</cp:lastPrinted>
  <dcterms:created xsi:type="dcterms:W3CDTF">2002-05-22T08:51:38Z</dcterms:created>
  <dcterms:modified xsi:type="dcterms:W3CDTF">2002-06-05T10:44:53Z</dcterms:modified>
  <cp:category/>
  <cp:version/>
  <cp:contentType/>
  <cp:contentStatus/>
</cp:coreProperties>
</file>