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45" windowWidth="14445" windowHeight="12795" tabRatio="737" activeTab="1"/>
  </bookViews>
  <sheets>
    <sheet name="saņemts 2007-2013" sheetId="1" r:id="rId1"/>
    <sheet name="izmaksāts 2007-2013" sheetId="2" r:id="rId2"/>
    <sheet name="saņemts_izmaksats" sheetId="3" r:id="rId3"/>
  </sheets>
  <definedNames/>
  <calcPr fullCalcOnLoad="1"/>
</workbook>
</file>

<file path=xl/comments1.xml><?xml version="1.0" encoding="utf-8"?>
<comments xmlns="http://schemas.openxmlformats.org/spreadsheetml/2006/main">
  <authors>
    <author>IlzeV</author>
    <author>Kaspars Braže</author>
  </authors>
  <commentList>
    <comment ref="F207" authorId="0">
      <text>
        <r>
          <rPr>
            <sz val="8"/>
            <rFont val="Tahoma"/>
            <family val="2"/>
          </rPr>
          <t xml:space="preserve">Satiksmes ministrijas atmaksājamo līdzekļu pamatsumma. </t>
        </r>
      </text>
    </comment>
    <comment ref="F208" authorId="0">
      <text>
        <r>
          <rPr>
            <sz val="8"/>
            <rFont val="Tahoma"/>
            <family val="2"/>
          </rPr>
          <t xml:space="preserve">Satiksmes ministrijas atmaksājamo līdzekļu soda naudas atmaksa. </t>
        </r>
      </text>
    </comment>
    <comment ref="D263" authorId="1">
      <text>
        <r>
          <rPr>
            <b/>
            <sz val="9"/>
            <rFont val="Tahoma"/>
            <family val="2"/>
          </rPr>
          <t>Kaspars Braže:</t>
        </r>
        <r>
          <rPr>
            <sz val="9"/>
            <rFont val="Tahoma"/>
            <family val="2"/>
          </rPr>
          <t xml:space="preserve">
Norādīta faktiski pieprasītā summa, ņemot vērā EK regulas nosacījumus (veikto avansa maksājumu un starpposma maksājumu kumulatīvais kopapjoms nepārsniedz 95% no fondu ieguldījuma darbības programmā). Pieprasāmā summa atbilstoši matemātiskajam aprēķinam ir EUR 34 886 415,58.</t>
        </r>
      </text>
    </comment>
    <comment ref="D196" authorId="1">
      <text>
        <r>
          <rPr>
            <b/>
            <sz val="9"/>
            <rFont val="Tahoma"/>
            <family val="2"/>
          </rPr>
          <t>Kaspars Braže:</t>
        </r>
        <r>
          <rPr>
            <sz val="9"/>
            <rFont val="Tahoma"/>
            <family val="2"/>
          </rPr>
          <t xml:space="preserve">
Norādīta faktiski pieprasītā summa, ņemot vērā EK regulas nosacījumus (veikto avansa maksājumu un starpposma maksājumu kumulatīvais kopapjoms nepārsniedz 95% no fondu ieguldījuma darbības programmā). Pieprasāmā summa atbilstoši matemātiskajam aprēķinam ir EUR 30 258 660,70.</t>
        </r>
      </text>
    </comment>
  </commentList>
</comments>
</file>

<file path=xl/comments2.xml><?xml version="1.0" encoding="utf-8"?>
<comments xmlns="http://schemas.openxmlformats.org/spreadsheetml/2006/main">
  <authors>
    <author>BaibaF</author>
  </authors>
  <commentList>
    <comment ref="W27" authorId="0">
      <text>
        <r>
          <rPr>
            <b/>
            <sz val="8"/>
            <rFont val="Tahoma"/>
            <family val="2"/>
          </rPr>
          <t>BaibaF:</t>
        </r>
        <r>
          <rPr>
            <sz val="8"/>
            <rFont val="Tahoma"/>
            <family val="2"/>
          </rPr>
          <t xml:space="preserve">
sask.ar GI Nr.76 ar 20.03.2009.iegrāmatots avanss EUR 55 978.90 apmērā.</t>
        </r>
      </text>
    </comment>
    <comment ref="W9" authorId="0">
      <text>
        <r>
          <rPr>
            <b/>
            <sz val="8"/>
            <rFont val="Tahoma"/>
            <family val="2"/>
          </rPr>
          <t>BaibaF:</t>
        </r>
        <r>
          <rPr>
            <sz val="8"/>
            <rFont val="Tahoma"/>
            <family val="2"/>
          </rPr>
          <t xml:space="preserve">
iesk.31.08.2009. NVA koriģēto summu EUR 0.01 apmērā.</t>
        </r>
      </text>
    </comment>
    <comment ref="Y27" authorId="0">
      <text>
        <r>
          <rPr>
            <b/>
            <sz val="8"/>
            <rFont val="Tahoma"/>
            <family val="2"/>
          </rPr>
          <t>BaibaF:</t>
        </r>
        <r>
          <rPr>
            <sz val="8"/>
            <rFont val="Tahoma"/>
            <family val="2"/>
          </rPr>
          <t xml:space="preserve">
sask.ar GI Nr.144 ar 23.11.2009.veikta aprēķina korekcija + 0.01 EUR apmērā.</t>
        </r>
      </text>
    </comment>
    <comment ref="Y29" authorId="0">
      <text>
        <r>
          <rPr>
            <b/>
            <sz val="8"/>
            <rFont val="Tahoma"/>
            <family val="2"/>
          </rPr>
          <t>BaibaF:</t>
        </r>
        <r>
          <rPr>
            <sz val="8"/>
            <rFont val="Tahoma"/>
            <family val="2"/>
          </rPr>
          <t xml:space="preserve">
sask.ar GI Nr.150 ar 06.11.2009.veikta aprēķina korekcija - 0.01 EUR apmērā.</t>
        </r>
      </text>
    </comment>
  </commentList>
</comments>
</file>

<file path=xl/sharedStrings.xml><?xml version="1.0" encoding="utf-8"?>
<sst xmlns="http://schemas.openxmlformats.org/spreadsheetml/2006/main" count="543" uniqueCount="116">
  <si>
    <t>Pieprasītā summa</t>
  </si>
  <si>
    <t>Maksājuma  saņemšanas datums</t>
  </si>
  <si>
    <t>Saņemtā summa</t>
  </si>
  <si>
    <t>Maksājuma veids</t>
  </si>
  <si>
    <t xml:space="preserve">1.darbības programmas "Cilvēkresursi un nodarbinātība" </t>
  </si>
  <si>
    <t>2. Darbības programma "Uzņēmējdarbība un inovācijas" (ERAF)</t>
  </si>
  <si>
    <t xml:space="preserve">3. Darbības programma "Infrastruktūra un pakalpojumi"
</t>
  </si>
  <si>
    <t>KF</t>
  </si>
  <si>
    <t>Kopā 3DP KF</t>
  </si>
  <si>
    <t>ERAF</t>
  </si>
  <si>
    <t>Kopā 3DP ERAF</t>
  </si>
  <si>
    <t>Kopā 3DP</t>
  </si>
  <si>
    <t>Janvāris</t>
  </si>
  <si>
    <t>Februāris</t>
  </si>
  <si>
    <t>Marts</t>
  </si>
  <si>
    <t>Aprīlis</t>
  </si>
  <si>
    <t>Majs</t>
  </si>
  <si>
    <t>Jūnijs</t>
  </si>
  <si>
    <t>Jūlijs</t>
  </si>
  <si>
    <t>Augusts</t>
  </si>
  <si>
    <t>Septembris</t>
  </si>
  <si>
    <t>Oktobris</t>
  </si>
  <si>
    <t>Novembris</t>
  </si>
  <si>
    <t>Decembris</t>
  </si>
  <si>
    <t>2008.g.</t>
  </si>
  <si>
    <t>2009.g.</t>
  </si>
  <si>
    <t>2010.g.</t>
  </si>
  <si>
    <t>2011.g.</t>
  </si>
  <si>
    <t>2012.g.</t>
  </si>
  <si>
    <t>2013.g.</t>
  </si>
  <si>
    <t>Kopā uz atskaites datumu</t>
  </si>
  <si>
    <t>1.1. Prioritāte "Augstākā izglītība un zinātne" (Priority "Higher Education and Science")      </t>
  </si>
  <si>
    <t xml:space="preserve">1.2. Prioritāte "Izglītība un prasmes" (Priority "Education and Skills")  </t>
  </si>
  <si>
    <t xml:space="preserve">1.3. Prioritāte "Nodarbinātības veicināšana un veselība darbā" (Priority "Promotion of Employment and Health at Work")       </t>
  </si>
  <si>
    <t xml:space="preserve">1.4. Prioritāte "Sociālās iekļaušanas veicināšana" (Priority "Promotion of Social Inclusion")      </t>
  </si>
  <si>
    <t xml:space="preserve">1.5. Prioritāte "Administratīvās kapacitātes stiprināšana" (Priority "Administrative Capacity Building")    </t>
  </si>
  <si>
    <t xml:space="preserve">1.6. Prioritāte " tehniskā palīdzeība" </t>
  </si>
  <si>
    <t>2. darbības programmas "Uzņēmējdarbība un inovācijas"</t>
  </si>
  <si>
    <t>2.1. Prioritāte "Zinātne un inovācijas" (Priority "Science and Innovation</t>
  </si>
  <si>
    <t>2.2. Prioritāte "Finanšu pieejamība" (Priority "Access to Finances")          </t>
  </si>
  <si>
    <t>2.3. Prioritāte "Uzņēmējdarbības veicināšana" (Priority "Promotion of Entrepreneurship")      </t>
  </si>
  <si>
    <t>3. darbības programmas "Infrastruktūra un pakalpojumi"</t>
  </si>
  <si>
    <t>3.1. Prioritāte "Infrastruktūra cilvēku kapitāla nostiprināšanai" (Priority "Infrastructure for Strengthening Human Capital")</t>
  </si>
  <si>
    <t>3.2. Prioritāte "Teritorijas pieejamības un sasniedzamības veicināšana" (Priority "Promotion of Territorial Accessibility") </t>
  </si>
  <si>
    <t>3.4. Prioritāte "Kvalitatīvas vides dzīvei un ekonomiskai aktivitātei nodrošināšana" (Priority "Quality Environment for Life and Economic Activity")</t>
  </si>
  <si>
    <t xml:space="preserve">3.6. Prioritāte "Policentriska attīstība" (Priority "Polycentric Development")      </t>
  </si>
  <si>
    <t xml:space="preserve">3.7. Prioritāte "Tehniskā palīdzība ERAF ieviešanai" </t>
  </si>
  <si>
    <t xml:space="preserve">3.3. Prioritāte "Eiropas nozīmes transporta tīklu attīstība un ilgtspējīga transporta veicināšana" (Priority "Development of Transport Network of European Significance and Promotion of Sustainable Transport")    </t>
  </si>
  <si>
    <t xml:space="preserve">3.5. Prioritāte "Vides infrastruktūras un videi draudzīgas enerģētikas veidošana" ("Promotion of Environmental Infrastructure And Environmentally Friendly Energy")       </t>
  </si>
  <si>
    <t xml:space="preserve">3.8. Proioritāte " Tehniskā palīdzība KF ieviešanai" </t>
  </si>
  <si>
    <t>Kopā  3 DP KF</t>
  </si>
  <si>
    <t>Kopā fondi</t>
  </si>
  <si>
    <t>avanss</t>
  </si>
  <si>
    <t>starpposma</t>
  </si>
  <si>
    <t>Kopā 2DP ERAF</t>
  </si>
  <si>
    <t>Kopā 1DP ESF</t>
  </si>
  <si>
    <t>Kopā  1 DP ESF</t>
  </si>
  <si>
    <t>Kopā  2 DP ERAF</t>
  </si>
  <si>
    <t>2.4. Prioritāte "Uzņēmējdarbības veicināšana" (Priority "Promotion of Entrepreneurship")      </t>
  </si>
  <si>
    <t>saņemtie avansa un starpmaksājumi, LVL</t>
  </si>
  <si>
    <t>15.09.2009</t>
  </si>
  <si>
    <t>03.12.2009</t>
  </si>
  <si>
    <t>08.01.2010</t>
  </si>
  <si>
    <t>07.04.2010</t>
  </si>
  <si>
    <t>11.05.2010</t>
  </si>
  <si>
    <t>29.05.2010</t>
  </si>
  <si>
    <t>papildu avanss</t>
  </si>
  <si>
    <t>14.07.2010</t>
  </si>
  <si>
    <t>04.08.2010</t>
  </si>
  <si>
    <t>06.10.2010</t>
  </si>
  <si>
    <t>08.11.2010</t>
  </si>
  <si>
    <t>1DP ESF</t>
  </si>
  <si>
    <t>2DP ERAF</t>
  </si>
  <si>
    <t>3DP KF</t>
  </si>
  <si>
    <t>3DP ERAF</t>
  </si>
  <si>
    <t>KOPĀ</t>
  </si>
  <si>
    <t>* atlikums, kas veidojas no Eiropas Komisjas saņemtajiem ES finsansējuma līdzekļiem atņemot veiktās atmaksas ES fondu finansējuma saņēmējam jeb uzņemtās saistības vai prasības pret Eiropas Komisiju</t>
  </si>
  <si>
    <t>05.10.2012.</t>
  </si>
  <si>
    <t>08.10.2012.</t>
  </si>
  <si>
    <t>11.01.2013</t>
  </si>
  <si>
    <t>Maijs</t>
  </si>
  <si>
    <t>Kopā  3 DP ERAF</t>
  </si>
  <si>
    <t>07.08.2013</t>
  </si>
  <si>
    <t>09.10.2013</t>
  </si>
  <si>
    <t>14.12.2013</t>
  </si>
  <si>
    <t>19.12.2013</t>
  </si>
  <si>
    <t>2014.g.</t>
  </si>
  <si>
    <t>18.06.2014.</t>
  </si>
  <si>
    <t>07.10.2014.</t>
  </si>
  <si>
    <t>2015.g.</t>
  </si>
  <si>
    <t>Janvaris</t>
  </si>
  <si>
    <t>Februaris</t>
  </si>
  <si>
    <t>10.03.2015.</t>
  </si>
  <si>
    <t>06.11.2015.</t>
  </si>
  <si>
    <t>2016.g.</t>
  </si>
  <si>
    <t>0.00</t>
  </si>
  <si>
    <t>29.02.2016.</t>
  </si>
  <si>
    <t xml:space="preserve"> </t>
  </si>
  <si>
    <t>30.06.2016.</t>
  </si>
  <si>
    <t>2017.g.</t>
  </si>
  <si>
    <t>Pieprasījuma iesniegšanas datums</t>
  </si>
  <si>
    <t>starpposma*</t>
  </si>
  <si>
    <t xml:space="preserve">* pieprasīta summa EUR 0,00  atbilstoši EK regulas Nr.1083/2006 nosacījumiem (ar starpposma deklarācijām var pieprasīt līdz 95% no fondu piešķīruma). </t>
  </si>
  <si>
    <t>noslēguma**</t>
  </si>
  <si>
    <t>** ar noslēguma maksājumu atbilstoši EK regulas Nr.1083/2006 nosacījumiem tiek pieprasīti atlikušie 5% no fondu piešķiruma</t>
  </si>
  <si>
    <t>ESF***</t>
  </si>
  <si>
    <t>ERAF****</t>
  </si>
  <si>
    <t xml:space="preserve">*** pieprasītā ESF kopsumma ir norādīta lielāka nekā faktiski pieprasītā, jo pieprasīto summu dati, lai nodrošinātu savstarpēju datu atbilstību, tika vadīti atbilstoši SFC2007 norādītajām pieprasīto līdzekļu summām (SFC2007 bija nekorekts aprēķina algoritms un pieprasāmo summu manuāli labot nebija iespējams). 
Ar izdevumu deklarāciju uz 30.11.2013.  pieprasītā summa pārsniedza ESF piešķīrumu , tādēļ pieprasāmā summa šai izdevumu deklarācijai tika norādīti 8 297 657,06 EUR, lai gan SFC 2007 pieprasāmā summa ir 9 535 266,55 EUR. </t>
  </si>
  <si>
    <t xml:space="preserve">**** 2.DP pieprasītā kopsumma pārsniedz ERAF piešķīrumu, jo SFC2007 sākotnēji bija iestrādāts nekorekts pieprasāmās summas aprēķina algoritms, kur pieprasāmās summas aprēķinā nebija paredzēta ierobežošana ar nodeklarēto publisko finansējumu, līdz ar to EK samazināja samaksāto summu. </t>
  </si>
  <si>
    <t>2018.g.</t>
  </si>
  <si>
    <t>2019.g.</t>
  </si>
  <si>
    <t>2020.g.</t>
  </si>
  <si>
    <t>2021.g.</t>
  </si>
  <si>
    <t>Izmaksāts no ES fondiem, tai skaitā atgūtie līdzekļi, EUR uz 30.04.2021</t>
  </si>
  <si>
    <t>No EK pieprasītie un saņemtie ES fondu maksājumi, EUR uz 30.04.2021</t>
  </si>
  <si>
    <t>ES fondu atlikums EUR uz30.04.2021*</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</si>
</sst>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Ls&quot;\ #,##0;\-&quot;Ls&quot;\ #,##0"/>
    <numFmt numFmtId="167" formatCode="&quot;Ls&quot;\ #,##0;[Red]\-&quot;Ls&quot;\ #,##0"/>
    <numFmt numFmtId="168" formatCode="&quot;Ls&quot;\ #,##0.00;\-&quot;Ls&quot;\ #,##0.00"/>
    <numFmt numFmtId="169" formatCode="&quot;Ls&quot;\ #,##0.00;[Red]\-&quot;Ls&quot;\ #,##0.00"/>
    <numFmt numFmtId="170" formatCode="_-&quot;Ls&quot;\ * #,##0_-;\-&quot;Ls&quot;\ * #,##0_-;_-&quot;Ls&quot;\ * &quot;-&quot;_-;_-@_-"/>
    <numFmt numFmtId="171" formatCode="_-&quot;Ls&quot;\ * #,##0.00_-;\-&quot;Ls&quot;\ * #,##0.00_-;_-&quot;Ls&quot;\ *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0.00\ _L_s"/>
    <numFmt numFmtId="198" formatCode="0.0000000000"/>
    <numFmt numFmtId="199" formatCode="0.000000000"/>
    <numFmt numFmtId="200" formatCode="0.00000000"/>
    <numFmt numFmtId="201" formatCode="0.0000000"/>
    <numFmt numFmtId="202" formatCode="0.000000"/>
    <numFmt numFmtId="203" formatCode="0.00000"/>
    <numFmt numFmtId="204" formatCode="0.0000"/>
    <numFmt numFmtId="205" formatCode="0.000"/>
    <numFmt numFmtId="206" formatCode="0.0"/>
    <numFmt numFmtId="207" formatCode="[$€-2]\ #,##0.00_);[Red]\([$€-2]\ #,##0.00\)"/>
    <numFmt numFmtId="208" formatCode="[$-426]dddd\,\ yyyy&quot;. gada &quot;d\.\ mmmm"/>
    <numFmt numFmtId="209" formatCode="#,##0.00_ ;[Red]\-#,##0.00\ "/>
  </numFmts>
  <fonts count="60">
    <font>
      <sz val="10"/>
      <name val="Arial"/>
      <family val="0"/>
    </font>
    <font>
      <sz val="10"/>
      <name val="Times New Roman"/>
      <family val="1"/>
    </font>
    <font>
      <sz val="9"/>
      <name val="Arial"/>
      <family val="2"/>
    </font>
    <font>
      <b/>
      <sz val="10"/>
      <name val="Times New Roman"/>
      <family val="1"/>
    </font>
    <font>
      <b/>
      <sz val="14"/>
      <name val="Times New Roman Baltic"/>
      <family val="1"/>
    </font>
    <font>
      <sz val="12"/>
      <name val="Times New Roman Baltic"/>
      <family val="1"/>
    </font>
    <font>
      <sz val="10"/>
      <name val="Times New Roman Baltic"/>
      <family val="1"/>
    </font>
    <font>
      <b/>
      <sz val="10"/>
      <name val="Times New Roman Baltic"/>
      <family val="1"/>
    </font>
    <font>
      <b/>
      <sz val="12"/>
      <name val="Times New Roman Baltic"/>
      <family val="1"/>
    </font>
    <font>
      <b/>
      <sz val="12"/>
      <name val="Times New Roman"/>
      <family val="1"/>
    </font>
    <font>
      <sz val="9"/>
      <name val="Times New Roman"/>
      <family val="1"/>
    </font>
    <font>
      <sz val="8"/>
      <name val="Tahoma"/>
      <family val="2"/>
    </font>
    <font>
      <b/>
      <sz val="8"/>
      <name val="Tahoma"/>
      <family val="2"/>
    </font>
    <font>
      <sz val="8"/>
      <name val="Arial"/>
      <family val="2"/>
    </font>
    <font>
      <b/>
      <sz val="10"/>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Baltic"/>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Baltic"/>
      <family val="1"/>
    </font>
    <font>
      <sz val="10"/>
      <color rgb="FFFF0000"/>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lightUp">
        <bgColor indexed="22"/>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color indexed="63"/>
      </left>
      <right style="thin"/>
      <top>
        <color indexed="63"/>
      </top>
      <bottom style="thin"/>
    </border>
    <border>
      <left style="thin"/>
      <right style="medium"/>
      <top style="thin"/>
      <bottom style="thin"/>
    </border>
    <border>
      <left style="medium"/>
      <right style="medium"/>
      <top>
        <color indexed="63"/>
      </top>
      <bottom style="thin"/>
    </border>
    <border>
      <left>
        <color indexed="63"/>
      </left>
      <right style="thin"/>
      <top style="thin"/>
      <bottom style="thin"/>
    </border>
    <border>
      <left>
        <color indexed="63"/>
      </left>
      <right style="thin"/>
      <top style="medium"/>
      <bottom style="medium"/>
    </border>
    <border>
      <left style="medium"/>
      <right style="medium"/>
      <top style="medium"/>
      <bottom style="medium"/>
    </border>
    <border>
      <left>
        <color indexed="63"/>
      </left>
      <right style="medium"/>
      <top>
        <color indexed="63"/>
      </top>
      <bottom style="thin"/>
    </border>
    <border>
      <left>
        <color indexed="63"/>
      </left>
      <right style="medium"/>
      <top style="medium"/>
      <bottom style="mediu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style="thin"/>
    </border>
    <border>
      <left style="medium"/>
      <right style="medium"/>
      <top>
        <color indexed="63"/>
      </top>
      <bottom style="medium"/>
    </border>
    <border>
      <left style="thin"/>
      <right style="thin"/>
      <top>
        <color indexed="63"/>
      </top>
      <bottom style="thin"/>
    </border>
    <border>
      <left style="thin"/>
      <right style="medium"/>
      <top>
        <color indexed="63"/>
      </top>
      <bottom style="thin"/>
    </border>
    <border>
      <left style="thin"/>
      <right>
        <color indexed="63"/>
      </right>
      <top style="medium"/>
      <bottom style="medium"/>
    </border>
    <border>
      <left style="thin"/>
      <right style="medium"/>
      <top style="thin"/>
      <bottom style="medium"/>
    </border>
    <border>
      <left style="thin"/>
      <right style="thin"/>
      <top>
        <color indexed="63"/>
      </top>
      <bottom>
        <color indexed="63"/>
      </bottom>
    </border>
    <border>
      <left style="medium"/>
      <right style="medium"/>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color indexed="63"/>
      </top>
      <bottom>
        <color indexed="63"/>
      </bottom>
    </border>
    <border>
      <left style="thin"/>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2">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33" borderId="10" xfId="0" applyFont="1" applyFill="1" applyBorder="1" applyAlignment="1">
      <alignment vertical="top" wrapText="1"/>
    </xf>
    <xf numFmtId="0" fontId="1" fillId="0" borderId="0" xfId="0" applyFont="1" applyAlignment="1">
      <alignment vertical="top" wrapText="1"/>
    </xf>
    <xf numFmtId="0" fontId="1" fillId="33" borderId="11" xfId="0" applyFont="1" applyFill="1" applyBorder="1" applyAlignment="1">
      <alignment vertical="top" wrapText="1"/>
    </xf>
    <xf numFmtId="14" fontId="1" fillId="0" borderId="12" xfId="0" applyNumberFormat="1" applyFont="1" applyBorder="1" applyAlignment="1">
      <alignment horizontal="center"/>
    </xf>
    <xf numFmtId="4" fontId="1" fillId="0" borderId="13" xfId="0" applyNumberFormat="1" applyFont="1" applyFill="1" applyBorder="1" applyAlignment="1">
      <alignment horizontal="center"/>
    </xf>
    <xf numFmtId="0" fontId="1" fillId="0" borderId="14" xfId="0" applyFont="1" applyBorder="1" applyAlignment="1">
      <alignment horizontal="center"/>
    </xf>
    <xf numFmtId="4" fontId="1" fillId="0" borderId="15" xfId="0" applyNumberFormat="1" applyFont="1" applyFill="1" applyBorder="1" applyAlignment="1">
      <alignment horizontal="center"/>
    </xf>
    <xf numFmtId="14" fontId="1" fillId="0" borderId="13" xfId="0" applyNumberFormat="1" applyFont="1" applyBorder="1" applyAlignment="1">
      <alignment horizontal="center"/>
    </xf>
    <xf numFmtId="0" fontId="1" fillId="34" borderId="16" xfId="0" applyFont="1" applyFill="1" applyBorder="1" applyAlignment="1">
      <alignment/>
    </xf>
    <xf numFmtId="0" fontId="1" fillId="35" borderId="17" xfId="0" applyFont="1" applyFill="1" applyBorder="1" applyAlignment="1">
      <alignment horizontal="center"/>
    </xf>
    <xf numFmtId="4" fontId="1" fillId="36" borderId="17" xfId="0" applyNumberFormat="1" applyFont="1" applyFill="1" applyBorder="1" applyAlignment="1">
      <alignment horizontal="center"/>
    </xf>
    <xf numFmtId="0" fontId="1" fillId="35" borderId="18" xfId="0" applyFont="1" applyFill="1" applyBorder="1" applyAlignment="1">
      <alignment horizontal="center"/>
    </xf>
    <xf numFmtId="14" fontId="1" fillId="0" borderId="16" xfId="0" applyNumberFormat="1" applyFont="1" applyBorder="1" applyAlignment="1">
      <alignment horizontal="center"/>
    </xf>
    <xf numFmtId="0" fontId="1" fillId="0" borderId="19" xfId="0" applyFont="1" applyFill="1" applyBorder="1" applyAlignment="1">
      <alignment horizontal="center"/>
    </xf>
    <xf numFmtId="0" fontId="1" fillId="35" borderId="20" xfId="0" applyFont="1" applyFill="1" applyBorder="1" applyAlignment="1">
      <alignment horizontal="center"/>
    </xf>
    <xf numFmtId="0" fontId="5" fillId="0" borderId="0" xfId="0" applyFont="1" applyAlignment="1">
      <alignment/>
    </xf>
    <xf numFmtId="0" fontId="6" fillId="0" borderId="11" xfId="0" applyFont="1" applyBorder="1" applyAlignment="1">
      <alignment horizontal="center"/>
    </xf>
    <xf numFmtId="0" fontId="6" fillId="0" borderId="0" xfId="0" applyFont="1" applyBorder="1" applyAlignment="1">
      <alignment horizontal="center"/>
    </xf>
    <xf numFmtId="0" fontId="6" fillId="0" borderId="21" xfId="0" applyFont="1" applyBorder="1" applyAlignment="1">
      <alignment horizontal="center"/>
    </xf>
    <xf numFmtId="0" fontId="6" fillId="0" borderId="0" xfId="0" applyFont="1" applyAlignment="1">
      <alignment/>
    </xf>
    <xf numFmtId="0" fontId="6" fillId="0" borderId="22" xfId="0" applyFont="1" applyFill="1" applyBorder="1" applyAlignment="1">
      <alignment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left" vertical="center" wrapText="1"/>
    </xf>
    <xf numFmtId="0" fontId="3" fillId="0" borderId="29" xfId="0" applyFont="1" applyFill="1" applyBorder="1" applyAlignment="1">
      <alignment horizontal="left" wrapText="1"/>
    </xf>
    <xf numFmtId="4" fontId="6" fillId="0" borderId="12" xfId="0" applyNumberFormat="1" applyFont="1" applyFill="1" applyBorder="1" applyAlignment="1">
      <alignment/>
    </xf>
    <xf numFmtId="0" fontId="7" fillId="0" borderId="30" xfId="0" applyFont="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37" borderId="31" xfId="0" applyFont="1" applyFill="1" applyBorder="1" applyAlignment="1">
      <alignment/>
    </xf>
    <xf numFmtId="4" fontId="7" fillId="37" borderId="32" xfId="0" applyNumberFormat="1" applyFont="1" applyFill="1" applyBorder="1" applyAlignment="1">
      <alignment/>
    </xf>
    <xf numFmtId="0" fontId="7" fillId="0" borderId="33" xfId="0" applyFont="1" applyBorder="1" applyAlignment="1">
      <alignment horizontal="left" vertical="center" wrapText="1"/>
    </xf>
    <xf numFmtId="0" fontId="7" fillId="37" borderId="34" xfId="0" applyFont="1" applyFill="1" applyBorder="1" applyAlignment="1">
      <alignment/>
    </xf>
    <xf numFmtId="4" fontId="7" fillId="37" borderId="35" xfId="0" applyNumberFormat="1" applyFont="1" applyFill="1" applyBorder="1" applyAlignment="1">
      <alignment/>
    </xf>
    <xf numFmtId="0" fontId="8" fillId="34" borderId="31" xfId="0" applyFont="1" applyFill="1" applyBorder="1" applyAlignment="1">
      <alignment/>
    </xf>
    <xf numFmtId="4" fontId="8" fillId="34" borderId="32" xfId="0" applyNumberFormat="1" applyFont="1" applyFill="1" applyBorder="1" applyAlignment="1">
      <alignment/>
    </xf>
    <xf numFmtId="4" fontId="8" fillId="34" borderId="36" xfId="0" applyNumberFormat="1" applyFont="1" applyFill="1" applyBorder="1" applyAlignment="1">
      <alignment/>
    </xf>
    <xf numFmtId="4" fontId="1" fillId="0" borderId="0" xfId="0" applyNumberFormat="1" applyFont="1" applyAlignment="1">
      <alignment/>
    </xf>
    <xf numFmtId="4" fontId="7" fillId="34" borderId="32" xfId="0" applyNumberFormat="1" applyFont="1" applyFill="1" applyBorder="1" applyAlignment="1">
      <alignment/>
    </xf>
    <xf numFmtId="4" fontId="1" fillId="0" borderId="37" xfId="0" applyNumberFormat="1" applyFont="1" applyBorder="1" applyAlignment="1">
      <alignment horizontal="center"/>
    </xf>
    <xf numFmtId="4" fontId="1" fillId="0" borderId="0" xfId="0" applyNumberFormat="1" applyFont="1" applyAlignment="1">
      <alignment horizontal="center"/>
    </xf>
    <xf numFmtId="4" fontId="1" fillId="0" borderId="26" xfId="0" applyNumberFormat="1" applyFont="1" applyBorder="1" applyAlignment="1">
      <alignment horizontal="center"/>
    </xf>
    <xf numFmtId="4" fontId="2" fillId="0" borderId="13" xfId="0" applyNumberFormat="1" applyFont="1" applyBorder="1" applyAlignment="1">
      <alignment horizontal="center"/>
    </xf>
    <xf numFmtId="14" fontId="1" fillId="0" borderId="38" xfId="0" applyNumberFormat="1" applyFont="1" applyBorder="1" applyAlignment="1">
      <alignment horizontal="center"/>
    </xf>
    <xf numFmtId="0" fontId="1" fillId="0" borderId="39" xfId="0" applyFont="1" applyBorder="1" applyAlignment="1">
      <alignment horizontal="center"/>
    </xf>
    <xf numFmtId="4" fontId="10" fillId="0" borderId="38" xfId="0" applyNumberFormat="1" applyFont="1" applyBorder="1" applyAlignment="1">
      <alignment horizontal="center"/>
    </xf>
    <xf numFmtId="14" fontId="10" fillId="0" borderId="38" xfId="0" applyNumberFormat="1" applyFont="1" applyBorder="1" applyAlignment="1">
      <alignment horizontal="center"/>
    </xf>
    <xf numFmtId="14" fontId="0" fillId="0" borderId="16" xfId="0" applyNumberFormat="1" applyFont="1" applyBorder="1" applyAlignment="1">
      <alignment horizontal="center"/>
    </xf>
    <xf numFmtId="4" fontId="0" fillId="0" borderId="12" xfId="0" applyNumberFormat="1" applyFont="1" applyBorder="1" applyAlignment="1">
      <alignment horizontal="center"/>
    </xf>
    <xf numFmtId="14" fontId="1" fillId="0" borderId="16" xfId="0" applyNumberFormat="1" applyFont="1" applyBorder="1" applyAlignment="1">
      <alignment horizontal="center"/>
    </xf>
    <xf numFmtId="14" fontId="1" fillId="0" borderId="40" xfId="0" applyNumberFormat="1" applyFont="1" applyBorder="1" applyAlignment="1">
      <alignment horizontal="center"/>
    </xf>
    <xf numFmtId="14" fontId="10" fillId="0" borderId="16" xfId="0" applyNumberFormat="1" applyFont="1" applyBorder="1" applyAlignment="1">
      <alignment horizontal="center"/>
    </xf>
    <xf numFmtId="4" fontId="6" fillId="0" borderId="0" xfId="0" applyNumberFormat="1" applyFont="1" applyAlignment="1">
      <alignment/>
    </xf>
    <xf numFmtId="14" fontId="10" fillId="0" borderId="40" xfId="0" applyNumberFormat="1" applyFont="1" applyBorder="1" applyAlignment="1">
      <alignment horizontal="center"/>
    </xf>
    <xf numFmtId="0" fontId="6" fillId="0" borderId="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horizontal="right"/>
    </xf>
    <xf numFmtId="4" fontId="13" fillId="0" borderId="0" xfId="0" applyNumberFormat="1" applyFont="1" applyFill="1" applyBorder="1" applyAlignment="1">
      <alignment/>
    </xf>
    <xf numFmtId="4" fontId="7" fillId="0" borderId="0" xfId="0" applyNumberFormat="1" applyFont="1" applyFill="1" applyBorder="1" applyAlignment="1">
      <alignment/>
    </xf>
    <xf numFmtId="0" fontId="1" fillId="34" borderId="41" xfId="0" applyFont="1" applyFill="1" applyBorder="1" applyAlignment="1">
      <alignment/>
    </xf>
    <xf numFmtId="4" fontId="1" fillId="0" borderId="18" xfId="0" applyNumberFormat="1" applyFont="1" applyBorder="1" applyAlignment="1">
      <alignment horizontal="center"/>
    </xf>
    <xf numFmtId="0" fontId="1" fillId="0" borderId="0" xfId="0" applyFont="1" applyAlignment="1">
      <alignment horizontal="right"/>
    </xf>
    <xf numFmtId="4" fontId="1" fillId="0" borderId="42" xfId="0" applyNumberFormat="1" applyFont="1" applyBorder="1" applyAlignment="1">
      <alignment horizontal="center"/>
    </xf>
    <xf numFmtId="14" fontId="1" fillId="0" borderId="43" xfId="0" applyNumberFormat="1" applyFont="1" applyBorder="1" applyAlignment="1">
      <alignment horizontal="center"/>
    </xf>
    <xf numFmtId="0" fontId="1" fillId="0" borderId="44" xfId="0" applyFont="1" applyBorder="1" applyAlignment="1">
      <alignment horizontal="center"/>
    </xf>
    <xf numFmtId="14" fontId="10" fillId="0" borderId="12" xfId="0" applyNumberFormat="1" applyFont="1" applyBorder="1" applyAlignment="1">
      <alignment horizontal="center"/>
    </xf>
    <xf numFmtId="14" fontId="10" fillId="0" borderId="43" xfId="0" applyNumberFormat="1" applyFont="1" applyBorder="1" applyAlignment="1">
      <alignment horizontal="center"/>
    </xf>
    <xf numFmtId="4" fontId="1" fillId="0" borderId="13" xfId="0" applyNumberFormat="1" applyFont="1" applyFill="1" applyBorder="1" applyAlignment="1">
      <alignment horizontal="center"/>
    </xf>
    <xf numFmtId="14" fontId="10" fillId="0" borderId="38" xfId="0" applyNumberFormat="1" applyFont="1" applyBorder="1" applyAlignment="1">
      <alignment horizontal="center"/>
    </xf>
    <xf numFmtId="0" fontId="1" fillId="0" borderId="39" xfId="0" applyFont="1" applyBorder="1" applyAlignment="1">
      <alignment horizontal="center"/>
    </xf>
    <xf numFmtId="0" fontId="9" fillId="0" borderId="0" xfId="0" applyFont="1" applyBorder="1" applyAlignment="1">
      <alignment/>
    </xf>
    <xf numFmtId="209" fontId="14" fillId="16" borderId="12" xfId="0" applyNumberFormat="1" applyFont="1" applyFill="1" applyBorder="1" applyAlignment="1">
      <alignment/>
    </xf>
    <xf numFmtId="209" fontId="3" fillId="0" borderId="12" xfId="0" applyNumberFormat="1" applyFont="1" applyFill="1" applyBorder="1" applyAlignment="1">
      <alignment/>
    </xf>
    <xf numFmtId="0" fontId="3" fillId="16" borderId="12" xfId="0" applyFont="1" applyFill="1" applyBorder="1" applyAlignment="1">
      <alignment/>
    </xf>
    <xf numFmtId="0" fontId="3" fillId="38" borderId="12" xfId="0" applyFont="1" applyFill="1" applyBorder="1" applyAlignment="1">
      <alignment/>
    </xf>
    <xf numFmtId="14" fontId="1" fillId="0" borderId="13" xfId="0" applyNumberFormat="1" applyFont="1" applyBorder="1" applyAlignment="1">
      <alignment horizontal="center"/>
    </xf>
    <xf numFmtId="14" fontId="1" fillId="0" borderId="12" xfId="0" applyNumberFormat="1" applyFont="1" applyBorder="1" applyAlignment="1">
      <alignment horizontal="center"/>
    </xf>
    <xf numFmtId="4" fontId="1" fillId="0" borderId="12" xfId="0" applyNumberFormat="1" applyFont="1" applyBorder="1" applyAlignment="1">
      <alignment horizontal="center"/>
    </xf>
    <xf numFmtId="14" fontId="1" fillId="0" borderId="23" xfId="0" applyNumberFormat="1" applyFont="1" applyBorder="1" applyAlignment="1">
      <alignment horizontal="center"/>
    </xf>
    <xf numFmtId="4" fontId="1" fillId="0" borderId="24" xfId="0" applyNumberFormat="1" applyFont="1" applyFill="1" applyBorder="1" applyAlignment="1">
      <alignment horizontal="center"/>
    </xf>
    <xf numFmtId="14" fontId="1" fillId="0" borderId="43" xfId="0" applyNumberFormat="1" applyFont="1" applyBorder="1" applyAlignment="1">
      <alignment horizontal="center"/>
    </xf>
    <xf numFmtId="0" fontId="1" fillId="0" borderId="12" xfId="0" applyFont="1" applyBorder="1" applyAlignment="1">
      <alignment horizontal="center"/>
    </xf>
    <xf numFmtId="0" fontId="1" fillId="0" borderId="16" xfId="0" applyFont="1" applyBorder="1" applyAlignment="1">
      <alignment horizontal="center"/>
    </xf>
    <xf numFmtId="4" fontId="1" fillId="0" borderId="12" xfId="0" applyNumberFormat="1" applyFont="1" applyFill="1" applyBorder="1" applyAlignment="1">
      <alignment horizontal="center"/>
    </xf>
    <xf numFmtId="4" fontId="1" fillId="0" borderId="38" xfId="0" applyNumberFormat="1" applyFont="1" applyFill="1" applyBorder="1" applyAlignment="1">
      <alignment horizontal="center"/>
    </xf>
    <xf numFmtId="14" fontId="10" fillId="0" borderId="40" xfId="0" applyNumberFormat="1" applyFont="1" applyFill="1" applyBorder="1" applyAlignment="1">
      <alignment horizontal="center"/>
    </xf>
    <xf numFmtId="4" fontId="8" fillId="34" borderId="45" xfId="0" applyNumberFormat="1" applyFont="1" applyFill="1" applyBorder="1" applyAlignment="1">
      <alignment/>
    </xf>
    <xf numFmtId="0" fontId="1" fillId="0" borderId="14" xfId="0" applyFont="1" applyBorder="1" applyAlignment="1">
      <alignment horizontal="center"/>
    </xf>
    <xf numFmtId="14" fontId="1" fillId="0" borderId="13" xfId="0" applyNumberFormat="1" applyFont="1" applyBorder="1" applyAlignment="1">
      <alignment horizontal="center" vertical="center"/>
    </xf>
    <xf numFmtId="4" fontId="1" fillId="0" borderId="13" xfId="0" applyNumberFormat="1" applyFont="1" applyFill="1" applyBorder="1" applyAlignment="1">
      <alignment horizontal="center" vertical="center"/>
    </xf>
    <xf numFmtId="4" fontId="57" fillId="0" borderId="0" xfId="0" applyNumberFormat="1" applyFont="1" applyAlignment="1">
      <alignment/>
    </xf>
    <xf numFmtId="14" fontId="1" fillId="0" borderId="14" xfId="0" applyNumberFormat="1" applyFont="1" applyBorder="1" applyAlignment="1">
      <alignment horizontal="center"/>
    </xf>
    <xf numFmtId="14" fontId="1" fillId="0" borderId="39" xfId="0" applyNumberFormat="1" applyFont="1" applyBorder="1" applyAlignment="1">
      <alignment horizontal="center"/>
    </xf>
    <xf numFmtId="4" fontId="1" fillId="0" borderId="38" xfId="0" applyNumberFormat="1" applyFont="1" applyFill="1" applyBorder="1" applyAlignment="1">
      <alignment horizontal="center"/>
    </xf>
    <xf numFmtId="0" fontId="1" fillId="0" borderId="46" xfId="0" applyFont="1" applyBorder="1" applyAlignment="1">
      <alignment horizontal="center"/>
    </xf>
    <xf numFmtId="4" fontId="6" fillId="38" borderId="12" xfId="0" applyNumberFormat="1" applyFont="1" applyFill="1" applyBorder="1" applyAlignment="1">
      <alignment/>
    </xf>
    <xf numFmtId="0" fontId="6" fillId="38" borderId="0" xfId="0" applyFont="1" applyFill="1" applyAlignment="1">
      <alignment/>
    </xf>
    <xf numFmtId="4" fontId="6" fillId="38" borderId="0" xfId="0" applyNumberFormat="1" applyFont="1" applyFill="1" applyAlignment="1">
      <alignment/>
    </xf>
    <xf numFmtId="0" fontId="6" fillId="0" borderId="0" xfId="0" applyFont="1" applyFill="1" applyAlignment="1">
      <alignment/>
    </xf>
    <xf numFmtId="4" fontId="7" fillId="38" borderId="12" xfId="0" applyNumberFormat="1" applyFont="1" applyFill="1" applyBorder="1" applyAlignment="1">
      <alignment/>
    </xf>
    <xf numFmtId="0" fontId="9" fillId="0" borderId="0" xfId="0" applyFont="1" applyBorder="1" applyAlignment="1">
      <alignment horizontal="center"/>
    </xf>
    <xf numFmtId="14" fontId="1" fillId="0" borderId="38" xfId="0" applyNumberFormat="1" applyFont="1" applyBorder="1" applyAlignment="1">
      <alignment horizontal="center" vertical="center"/>
    </xf>
    <xf numFmtId="14" fontId="1" fillId="0" borderId="47" xfId="0" applyNumberFormat="1" applyFont="1" applyBorder="1" applyAlignment="1">
      <alignment horizontal="center" vertical="center"/>
    </xf>
    <xf numFmtId="0" fontId="1" fillId="0" borderId="38"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58" fillId="0" borderId="0" xfId="0" applyFont="1" applyAlignment="1">
      <alignment horizontal="left" wrapText="1"/>
    </xf>
    <xf numFmtId="14" fontId="1" fillId="0" borderId="43" xfId="0" applyNumberFormat="1" applyFont="1" applyBorder="1" applyAlignment="1">
      <alignment horizontal="center" vertical="center"/>
    </xf>
    <xf numFmtId="4" fontId="1" fillId="0" borderId="38" xfId="0" applyNumberFormat="1" applyFont="1" applyFill="1" applyBorder="1" applyAlignment="1">
      <alignment horizontal="center" vertical="center"/>
    </xf>
    <xf numFmtId="4" fontId="1" fillId="0" borderId="43" xfId="0" applyNumberFormat="1" applyFont="1" applyFill="1" applyBorder="1" applyAlignment="1">
      <alignment horizontal="center" vertical="center"/>
    </xf>
    <xf numFmtId="0" fontId="1" fillId="33" borderId="48" xfId="0" applyFont="1" applyFill="1" applyBorder="1" applyAlignment="1">
      <alignment horizontal="center" vertical="top" wrapText="1"/>
    </xf>
    <xf numFmtId="0" fontId="1" fillId="33" borderId="42" xfId="0" applyFont="1" applyFill="1" applyBorder="1" applyAlignment="1">
      <alignment horizontal="center" vertical="top" wrapText="1"/>
    </xf>
    <xf numFmtId="0" fontId="1" fillId="33" borderId="35" xfId="0" applyFont="1" applyFill="1" applyBorder="1" applyAlignment="1">
      <alignment horizontal="center" vertical="top" wrapText="1"/>
    </xf>
    <xf numFmtId="0" fontId="1" fillId="33" borderId="47" xfId="0" applyFont="1" applyFill="1" applyBorder="1" applyAlignment="1">
      <alignment horizontal="center" vertical="top" wrapText="1"/>
    </xf>
    <xf numFmtId="0" fontId="1" fillId="33" borderId="49" xfId="0" applyFont="1" applyFill="1" applyBorder="1" applyAlignment="1">
      <alignment horizontal="center" vertical="top" wrapText="1"/>
    </xf>
    <xf numFmtId="0" fontId="1" fillId="33" borderId="50" xfId="0" applyFont="1" applyFill="1" applyBorder="1" applyAlignment="1">
      <alignment horizontal="center" vertical="top" wrapText="1"/>
    </xf>
    <xf numFmtId="14" fontId="1" fillId="0" borderId="40" xfId="0" applyNumberFormat="1" applyFont="1" applyBorder="1" applyAlignment="1">
      <alignment horizontal="center" vertical="center"/>
    </xf>
    <xf numFmtId="14" fontId="1" fillId="0" borderId="51" xfId="0" applyNumberFormat="1" applyFont="1" applyBorder="1" applyAlignment="1">
      <alignment horizontal="center" vertical="center"/>
    </xf>
    <xf numFmtId="0" fontId="1" fillId="33" borderId="52" xfId="0" applyFont="1" applyFill="1" applyBorder="1" applyAlignment="1">
      <alignment horizontal="center" vertical="top" wrapText="1"/>
    </xf>
    <xf numFmtId="0" fontId="1" fillId="33" borderId="53" xfId="0" applyFont="1" applyFill="1" applyBorder="1" applyAlignment="1">
      <alignment horizontal="center" vertical="top" wrapText="1"/>
    </xf>
    <xf numFmtId="0" fontId="1" fillId="33" borderId="54" xfId="0" applyFont="1" applyFill="1" applyBorder="1" applyAlignment="1">
      <alignment horizontal="center" vertical="top" wrapText="1"/>
    </xf>
    <xf numFmtId="0" fontId="1" fillId="0" borderId="4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13" xfId="0" applyFont="1" applyBorder="1" applyAlignment="1">
      <alignment horizontal="center" vertical="center" wrapText="1"/>
    </xf>
    <xf numFmtId="0" fontId="58" fillId="0" borderId="0" xfId="0" applyFont="1" applyAlignment="1">
      <alignment horizontal="left"/>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14" fontId="1" fillId="0" borderId="57" xfId="0" applyNumberFormat="1" applyFont="1" applyBorder="1" applyAlignment="1">
      <alignment horizontal="center" vertical="center"/>
    </xf>
    <xf numFmtId="14" fontId="1" fillId="0" borderId="0" xfId="0" applyNumberFormat="1" applyFont="1" applyBorder="1" applyAlignment="1">
      <alignment horizontal="center" vertical="center"/>
    </xf>
    <xf numFmtId="14" fontId="1" fillId="0" borderId="58" xfId="0" applyNumberFormat="1" applyFont="1" applyBorder="1" applyAlignment="1">
      <alignment horizontal="center" vertical="center"/>
    </xf>
    <xf numFmtId="0" fontId="1" fillId="0" borderId="39" xfId="0" applyFont="1" applyBorder="1" applyAlignment="1">
      <alignment horizontal="center" vertical="center"/>
    </xf>
    <xf numFmtId="0" fontId="1" fillId="0" borderId="59" xfId="0" applyFont="1" applyBorder="1" applyAlignment="1">
      <alignment horizontal="center" vertical="center"/>
    </xf>
    <xf numFmtId="0" fontId="1" fillId="0" borderId="44" xfId="0" applyFont="1" applyBorder="1" applyAlignment="1">
      <alignment horizontal="center" vertical="center"/>
    </xf>
    <xf numFmtId="0" fontId="7" fillId="36" borderId="29" xfId="0" applyFont="1" applyFill="1" applyBorder="1" applyAlignment="1">
      <alignment horizontal="center" vertical="center" wrapText="1"/>
    </xf>
    <xf numFmtId="0" fontId="7" fillId="36" borderId="60" xfId="0" applyFont="1" applyFill="1" applyBorder="1" applyAlignment="1">
      <alignment horizontal="center" vertical="center" wrapText="1"/>
    </xf>
    <xf numFmtId="0" fontId="7" fillId="36" borderId="61" xfId="0" applyFont="1" applyFill="1" applyBorder="1" applyAlignment="1">
      <alignment horizontal="center" vertical="center" wrapText="1"/>
    </xf>
    <xf numFmtId="0" fontId="6" fillId="0" borderId="62" xfId="0" applyFont="1" applyBorder="1" applyAlignment="1">
      <alignment horizontal="center" vertical="center"/>
    </xf>
    <xf numFmtId="0" fontId="6" fillId="0" borderId="58" xfId="0" applyFont="1" applyBorder="1" applyAlignment="1">
      <alignment horizontal="center" vertical="center"/>
    </xf>
    <xf numFmtId="0" fontId="6" fillId="0" borderId="19" xfId="0" applyFont="1" applyBorder="1" applyAlignment="1">
      <alignment horizontal="center" vertical="center"/>
    </xf>
    <xf numFmtId="0" fontId="6" fillId="0" borderId="63"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4" fillId="0" borderId="10"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1" fillId="36" borderId="29" xfId="0" applyFont="1" applyFill="1" applyBorder="1" applyAlignment="1">
      <alignment horizontal="center" wrapText="1"/>
    </xf>
    <xf numFmtId="0" fontId="1" fillId="36" borderId="60" xfId="0" applyFont="1" applyFill="1" applyBorder="1" applyAlignment="1">
      <alignment horizontal="center" wrapText="1"/>
    </xf>
    <xf numFmtId="0" fontId="1" fillId="36" borderId="61" xfId="0" applyFont="1" applyFill="1" applyBorder="1" applyAlignment="1">
      <alignment horizontal="center" wrapText="1"/>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9" fillId="16" borderId="0" xfId="0" applyFont="1" applyFill="1" applyBorder="1" applyAlignment="1">
      <alignment horizontal="center"/>
    </xf>
    <xf numFmtId="0" fontId="9" fillId="16" borderId="58" xfId="0" applyFont="1" applyFill="1" applyBorder="1" applyAlignment="1">
      <alignment horizontal="center"/>
    </xf>
    <xf numFmtId="0" fontId="13"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76"/>
  <sheetViews>
    <sheetView zoomScale="110" zoomScaleNormal="110" zoomScalePageLayoutView="0" workbookViewId="0" topLeftCell="A1">
      <pane ySplit="3" topLeftCell="A4" activePane="bottomLeft" state="frozen"/>
      <selection pane="topLeft" activeCell="A1" sqref="A1"/>
      <selection pane="bottomLeft" activeCell="A1" sqref="A1:G1"/>
    </sheetView>
  </sheetViews>
  <sheetFormatPr defaultColWidth="9.140625" defaultRowHeight="12.75" outlineLevelRow="1" outlineLevelCol="1"/>
  <cols>
    <col min="1" max="1" width="15.421875" style="1" customWidth="1"/>
    <col min="2" max="2" width="10.140625" style="2" customWidth="1"/>
    <col min="3" max="3" width="18.140625" style="3" customWidth="1"/>
    <col min="4" max="4" width="16.8515625" style="3" customWidth="1"/>
    <col min="5" max="5" width="16.00390625" style="3" customWidth="1"/>
    <col min="6" max="6" width="15.00390625" style="3" customWidth="1"/>
    <col min="7" max="7" width="14.421875" style="1" customWidth="1"/>
    <col min="8" max="8" width="16.8515625" style="1" hidden="1" customWidth="1" outlineLevel="1"/>
    <col min="9" max="9" width="13.140625" style="1" bestFit="1" customWidth="1" collapsed="1"/>
    <col min="10" max="10" width="9.140625" style="1" customWidth="1"/>
    <col min="11" max="11" width="11.8515625" style="1" bestFit="1" customWidth="1"/>
    <col min="12" max="16384" width="9.140625" style="1" customWidth="1"/>
  </cols>
  <sheetData>
    <row r="1" spans="1:7" ht="15.75">
      <c r="A1" s="107" t="s">
        <v>114</v>
      </c>
      <c r="B1" s="107"/>
      <c r="C1" s="107"/>
      <c r="D1" s="107"/>
      <c r="E1" s="107"/>
      <c r="F1" s="107"/>
      <c r="G1" s="107"/>
    </row>
    <row r="2" ht="13.5" thickBot="1"/>
    <row r="3" spans="1:8" s="5" customFormat="1" ht="32.25" customHeight="1">
      <c r="A3" s="4"/>
      <c r="B3" s="121"/>
      <c r="C3" s="128" t="s">
        <v>100</v>
      </c>
      <c r="D3" s="128" t="s">
        <v>0</v>
      </c>
      <c r="E3" s="121" t="s">
        <v>1</v>
      </c>
      <c r="F3" s="121" t="s">
        <v>2</v>
      </c>
      <c r="G3" s="123" t="s">
        <v>3</v>
      </c>
      <c r="H3" s="119" t="s">
        <v>59</v>
      </c>
    </row>
    <row r="4" spans="1:8" s="5" customFormat="1" ht="23.25" customHeight="1" thickBot="1">
      <c r="A4" s="6"/>
      <c r="B4" s="122"/>
      <c r="C4" s="129"/>
      <c r="D4" s="129" t="s">
        <v>0</v>
      </c>
      <c r="E4" s="127"/>
      <c r="F4" s="127"/>
      <c r="G4" s="124"/>
      <c r="H4" s="120"/>
    </row>
    <row r="5" spans="1:8" ht="12.75" customHeight="1" hidden="1" outlineLevel="1">
      <c r="A5" s="134" t="s">
        <v>4</v>
      </c>
      <c r="B5" s="125" t="s">
        <v>105</v>
      </c>
      <c r="C5" s="54"/>
      <c r="D5" s="55"/>
      <c r="E5" s="7">
        <v>39443</v>
      </c>
      <c r="F5" s="8">
        <v>11013074.34</v>
      </c>
      <c r="G5" s="9" t="s">
        <v>52</v>
      </c>
      <c r="H5" s="10">
        <f aca="true" t="shared" si="0" ref="H5:H18">F5*0.702804</f>
        <v>7740032.698449359</v>
      </c>
    </row>
    <row r="6" spans="1:8" ht="12.75" customHeight="1" hidden="1" outlineLevel="1">
      <c r="A6" s="135"/>
      <c r="B6" s="126"/>
      <c r="C6" s="54"/>
      <c r="D6" s="55"/>
      <c r="E6" s="7">
        <v>39506</v>
      </c>
      <c r="F6" s="8">
        <v>16519611.51</v>
      </c>
      <c r="G6" s="9" t="s">
        <v>52</v>
      </c>
      <c r="H6" s="10">
        <f t="shared" si="0"/>
        <v>11610049.04767404</v>
      </c>
    </row>
    <row r="7" spans="1:8" ht="12.75" customHeight="1" hidden="1" outlineLevel="1">
      <c r="A7" s="135"/>
      <c r="B7" s="126"/>
      <c r="C7" s="54"/>
      <c r="D7" s="55"/>
      <c r="E7" s="7">
        <v>39853</v>
      </c>
      <c r="F7" s="8">
        <v>11013074.34</v>
      </c>
      <c r="G7" s="9" t="s">
        <v>52</v>
      </c>
      <c r="H7" s="10">
        <f t="shared" si="0"/>
        <v>7740032.698449359</v>
      </c>
    </row>
    <row r="8" spans="1:8" ht="12.75" customHeight="1" hidden="1" outlineLevel="1">
      <c r="A8" s="135"/>
      <c r="B8" s="126"/>
      <c r="C8" s="54"/>
      <c r="D8" s="55"/>
      <c r="E8" s="7">
        <v>39930</v>
      </c>
      <c r="F8" s="8">
        <v>11013074.34</v>
      </c>
      <c r="G8" s="9" t="s">
        <v>52</v>
      </c>
      <c r="H8" s="10">
        <f t="shared" si="0"/>
        <v>7740032.698449359</v>
      </c>
    </row>
    <row r="9" spans="1:8" ht="12.75" customHeight="1" hidden="1" outlineLevel="1">
      <c r="A9" s="135"/>
      <c r="B9" s="126"/>
      <c r="C9" s="56">
        <v>39861</v>
      </c>
      <c r="D9" s="8">
        <v>225771.56</v>
      </c>
      <c r="E9" s="7">
        <v>40010</v>
      </c>
      <c r="F9" s="8">
        <v>225771.56</v>
      </c>
      <c r="G9" s="9" t="s">
        <v>53</v>
      </c>
      <c r="H9" s="10">
        <f t="shared" si="0"/>
        <v>158673.15545423998</v>
      </c>
    </row>
    <row r="10" spans="1:8" ht="12.75" customHeight="1" hidden="1" outlineLevel="1">
      <c r="A10" s="135"/>
      <c r="B10" s="126"/>
      <c r="C10" s="56">
        <v>39993</v>
      </c>
      <c r="D10" s="8">
        <v>2378161.79</v>
      </c>
      <c r="E10" s="7">
        <v>40025</v>
      </c>
      <c r="F10" s="8">
        <v>2378161.79</v>
      </c>
      <c r="G10" s="9" t="s">
        <v>53</v>
      </c>
      <c r="H10" s="10">
        <f t="shared" si="0"/>
        <v>1671381.61865916</v>
      </c>
    </row>
    <row r="11" spans="1:8" ht="12.75" customHeight="1" hidden="1" outlineLevel="1">
      <c r="A11" s="135"/>
      <c r="B11" s="126"/>
      <c r="C11" s="56">
        <v>40053</v>
      </c>
      <c r="D11" s="8">
        <v>5068087.05</v>
      </c>
      <c r="E11" s="7">
        <v>40077</v>
      </c>
      <c r="F11" s="8">
        <v>5068087.05</v>
      </c>
      <c r="G11" s="9" t="s">
        <v>53</v>
      </c>
      <c r="H11" s="10">
        <f t="shared" si="0"/>
        <v>3561871.8510881998</v>
      </c>
    </row>
    <row r="12" spans="1:8" ht="12.75" customHeight="1" hidden="1" outlineLevel="1">
      <c r="A12" s="135"/>
      <c r="B12" s="126"/>
      <c r="C12" s="56">
        <v>40087</v>
      </c>
      <c r="D12" s="8">
        <v>6263875.55</v>
      </c>
      <c r="E12" s="7">
        <v>40100</v>
      </c>
      <c r="F12" s="8">
        <v>6263875.55</v>
      </c>
      <c r="G12" s="9" t="s">
        <v>53</v>
      </c>
      <c r="H12" s="10">
        <f t="shared" si="0"/>
        <v>4402276.7920421995</v>
      </c>
    </row>
    <row r="13" spans="1:8" ht="12.75" customHeight="1" hidden="1" outlineLevel="1">
      <c r="A13" s="135"/>
      <c r="B13" s="126"/>
      <c r="C13" s="56">
        <v>40116</v>
      </c>
      <c r="D13" s="8">
        <v>3339387.31</v>
      </c>
      <c r="E13" s="7">
        <v>40148</v>
      </c>
      <c r="F13" s="8">
        <v>3339387.31</v>
      </c>
      <c r="G13" s="9" t="s">
        <v>53</v>
      </c>
      <c r="H13" s="10">
        <f t="shared" si="0"/>
        <v>2346934.75901724</v>
      </c>
    </row>
    <row r="14" spans="1:8" ht="12.75" customHeight="1" hidden="1" outlineLevel="1">
      <c r="A14" s="135"/>
      <c r="B14" s="126"/>
      <c r="C14" s="56">
        <v>40147</v>
      </c>
      <c r="D14" s="8">
        <v>2592344.28</v>
      </c>
      <c r="E14" s="7">
        <v>40163</v>
      </c>
      <c r="F14" s="8">
        <v>2592344.28</v>
      </c>
      <c r="G14" s="9" t="s">
        <v>53</v>
      </c>
      <c r="H14" s="10">
        <f t="shared" si="0"/>
        <v>1821909.9293611199</v>
      </c>
    </row>
    <row r="15" spans="1:8" ht="12.75" customHeight="1" hidden="1" outlineLevel="1">
      <c r="A15" s="135"/>
      <c r="B15" s="126"/>
      <c r="C15" s="56">
        <v>39820</v>
      </c>
      <c r="D15" s="8">
        <v>8051090.78</v>
      </c>
      <c r="E15" s="7">
        <v>40218</v>
      </c>
      <c r="F15" s="8">
        <v>8051090.78</v>
      </c>
      <c r="G15" s="9" t="s">
        <v>53</v>
      </c>
      <c r="H15" s="10">
        <f t="shared" si="0"/>
        <v>5658338.80454712</v>
      </c>
    </row>
    <row r="16" spans="1:8" ht="12.75" customHeight="1" hidden="1" outlineLevel="1">
      <c r="A16" s="135"/>
      <c r="B16" s="126"/>
      <c r="C16" s="56">
        <v>40221</v>
      </c>
      <c r="D16" s="8">
        <v>28243755.52</v>
      </c>
      <c r="E16" s="7">
        <v>40247</v>
      </c>
      <c r="F16" s="8">
        <v>28243755.52</v>
      </c>
      <c r="G16" s="9" t="s">
        <v>53</v>
      </c>
      <c r="H16" s="10">
        <f t="shared" si="0"/>
        <v>19849824.35447808</v>
      </c>
    </row>
    <row r="17" spans="1:8" ht="12.75" customHeight="1" hidden="1" outlineLevel="1">
      <c r="A17" s="135"/>
      <c r="B17" s="126"/>
      <c r="C17" s="56">
        <v>40239</v>
      </c>
      <c r="D17" s="8">
        <v>1243457.05</v>
      </c>
      <c r="E17" s="50">
        <v>40267</v>
      </c>
      <c r="F17" s="8">
        <v>1243457.05</v>
      </c>
      <c r="G17" s="51" t="s">
        <v>53</v>
      </c>
      <c r="H17" s="10">
        <f t="shared" si="0"/>
        <v>873906.5885682</v>
      </c>
    </row>
    <row r="18" spans="1:8" ht="12.75" customHeight="1" hidden="1" outlineLevel="1">
      <c r="A18" s="135"/>
      <c r="B18" s="126"/>
      <c r="C18" s="56">
        <v>40269</v>
      </c>
      <c r="D18" s="8">
        <v>12903014.1</v>
      </c>
      <c r="E18" s="50">
        <v>40295</v>
      </c>
      <c r="F18" s="8">
        <v>12903014.1</v>
      </c>
      <c r="G18" s="51" t="s">
        <v>53</v>
      </c>
      <c r="H18" s="10">
        <f t="shared" si="0"/>
        <v>9068289.921536399</v>
      </c>
    </row>
    <row r="19" spans="1:8" ht="12.75" customHeight="1" hidden="1" outlineLevel="1">
      <c r="A19" s="135"/>
      <c r="B19" s="126"/>
      <c r="C19" s="56">
        <v>40304</v>
      </c>
      <c r="D19" s="8">
        <v>4924461.63</v>
      </c>
      <c r="E19" s="50">
        <v>40329</v>
      </c>
      <c r="F19" s="8">
        <v>4924461.63</v>
      </c>
      <c r="G19" s="51" t="s">
        <v>53</v>
      </c>
      <c r="H19" s="10">
        <f>F19*0.702804</f>
        <v>3460931.33141052</v>
      </c>
    </row>
    <row r="20" spans="1:8" ht="12.75" customHeight="1" hidden="1" outlineLevel="1">
      <c r="A20" s="135"/>
      <c r="B20" s="126"/>
      <c r="C20" s="56">
        <v>40327</v>
      </c>
      <c r="D20" s="8">
        <v>6846352.31</v>
      </c>
      <c r="E20" s="50">
        <v>40353</v>
      </c>
      <c r="F20" s="8">
        <v>6846352.31</v>
      </c>
      <c r="G20" s="51" t="s">
        <v>53</v>
      </c>
      <c r="H20" s="10">
        <f>F20*0.702804</f>
        <v>4811643.788877239</v>
      </c>
    </row>
    <row r="21" spans="1:8" ht="12.75" customHeight="1" hidden="1" outlineLevel="1">
      <c r="A21" s="135"/>
      <c r="B21" s="126"/>
      <c r="C21" s="57"/>
      <c r="D21" s="8"/>
      <c r="E21" s="50">
        <v>40373</v>
      </c>
      <c r="F21" s="8">
        <v>22026148.68</v>
      </c>
      <c r="G21" s="9" t="s">
        <v>66</v>
      </c>
      <c r="H21" s="10">
        <f>F21*0.702804</f>
        <v>15480065.396898719</v>
      </c>
    </row>
    <row r="22" spans="1:8" ht="12.75" customHeight="1" hidden="1" outlineLevel="1">
      <c r="A22" s="135"/>
      <c r="B22" s="126"/>
      <c r="C22" s="56">
        <v>40371</v>
      </c>
      <c r="D22" s="8">
        <v>10051389.55</v>
      </c>
      <c r="E22" s="50">
        <v>40408</v>
      </c>
      <c r="F22" s="8">
        <v>10051389.55</v>
      </c>
      <c r="G22" s="51" t="s">
        <v>53</v>
      </c>
      <c r="H22" s="10">
        <f>F22*0.702804</f>
        <v>7064156.781298201</v>
      </c>
    </row>
    <row r="23" spans="1:8" ht="12.75" customHeight="1" hidden="1" outlineLevel="1">
      <c r="A23" s="135"/>
      <c r="B23" s="126"/>
      <c r="C23" s="56">
        <v>40410</v>
      </c>
      <c r="D23" s="8">
        <v>10060868.85</v>
      </c>
      <c r="E23" s="50">
        <v>40438</v>
      </c>
      <c r="F23" s="8">
        <v>10060868.85</v>
      </c>
      <c r="G23" s="51" t="s">
        <v>53</v>
      </c>
      <c r="H23" s="10"/>
    </row>
    <row r="24" spans="1:8" ht="12.75" customHeight="1" hidden="1" outlineLevel="1">
      <c r="A24" s="135"/>
      <c r="B24" s="126"/>
      <c r="C24" s="56">
        <v>40423</v>
      </c>
      <c r="D24" s="8">
        <v>6888262.1</v>
      </c>
      <c r="E24" s="50">
        <v>40451</v>
      </c>
      <c r="F24" s="8">
        <v>6888262.1</v>
      </c>
      <c r="G24" s="51" t="s">
        <v>53</v>
      </c>
      <c r="H24" s="10"/>
    </row>
    <row r="25" spans="1:8" ht="12.75" customHeight="1" hidden="1" outlineLevel="1">
      <c r="A25" s="135"/>
      <c r="B25" s="126"/>
      <c r="C25" s="56">
        <v>40456</v>
      </c>
      <c r="D25" s="8">
        <v>11716607.11</v>
      </c>
      <c r="E25" s="50">
        <v>40487</v>
      </c>
      <c r="F25" s="8">
        <v>11716607.11</v>
      </c>
      <c r="G25" s="51" t="s">
        <v>53</v>
      </c>
      <c r="H25" s="10"/>
    </row>
    <row r="26" spans="1:8" ht="12.75" customHeight="1" hidden="1" outlineLevel="1">
      <c r="A26" s="135"/>
      <c r="B26" s="126"/>
      <c r="C26" s="56">
        <v>40487</v>
      </c>
      <c r="D26" s="8">
        <v>6555252.62</v>
      </c>
      <c r="E26" s="50">
        <v>40514</v>
      </c>
      <c r="F26" s="8">
        <v>6555252.62</v>
      </c>
      <c r="G26" s="51" t="s">
        <v>53</v>
      </c>
      <c r="H26" s="10"/>
    </row>
    <row r="27" spans="1:8" ht="12.75" customHeight="1" hidden="1" outlineLevel="1">
      <c r="A27" s="135"/>
      <c r="B27" s="126"/>
      <c r="C27" s="56">
        <v>40520</v>
      </c>
      <c r="D27" s="8">
        <v>27702003.33</v>
      </c>
      <c r="E27" s="50">
        <v>40532</v>
      </c>
      <c r="F27" s="8">
        <v>27702003.33</v>
      </c>
      <c r="G27" s="51" t="s">
        <v>53</v>
      </c>
      <c r="H27" s="10"/>
    </row>
    <row r="28" spans="1:8" ht="12.75" customHeight="1" hidden="1" outlineLevel="1">
      <c r="A28" s="135"/>
      <c r="B28" s="126"/>
      <c r="C28" s="56">
        <v>40542</v>
      </c>
      <c r="D28" s="8">
        <v>8512718.99</v>
      </c>
      <c r="E28" s="50">
        <v>40576</v>
      </c>
      <c r="F28" s="8">
        <v>8512718.99</v>
      </c>
      <c r="G28" s="51" t="s">
        <v>53</v>
      </c>
      <c r="H28" s="10"/>
    </row>
    <row r="29" spans="1:8" ht="12.75" customHeight="1" hidden="1" outlineLevel="1">
      <c r="A29" s="135"/>
      <c r="B29" s="126"/>
      <c r="C29" s="58">
        <v>40581</v>
      </c>
      <c r="D29" s="8">
        <v>15851383.46</v>
      </c>
      <c r="E29" s="53">
        <v>40615</v>
      </c>
      <c r="F29" s="8">
        <v>15851383.46</v>
      </c>
      <c r="G29" s="51" t="s">
        <v>53</v>
      </c>
      <c r="H29" s="10"/>
    </row>
    <row r="30" spans="1:8" ht="12.75" customHeight="1" hidden="1" outlineLevel="1">
      <c r="A30" s="135"/>
      <c r="B30" s="126"/>
      <c r="C30" s="60">
        <v>40606</v>
      </c>
      <c r="D30" s="8">
        <v>12486502.23</v>
      </c>
      <c r="E30" s="53">
        <v>40627</v>
      </c>
      <c r="F30" s="8">
        <v>12486502.23</v>
      </c>
      <c r="G30" s="51" t="s">
        <v>53</v>
      </c>
      <c r="H30" s="10"/>
    </row>
    <row r="31" spans="1:8" ht="12.75" customHeight="1" hidden="1" outlineLevel="1">
      <c r="A31" s="135"/>
      <c r="B31" s="126"/>
      <c r="C31" s="60">
        <v>40639</v>
      </c>
      <c r="D31" s="8">
        <v>11520327.05</v>
      </c>
      <c r="E31" s="53">
        <v>40665</v>
      </c>
      <c r="F31" s="8">
        <v>11520327.05</v>
      </c>
      <c r="G31" s="51" t="s">
        <v>53</v>
      </c>
      <c r="H31" s="10"/>
    </row>
    <row r="32" spans="1:8" ht="12.75" customHeight="1" hidden="1" outlineLevel="1">
      <c r="A32" s="135"/>
      <c r="B32" s="126"/>
      <c r="C32" s="60">
        <v>40673</v>
      </c>
      <c r="D32" s="8">
        <v>11690496.43</v>
      </c>
      <c r="E32" s="53">
        <v>40694</v>
      </c>
      <c r="F32" s="8">
        <v>11690496.43</v>
      </c>
      <c r="G32" s="51" t="s">
        <v>53</v>
      </c>
      <c r="H32" s="10"/>
    </row>
    <row r="33" spans="1:8" ht="12.75" customHeight="1" hidden="1" outlineLevel="1">
      <c r="A33" s="135"/>
      <c r="B33" s="126"/>
      <c r="C33" s="60">
        <v>40701</v>
      </c>
      <c r="D33" s="8">
        <v>5414396.59</v>
      </c>
      <c r="E33" s="53">
        <v>40716</v>
      </c>
      <c r="F33" s="8">
        <v>5414396.59</v>
      </c>
      <c r="G33" s="51" t="s">
        <v>53</v>
      </c>
      <c r="H33" s="10"/>
    </row>
    <row r="34" spans="1:8" ht="12.75" customHeight="1" hidden="1" outlineLevel="1">
      <c r="A34" s="135"/>
      <c r="B34" s="126"/>
      <c r="C34" s="60">
        <v>40737</v>
      </c>
      <c r="D34" s="8">
        <v>15620207.67</v>
      </c>
      <c r="E34" s="53">
        <v>40756</v>
      </c>
      <c r="F34" s="8">
        <v>15620207.67</v>
      </c>
      <c r="G34" s="51" t="s">
        <v>53</v>
      </c>
      <c r="H34" s="10"/>
    </row>
    <row r="35" spans="1:8" ht="12.75" customHeight="1" hidden="1" outlineLevel="1">
      <c r="A35" s="135"/>
      <c r="B35" s="126"/>
      <c r="C35" s="60">
        <v>40772</v>
      </c>
      <c r="D35" s="8">
        <v>8769394.96</v>
      </c>
      <c r="E35" s="53">
        <v>40792</v>
      </c>
      <c r="F35" s="8">
        <v>8769394.96</v>
      </c>
      <c r="G35" s="51" t="s">
        <v>53</v>
      </c>
      <c r="H35" s="10"/>
    </row>
    <row r="36" spans="1:8" ht="12.75" customHeight="1" hidden="1" outlineLevel="1">
      <c r="A36" s="135"/>
      <c r="B36" s="126"/>
      <c r="C36" s="60">
        <v>40793</v>
      </c>
      <c r="D36" s="8">
        <v>10469427.07</v>
      </c>
      <c r="E36" s="53">
        <v>40801</v>
      </c>
      <c r="F36" s="8">
        <v>10469427.07</v>
      </c>
      <c r="G36" s="51" t="s">
        <v>53</v>
      </c>
      <c r="H36" s="10"/>
    </row>
    <row r="37" spans="1:8" ht="12.75" customHeight="1" hidden="1" outlineLevel="1">
      <c r="A37" s="135"/>
      <c r="B37" s="126"/>
      <c r="C37" s="60">
        <v>40822</v>
      </c>
      <c r="D37" s="74">
        <v>14850971.78</v>
      </c>
      <c r="E37" s="75">
        <v>40830</v>
      </c>
      <c r="F37" s="74">
        <v>14850971.78</v>
      </c>
      <c r="G37" s="76" t="s">
        <v>53</v>
      </c>
      <c r="H37" s="10"/>
    </row>
    <row r="38" spans="1:8" ht="12.75" customHeight="1" hidden="1" outlineLevel="1">
      <c r="A38" s="135"/>
      <c r="B38" s="126"/>
      <c r="C38" s="60">
        <v>40854</v>
      </c>
      <c r="D38" s="74">
        <v>8272720.59</v>
      </c>
      <c r="E38" s="75">
        <v>40870</v>
      </c>
      <c r="F38" s="74">
        <v>8272720.59</v>
      </c>
      <c r="G38" s="76" t="s">
        <v>53</v>
      </c>
      <c r="H38" s="10"/>
    </row>
    <row r="39" spans="1:8" ht="12.75" customHeight="1" hidden="1" outlineLevel="1">
      <c r="A39" s="135"/>
      <c r="B39" s="126"/>
      <c r="C39" s="60">
        <v>40884</v>
      </c>
      <c r="D39" s="8">
        <v>14144016.44</v>
      </c>
      <c r="E39" s="53">
        <v>41099</v>
      </c>
      <c r="F39" s="8">
        <v>14144016.44</v>
      </c>
      <c r="G39" s="76" t="s">
        <v>53</v>
      </c>
      <c r="H39" s="10"/>
    </row>
    <row r="40" spans="1:8" ht="12.75" customHeight="1" hidden="1" outlineLevel="1">
      <c r="A40" s="135"/>
      <c r="B40" s="126"/>
      <c r="C40" s="60">
        <v>40925</v>
      </c>
      <c r="D40" s="8">
        <v>11821019.52</v>
      </c>
      <c r="E40" s="53">
        <v>41102</v>
      </c>
      <c r="F40" s="52">
        <v>11821019.52</v>
      </c>
      <c r="G40" s="9" t="s">
        <v>53</v>
      </c>
      <c r="H40" s="10"/>
    </row>
    <row r="41" spans="1:8" ht="12.75" customHeight="1" hidden="1" outlineLevel="1">
      <c r="A41" s="135"/>
      <c r="B41" s="126"/>
      <c r="C41" s="60">
        <v>41100</v>
      </c>
      <c r="D41" s="8">
        <v>23204517.19</v>
      </c>
      <c r="E41" s="53">
        <v>41164</v>
      </c>
      <c r="F41" s="52">
        <v>23204517.19</v>
      </c>
      <c r="G41" s="9" t="s">
        <v>53</v>
      </c>
      <c r="H41" s="10"/>
    </row>
    <row r="42" spans="1:8" ht="12.75" customHeight="1" hidden="1" outlineLevel="1">
      <c r="A42" s="135"/>
      <c r="B42" s="126"/>
      <c r="C42" s="60">
        <v>41103</v>
      </c>
      <c r="D42" s="8">
        <v>4719849.95</v>
      </c>
      <c r="E42" s="53">
        <v>41169</v>
      </c>
      <c r="F42" s="52">
        <v>4719849.95</v>
      </c>
      <c r="G42" s="9" t="s">
        <v>53</v>
      </c>
      <c r="H42" s="10"/>
    </row>
    <row r="43" spans="1:8" ht="12.75" customHeight="1" hidden="1" outlineLevel="1">
      <c r="A43" s="135"/>
      <c r="B43" s="126"/>
      <c r="C43" s="60">
        <v>41122</v>
      </c>
      <c r="D43" s="8">
        <v>4764020.8</v>
      </c>
      <c r="E43" s="53">
        <v>41173</v>
      </c>
      <c r="F43" s="52">
        <v>4764020.8</v>
      </c>
      <c r="G43" s="51" t="s">
        <v>53</v>
      </c>
      <c r="H43" s="10"/>
    </row>
    <row r="44" spans="1:8" ht="12.75" customHeight="1" hidden="1" outlineLevel="1">
      <c r="A44" s="135"/>
      <c r="B44" s="126"/>
      <c r="C44" s="60">
        <v>41157</v>
      </c>
      <c r="D44" s="8">
        <v>3528728.73</v>
      </c>
      <c r="E44" s="53">
        <v>41186</v>
      </c>
      <c r="F44" s="52">
        <v>3528728.73</v>
      </c>
      <c r="G44" s="51" t="s">
        <v>53</v>
      </c>
      <c r="H44" s="10"/>
    </row>
    <row r="45" spans="1:8" ht="12.75" customHeight="1" hidden="1" outlineLevel="1">
      <c r="A45" s="135"/>
      <c r="B45" s="126"/>
      <c r="C45" s="60">
        <v>41187</v>
      </c>
      <c r="D45" s="8">
        <v>41359480.2</v>
      </c>
      <c r="E45" s="53">
        <v>41263</v>
      </c>
      <c r="F45" s="52">
        <v>41359480.2</v>
      </c>
      <c r="G45" s="51" t="s">
        <v>53</v>
      </c>
      <c r="H45" s="10"/>
    </row>
    <row r="46" spans="1:8" ht="12.75" customHeight="1" hidden="1" outlineLevel="1">
      <c r="A46" s="135"/>
      <c r="B46" s="126"/>
      <c r="C46" s="60">
        <v>41215</v>
      </c>
      <c r="D46" s="8">
        <v>8733168.98</v>
      </c>
      <c r="E46" s="53">
        <v>41263</v>
      </c>
      <c r="F46" s="52">
        <v>8733168.98</v>
      </c>
      <c r="G46" s="51" t="s">
        <v>53</v>
      </c>
      <c r="H46" s="10"/>
    </row>
    <row r="47" spans="1:8" ht="12.75" customHeight="1" hidden="1" outlineLevel="1">
      <c r="A47" s="135"/>
      <c r="B47" s="126"/>
      <c r="C47" s="60">
        <v>41256</v>
      </c>
      <c r="D47" s="90">
        <v>11901883.99</v>
      </c>
      <c r="E47" s="53">
        <v>41333</v>
      </c>
      <c r="F47" s="52">
        <v>11901883.99</v>
      </c>
      <c r="G47" s="51" t="s">
        <v>53</v>
      </c>
      <c r="H47" s="10"/>
    </row>
    <row r="48" spans="1:8" ht="12.75" customHeight="1" hidden="1" outlineLevel="1">
      <c r="A48" s="135"/>
      <c r="B48" s="126"/>
      <c r="C48" s="60">
        <v>41290</v>
      </c>
      <c r="D48" s="8">
        <v>10154966.98</v>
      </c>
      <c r="E48" s="53">
        <v>41340</v>
      </c>
      <c r="F48" s="52">
        <v>10154966.98</v>
      </c>
      <c r="G48" s="51" t="s">
        <v>53</v>
      </c>
      <c r="H48" s="10"/>
    </row>
    <row r="49" spans="1:8" ht="12.75" customHeight="1" hidden="1" outlineLevel="1">
      <c r="A49" s="135"/>
      <c r="B49" s="126"/>
      <c r="C49" s="60">
        <v>41313</v>
      </c>
      <c r="D49" s="90">
        <v>7892230.4</v>
      </c>
      <c r="E49" s="53">
        <v>41374</v>
      </c>
      <c r="F49" s="90">
        <v>7892230.4</v>
      </c>
      <c r="G49" s="51" t="s">
        <v>53</v>
      </c>
      <c r="H49" s="10"/>
    </row>
    <row r="50" spans="1:8" ht="12.75" customHeight="1" hidden="1" outlineLevel="1">
      <c r="A50" s="135"/>
      <c r="B50" s="126"/>
      <c r="C50" s="60">
        <v>41345</v>
      </c>
      <c r="D50" s="91">
        <v>4701482.69</v>
      </c>
      <c r="E50" s="53">
        <v>41414</v>
      </c>
      <c r="F50" s="52">
        <v>4701482.69</v>
      </c>
      <c r="G50" s="51" t="s">
        <v>53</v>
      </c>
      <c r="H50" s="10"/>
    </row>
    <row r="51" spans="1:8" ht="12.75" customHeight="1" hidden="1" outlineLevel="1">
      <c r="A51" s="135"/>
      <c r="B51" s="126"/>
      <c r="C51" s="60">
        <v>41376</v>
      </c>
      <c r="D51" s="91">
        <v>9850334.94</v>
      </c>
      <c r="E51" s="53">
        <v>41418</v>
      </c>
      <c r="F51" s="52">
        <v>9850334.94</v>
      </c>
      <c r="G51" s="51" t="s">
        <v>53</v>
      </c>
      <c r="H51" s="10"/>
    </row>
    <row r="52" spans="1:8" ht="12.75" customHeight="1" hidden="1" outlineLevel="1">
      <c r="A52" s="135"/>
      <c r="B52" s="126"/>
      <c r="C52" s="60">
        <v>41408</v>
      </c>
      <c r="D52" s="91">
        <v>4942396.63</v>
      </c>
      <c r="E52" s="53">
        <v>41425</v>
      </c>
      <c r="F52" s="52">
        <v>4942396.63</v>
      </c>
      <c r="G52" s="51" t="s">
        <v>53</v>
      </c>
      <c r="H52" s="10"/>
    </row>
    <row r="53" spans="1:8" ht="12.75" customHeight="1" hidden="1" outlineLevel="1">
      <c r="A53" s="135"/>
      <c r="B53" s="126"/>
      <c r="C53" s="60">
        <v>41436</v>
      </c>
      <c r="D53" s="91">
        <v>16856345.47</v>
      </c>
      <c r="E53" s="53">
        <v>41459</v>
      </c>
      <c r="F53" s="52">
        <v>16856345.47</v>
      </c>
      <c r="G53" s="51" t="s">
        <v>53</v>
      </c>
      <c r="H53" s="10"/>
    </row>
    <row r="54" spans="1:8" ht="12.75" customHeight="1" hidden="1" outlineLevel="1">
      <c r="A54" s="135"/>
      <c r="B54" s="126"/>
      <c r="C54" s="60">
        <v>41467</v>
      </c>
      <c r="D54" s="91">
        <v>8545466.69</v>
      </c>
      <c r="E54" s="53">
        <v>41522</v>
      </c>
      <c r="F54" s="91">
        <v>8545466.69</v>
      </c>
      <c r="G54" s="51" t="s">
        <v>53</v>
      </c>
      <c r="H54" s="10"/>
    </row>
    <row r="55" spans="1:8" ht="12.75" customHeight="1" hidden="1" outlineLevel="1">
      <c r="A55" s="135"/>
      <c r="B55" s="126"/>
      <c r="C55" s="60">
        <v>41493</v>
      </c>
      <c r="D55" s="91">
        <v>6849117.01</v>
      </c>
      <c r="E55" s="53">
        <v>41534</v>
      </c>
      <c r="F55" s="91">
        <v>6849117.01</v>
      </c>
      <c r="G55" s="51" t="s">
        <v>53</v>
      </c>
      <c r="H55" s="10"/>
    </row>
    <row r="56" spans="1:8" ht="12.75" customHeight="1" hidden="1" outlineLevel="1">
      <c r="A56" s="135"/>
      <c r="B56" s="126"/>
      <c r="C56" s="60">
        <v>41528</v>
      </c>
      <c r="D56" s="91">
        <v>9196919.89</v>
      </c>
      <c r="E56" s="53">
        <v>41542</v>
      </c>
      <c r="F56" s="91">
        <v>9196919.89</v>
      </c>
      <c r="G56" s="51" t="s">
        <v>53</v>
      </c>
      <c r="H56" s="10"/>
    </row>
    <row r="57" spans="1:8" ht="12.75" customHeight="1" hidden="1" outlineLevel="1">
      <c r="A57" s="135"/>
      <c r="B57" s="126"/>
      <c r="C57" s="60">
        <v>41557</v>
      </c>
      <c r="D57" s="91">
        <v>8079303.95</v>
      </c>
      <c r="E57" s="53">
        <v>41579</v>
      </c>
      <c r="F57" s="91">
        <v>684912.13</v>
      </c>
      <c r="G57" s="51" t="s">
        <v>53</v>
      </c>
      <c r="H57" s="10"/>
    </row>
    <row r="58" spans="1:8" ht="12.75" customHeight="1" hidden="1" outlineLevel="1">
      <c r="A58" s="135"/>
      <c r="B58" s="126"/>
      <c r="C58" s="60">
        <v>41584</v>
      </c>
      <c r="D58" s="91">
        <v>5790980.96</v>
      </c>
      <c r="E58" s="53"/>
      <c r="F58" s="91"/>
      <c r="G58" s="51" t="s">
        <v>53</v>
      </c>
      <c r="H58" s="10"/>
    </row>
    <row r="59" spans="1:8" ht="12.75" customHeight="1" hidden="1" outlineLevel="1">
      <c r="A59" s="135"/>
      <c r="B59" s="126"/>
      <c r="C59" s="60">
        <v>41619</v>
      </c>
      <c r="D59" s="91">
        <v>7672156.01</v>
      </c>
      <c r="E59" s="53"/>
      <c r="F59" s="91"/>
      <c r="G59" s="51" t="s">
        <v>53</v>
      </c>
      <c r="H59" s="10"/>
    </row>
    <row r="60" spans="1:8" ht="12.75" customHeight="1" hidden="1" outlineLevel="1">
      <c r="A60" s="135"/>
      <c r="B60" s="126"/>
      <c r="C60" s="60">
        <v>41655</v>
      </c>
      <c r="D60" s="91">
        <v>8297657.06</v>
      </c>
      <c r="E60" s="53"/>
      <c r="F60" s="91"/>
      <c r="G60" s="51" t="s">
        <v>53</v>
      </c>
      <c r="H60" s="10"/>
    </row>
    <row r="61" spans="1:8" ht="12.75" customHeight="1" hidden="1" outlineLevel="1">
      <c r="A61" s="135"/>
      <c r="B61" s="126"/>
      <c r="C61" s="60">
        <v>41682</v>
      </c>
      <c r="D61" s="91">
        <v>0</v>
      </c>
      <c r="E61" s="53"/>
      <c r="F61" s="91"/>
      <c r="G61" s="51" t="s">
        <v>101</v>
      </c>
      <c r="H61" s="10"/>
    </row>
    <row r="62" spans="1:8" ht="12.75" customHeight="1" hidden="1" outlineLevel="1">
      <c r="A62" s="135"/>
      <c r="B62" s="126"/>
      <c r="C62" s="60">
        <v>41709</v>
      </c>
      <c r="D62" s="91">
        <v>0</v>
      </c>
      <c r="E62" s="53"/>
      <c r="F62" s="91"/>
      <c r="G62" s="51" t="s">
        <v>101</v>
      </c>
      <c r="H62" s="10"/>
    </row>
    <row r="63" spans="1:8" ht="12.75" customHeight="1" hidden="1" outlineLevel="1">
      <c r="A63" s="135"/>
      <c r="B63" s="126"/>
      <c r="C63" s="60">
        <v>41737</v>
      </c>
      <c r="D63" s="91">
        <v>0</v>
      </c>
      <c r="E63" s="53"/>
      <c r="F63" s="91"/>
      <c r="G63" s="51" t="s">
        <v>101</v>
      </c>
      <c r="H63" s="10"/>
    </row>
    <row r="64" spans="1:8" ht="12.75" customHeight="1" hidden="1" outlineLevel="1">
      <c r="A64" s="135"/>
      <c r="B64" s="126"/>
      <c r="C64" s="60">
        <v>41772</v>
      </c>
      <c r="D64" s="91">
        <v>0</v>
      </c>
      <c r="E64" s="53"/>
      <c r="F64" s="91"/>
      <c r="G64" s="51" t="s">
        <v>101</v>
      </c>
      <c r="H64" s="10"/>
    </row>
    <row r="65" spans="1:8" ht="12.75" customHeight="1" hidden="1" outlineLevel="1">
      <c r="A65" s="135"/>
      <c r="B65" s="126"/>
      <c r="C65" s="60">
        <v>41808</v>
      </c>
      <c r="D65" s="91">
        <v>0</v>
      </c>
      <c r="E65" s="53"/>
      <c r="F65" s="91"/>
      <c r="G65" s="51" t="s">
        <v>101</v>
      </c>
      <c r="H65" s="10"/>
    </row>
    <row r="66" spans="1:8" ht="12.75" customHeight="1" hidden="1" outlineLevel="1">
      <c r="A66" s="135"/>
      <c r="B66" s="126"/>
      <c r="C66" s="60">
        <v>41834</v>
      </c>
      <c r="D66" s="91">
        <v>0</v>
      </c>
      <c r="E66" s="53"/>
      <c r="F66" s="91"/>
      <c r="G66" s="51" t="s">
        <v>101</v>
      </c>
      <c r="H66" s="10"/>
    </row>
    <row r="67" spans="1:8" ht="12.75" customHeight="1" hidden="1" outlineLevel="1">
      <c r="A67" s="135"/>
      <c r="B67" s="126"/>
      <c r="C67" s="60">
        <v>41858</v>
      </c>
      <c r="D67" s="91">
        <v>0</v>
      </c>
      <c r="E67" s="53"/>
      <c r="F67" s="91"/>
      <c r="G67" s="51" t="s">
        <v>101</v>
      </c>
      <c r="H67" s="10"/>
    </row>
    <row r="68" spans="1:8" ht="12.75" customHeight="1" hidden="1" outlineLevel="1">
      <c r="A68" s="135"/>
      <c r="B68" s="126"/>
      <c r="C68" s="60">
        <v>41886</v>
      </c>
      <c r="D68" s="91">
        <v>0</v>
      </c>
      <c r="E68" s="53"/>
      <c r="F68" s="91"/>
      <c r="G68" s="51" t="s">
        <v>101</v>
      </c>
      <c r="H68" s="10"/>
    </row>
    <row r="69" spans="1:8" ht="12.75" customHeight="1" hidden="1" outlineLevel="1">
      <c r="A69" s="135"/>
      <c r="B69" s="126"/>
      <c r="C69" s="60" t="s">
        <v>88</v>
      </c>
      <c r="D69" s="91">
        <v>0</v>
      </c>
      <c r="E69" s="53"/>
      <c r="F69" s="91"/>
      <c r="G69" s="51" t="s">
        <v>101</v>
      </c>
      <c r="H69" s="10"/>
    </row>
    <row r="70" spans="1:8" ht="12.75" customHeight="1" hidden="1" outlineLevel="1">
      <c r="A70" s="135"/>
      <c r="B70" s="126"/>
      <c r="C70" s="60">
        <v>42012</v>
      </c>
      <c r="D70" s="91">
        <v>0</v>
      </c>
      <c r="E70" s="53"/>
      <c r="F70" s="91"/>
      <c r="G70" s="51" t="s">
        <v>101</v>
      </c>
      <c r="H70" s="10"/>
    </row>
    <row r="71" spans="1:8" ht="12.75" customHeight="1" hidden="1" outlineLevel="1">
      <c r="A71" s="135"/>
      <c r="B71" s="126"/>
      <c r="C71" s="60" t="s">
        <v>92</v>
      </c>
      <c r="D71" s="91">
        <v>0</v>
      </c>
      <c r="E71" s="53"/>
      <c r="F71" s="91"/>
      <c r="G71" s="51" t="s">
        <v>101</v>
      </c>
      <c r="H71" s="10"/>
    </row>
    <row r="72" spans="1:8" ht="12.75" customHeight="1" hidden="1" outlineLevel="1">
      <c r="A72" s="135"/>
      <c r="B72" s="126"/>
      <c r="C72" s="60">
        <v>42191</v>
      </c>
      <c r="D72" s="91">
        <v>0</v>
      </c>
      <c r="E72" s="53"/>
      <c r="F72" s="91"/>
      <c r="G72" s="51" t="s">
        <v>101</v>
      </c>
      <c r="H72" s="10"/>
    </row>
    <row r="73" spans="1:8" ht="12.75" customHeight="1" hidden="1" outlineLevel="1">
      <c r="A73" s="135"/>
      <c r="B73" s="126"/>
      <c r="C73" s="60">
        <v>42229</v>
      </c>
      <c r="D73" s="91">
        <v>0</v>
      </c>
      <c r="E73" s="53"/>
      <c r="F73" s="91"/>
      <c r="G73" s="51" t="s">
        <v>101</v>
      </c>
      <c r="H73" s="10"/>
    </row>
    <row r="74" spans="1:8" ht="12.75" customHeight="1" hidden="1" outlineLevel="1">
      <c r="A74" s="135"/>
      <c r="B74" s="126"/>
      <c r="C74" s="60" t="s">
        <v>93</v>
      </c>
      <c r="D74" s="91">
        <v>0</v>
      </c>
      <c r="E74" s="53"/>
      <c r="F74" s="91"/>
      <c r="G74" s="51" t="s">
        <v>101</v>
      </c>
      <c r="H74" s="10"/>
    </row>
    <row r="75" spans="1:8" ht="12.75" customHeight="1" hidden="1" outlineLevel="1">
      <c r="A75" s="135"/>
      <c r="B75" s="126"/>
      <c r="C75" s="60">
        <v>42377</v>
      </c>
      <c r="D75" s="91">
        <v>0</v>
      </c>
      <c r="E75" s="53"/>
      <c r="F75" s="91"/>
      <c r="G75" s="51" t="s">
        <v>101</v>
      </c>
      <c r="H75" s="10"/>
    </row>
    <row r="76" spans="1:8" ht="12.75" customHeight="1" hidden="1" outlineLevel="1">
      <c r="A76" s="135"/>
      <c r="B76" s="126"/>
      <c r="C76" s="60" t="s">
        <v>96</v>
      </c>
      <c r="D76" s="91" t="s">
        <v>95</v>
      </c>
      <c r="E76" s="53"/>
      <c r="F76" s="91"/>
      <c r="G76" s="51" t="s">
        <v>101</v>
      </c>
      <c r="H76" s="10"/>
    </row>
    <row r="77" spans="1:8" ht="12.75" customHeight="1" hidden="1" outlineLevel="1">
      <c r="A77" s="135"/>
      <c r="B77" s="126"/>
      <c r="C77" s="92" t="s">
        <v>98</v>
      </c>
      <c r="D77" s="100">
        <v>0</v>
      </c>
      <c r="E77" s="53"/>
      <c r="F77" s="91"/>
      <c r="G77" s="51" t="s">
        <v>101</v>
      </c>
      <c r="H77" s="10"/>
    </row>
    <row r="78" spans="1:8" ht="13.5" customHeight="1" hidden="1" outlineLevel="1" thickBot="1">
      <c r="A78" s="135"/>
      <c r="B78" s="126"/>
      <c r="C78" s="92">
        <v>42821</v>
      </c>
      <c r="D78" s="91">
        <v>29155185.85</v>
      </c>
      <c r="E78" s="53">
        <v>43089</v>
      </c>
      <c r="F78" s="91">
        <v>29155185.85</v>
      </c>
      <c r="G78" s="51" t="s">
        <v>103</v>
      </c>
      <c r="H78" s="10"/>
    </row>
    <row r="79" spans="1:8" ht="13.5" customHeight="1" collapsed="1" thickBot="1">
      <c r="A79" s="66" t="s">
        <v>55</v>
      </c>
      <c r="B79" s="12"/>
      <c r="C79" s="13"/>
      <c r="D79" s="14">
        <f>SUM(D9:D78)</f>
        <v>540673919.6399999</v>
      </c>
      <c r="E79" s="13"/>
      <c r="F79" s="14">
        <f>SUM(F5:F78)</f>
        <v>583103717</v>
      </c>
      <c r="G79" s="15"/>
      <c r="H79" s="14">
        <f>SUM(H5:H78)</f>
        <v>115060352.21625873</v>
      </c>
    </row>
    <row r="80" spans="1:8" ht="12.75" customHeight="1" hidden="1" outlineLevel="1">
      <c r="A80" s="113" t="s">
        <v>5</v>
      </c>
      <c r="B80" s="108" t="s">
        <v>106</v>
      </c>
      <c r="C80" s="82"/>
      <c r="D80" s="74"/>
      <c r="E80" s="7">
        <v>39377</v>
      </c>
      <c r="F80" s="8">
        <v>14734619</v>
      </c>
      <c r="G80" s="9" t="s">
        <v>52</v>
      </c>
      <c r="H80" s="10">
        <f aca="true" t="shared" si="1" ref="H80:H90">F80*0.702804</f>
        <v>10355549.171676</v>
      </c>
    </row>
    <row r="81" spans="1:8" ht="12.75" customHeight="1" hidden="1" outlineLevel="1">
      <c r="A81" s="114"/>
      <c r="B81" s="109"/>
      <c r="C81" s="82"/>
      <c r="D81" s="74"/>
      <c r="E81" s="7">
        <v>39532</v>
      </c>
      <c r="F81" s="8">
        <v>22101928.5</v>
      </c>
      <c r="G81" s="9" t="s">
        <v>52</v>
      </c>
      <c r="H81" s="10">
        <f t="shared" si="1"/>
        <v>15533323.757514</v>
      </c>
    </row>
    <row r="82" spans="1:8" ht="12.75" customHeight="1" hidden="1" outlineLevel="1">
      <c r="A82" s="114"/>
      <c r="B82" s="109"/>
      <c r="C82" s="82"/>
      <c r="D82" s="74"/>
      <c r="E82" s="7">
        <v>39856</v>
      </c>
      <c r="F82" s="8">
        <v>14734619</v>
      </c>
      <c r="G82" s="9" t="s">
        <v>52</v>
      </c>
      <c r="H82" s="10">
        <f t="shared" si="1"/>
        <v>10355549.171676</v>
      </c>
    </row>
    <row r="83" spans="1:8" ht="12.75" customHeight="1" hidden="1" outlineLevel="1">
      <c r="A83" s="114"/>
      <c r="B83" s="109"/>
      <c r="C83" s="82"/>
      <c r="D83" s="74"/>
      <c r="E83" s="7">
        <v>39925</v>
      </c>
      <c r="F83" s="8">
        <v>14734619</v>
      </c>
      <c r="G83" s="17" t="s">
        <v>52</v>
      </c>
      <c r="H83" s="10">
        <f t="shared" si="1"/>
        <v>10355549.171676</v>
      </c>
    </row>
    <row r="84" spans="1:8" ht="12.75" customHeight="1" hidden="1" outlineLevel="1">
      <c r="A84" s="114"/>
      <c r="B84" s="109"/>
      <c r="C84" s="83">
        <v>39827</v>
      </c>
      <c r="D84" s="74">
        <v>71094942.5</v>
      </c>
      <c r="E84" s="7">
        <v>39986</v>
      </c>
      <c r="F84" s="8">
        <v>71094942.51</v>
      </c>
      <c r="G84" s="9" t="s">
        <v>53</v>
      </c>
      <c r="H84" s="10">
        <f t="shared" si="1"/>
        <v>49965809.97579804</v>
      </c>
    </row>
    <row r="85" spans="1:8" ht="12.75" customHeight="1" hidden="1" outlineLevel="1">
      <c r="A85" s="114"/>
      <c r="B85" s="109"/>
      <c r="C85" s="83">
        <v>39996</v>
      </c>
      <c r="D85" s="74">
        <v>598550.16</v>
      </c>
      <c r="E85" s="7">
        <v>40043</v>
      </c>
      <c r="F85" s="8">
        <v>279869.07</v>
      </c>
      <c r="G85" s="17" t="s">
        <v>53</v>
      </c>
      <c r="H85" s="10">
        <f t="shared" si="1"/>
        <v>196693.10187228</v>
      </c>
    </row>
    <row r="86" spans="1:8" ht="12.75" customHeight="1" hidden="1" outlineLevel="1">
      <c r="A86" s="114"/>
      <c r="B86" s="109"/>
      <c r="C86" s="83">
        <v>40023</v>
      </c>
      <c r="D86" s="74">
        <v>73540433.64</v>
      </c>
      <c r="E86" s="7">
        <v>40050</v>
      </c>
      <c r="F86" s="8">
        <v>72994030.6</v>
      </c>
      <c r="G86" s="9" t="s">
        <v>53</v>
      </c>
      <c r="H86" s="10">
        <f t="shared" si="1"/>
        <v>51300496.68180239</v>
      </c>
    </row>
    <row r="87" spans="1:8" ht="12.75" customHeight="1" hidden="1" outlineLevel="1">
      <c r="A87" s="114"/>
      <c r="B87" s="109"/>
      <c r="C87" s="83">
        <v>40049</v>
      </c>
      <c r="D87" s="74">
        <v>585747.37</v>
      </c>
      <c r="E87" s="7">
        <v>40067</v>
      </c>
      <c r="F87" s="8">
        <v>404454</v>
      </c>
      <c r="G87" s="9" t="s">
        <v>53</v>
      </c>
      <c r="H87" s="10">
        <f t="shared" si="1"/>
        <v>284251.889016</v>
      </c>
    </row>
    <row r="88" spans="1:8" ht="12.75" customHeight="1" hidden="1" outlineLevel="1">
      <c r="A88" s="114"/>
      <c r="B88" s="109"/>
      <c r="C88" s="83">
        <v>40081</v>
      </c>
      <c r="D88" s="74">
        <v>15346672.36</v>
      </c>
      <c r="E88" s="7">
        <v>40101</v>
      </c>
      <c r="F88" s="8">
        <v>15346672.36</v>
      </c>
      <c r="G88" s="9" t="s">
        <v>53</v>
      </c>
      <c r="H88" s="10">
        <f t="shared" si="1"/>
        <v>10785702.72129744</v>
      </c>
    </row>
    <row r="89" spans="1:8" ht="12.75" customHeight="1" hidden="1" outlineLevel="1">
      <c r="A89" s="114"/>
      <c r="B89" s="109"/>
      <c r="C89" s="56">
        <v>40113</v>
      </c>
      <c r="D89" s="74">
        <v>503763.72</v>
      </c>
      <c r="E89" s="7">
        <v>40142</v>
      </c>
      <c r="F89" s="8">
        <v>503763.72</v>
      </c>
      <c r="G89" s="9" t="s">
        <v>53</v>
      </c>
      <c r="H89" s="10">
        <f t="shared" si="1"/>
        <v>354047.15747087996</v>
      </c>
    </row>
    <row r="90" spans="1:8" ht="12.75" customHeight="1" hidden="1" outlineLevel="1">
      <c r="A90" s="114"/>
      <c r="B90" s="109"/>
      <c r="C90" s="83">
        <v>40142</v>
      </c>
      <c r="D90" s="74">
        <v>2112953.12</v>
      </c>
      <c r="E90" s="7">
        <v>40198</v>
      </c>
      <c r="F90" s="8">
        <v>2112953.12</v>
      </c>
      <c r="G90" s="9" t="s">
        <v>53</v>
      </c>
      <c r="H90" s="10">
        <f t="shared" si="1"/>
        <v>1484991.90454848</v>
      </c>
    </row>
    <row r="91" spans="1:8" ht="12.75" customHeight="1" hidden="1" outlineLevel="1">
      <c r="A91" s="114"/>
      <c r="B91" s="109"/>
      <c r="C91" s="83">
        <v>40168</v>
      </c>
      <c r="D91" s="74">
        <v>3449205.48</v>
      </c>
      <c r="E91" s="7">
        <v>40220</v>
      </c>
      <c r="F91" s="8">
        <v>3449205.48</v>
      </c>
      <c r="G91" s="9" t="s">
        <v>53</v>
      </c>
      <c r="H91" s="10">
        <f aca="true" t="shared" si="2" ref="H91:H97">F91*0.702804</f>
        <v>2424115.40816592</v>
      </c>
    </row>
    <row r="92" spans="1:8" ht="12.75" customHeight="1" hidden="1" outlineLevel="1">
      <c r="A92" s="114"/>
      <c r="B92" s="109"/>
      <c r="C92" s="56">
        <v>40245</v>
      </c>
      <c r="D92" s="74">
        <v>1737242.01</v>
      </c>
      <c r="E92" s="7">
        <v>40262</v>
      </c>
      <c r="F92" s="8">
        <v>1737242.01</v>
      </c>
      <c r="G92" s="9" t="s">
        <v>53</v>
      </c>
      <c r="H92" s="10">
        <f t="shared" si="2"/>
        <v>1220940.63359604</v>
      </c>
    </row>
    <row r="93" spans="1:8" ht="12.75" customHeight="1" hidden="1" outlineLevel="1">
      <c r="A93" s="114"/>
      <c r="B93" s="109"/>
      <c r="C93" s="56">
        <v>40263</v>
      </c>
      <c r="D93" s="74">
        <v>818469.66</v>
      </c>
      <c r="E93" s="7">
        <v>40291</v>
      </c>
      <c r="F93" s="8">
        <v>818469.66</v>
      </c>
      <c r="G93" s="9" t="s">
        <v>53</v>
      </c>
      <c r="H93" s="10">
        <f t="shared" si="2"/>
        <v>575223.75092664</v>
      </c>
    </row>
    <row r="94" spans="1:8" ht="12.75" customHeight="1" hidden="1" outlineLevel="1">
      <c r="A94" s="114"/>
      <c r="B94" s="109"/>
      <c r="C94" s="56">
        <v>40303</v>
      </c>
      <c r="D94" s="74">
        <v>1539879.28</v>
      </c>
      <c r="E94" s="7">
        <v>40336</v>
      </c>
      <c r="F94" s="8">
        <v>1539879.28</v>
      </c>
      <c r="G94" s="9" t="s">
        <v>53</v>
      </c>
      <c r="H94" s="10">
        <f t="shared" si="2"/>
        <v>1082233.31750112</v>
      </c>
    </row>
    <row r="95" spans="1:8" ht="12.75" customHeight="1" hidden="1" outlineLevel="1">
      <c r="A95" s="114"/>
      <c r="B95" s="109"/>
      <c r="C95" s="56">
        <v>40324</v>
      </c>
      <c r="D95" s="74">
        <v>4887157.83</v>
      </c>
      <c r="E95" s="7">
        <v>40354</v>
      </c>
      <c r="F95" s="8">
        <v>4887157.83</v>
      </c>
      <c r="G95" s="9" t="s">
        <v>53</v>
      </c>
      <c r="H95" s="10">
        <f t="shared" si="2"/>
        <v>3434714.07155532</v>
      </c>
    </row>
    <row r="96" spans="1:8" ht="12.75" customHeight="1" hidden="1" outlineLevel="1">
      <c r="A96" s="114"/>
      <c r="B96" s="109"/>
      <c r="C96" s="56">
        <v>40358</v>
      </c>
      <c r="D96" s="74">
        <v>2464130.26</v>
      </c>
      <c r="E96" s="7">
        <v>40385</v>
      </c>
      <c r="F96" s="8">
        <v>2464130.26</v>
      </c>
      <c r="G96" s="9" t="s">
        <v>53</v>
      </c>
      <c r="H96" s="10">
        <f t="shared" si="2"/>
        <v>1731800.6032490397</v>
      </c>
    </row>
    <row r="97" spans="1:8" ht="12.75" customHeight="1" hidden="1" outlineLevel="1">
      <c r="A97" s="114"/>
      <c r="B97" s="109"/>
      <c r="C97" s="56">
        <v>40388</v>
      </c>
      <c r="D97" s="74">
        <v>14290127.05</v>
      </c>
      <c r="E97" s="7">
        <v>40402</v>
      </c>
      <c r="F97" s="8">
        <v>14290127.05</v>
      </c>
      <c r="G97" s="9" t="s">
        <v>53</v>
      </c>
      <c r="H97" s="10">
        <f t="shared" si="2"/>
        <v>10043158.4512482</v>
      </c>
    </row>
    <row r="98" spans="1:8" ht="12.75" customHeight="1" hidden="1" outlineLevel="1">
      <c r="A98" s="114"/>
      <c r="B98" s="109"/>
      <c r="C98" s="56">
        <v>40410</v>
      </c>
      <c r="D98" s="74">
        <v>6377830.62</v>
      </c>
      <c r="E98" s="7">
        <v>40444</v>
      </c>
      <c r="F98" s="8">
        <v>6377830.62</v>
      </c>
      <c r="G98" s="9" t="s">
        <v>53</v>
      </c>
      <c r="H98" s="10"/>
    </row>
    <row r="99" spans="1:8" ht="12.75" customHeight="1" hidden="1" outlineLevel="1">
      <c r="A99" s="114"/>
      <c r="B99" s="109"/>
      <c r="C99" s="56">
        <v>40469</v>
      </c>
      <c r="D99" s="74">
        <v>3479127.56</v>
      </c>
      <c r="E99" s="7" t="s">
        <v>70</v>
      </c>
      <c r="F99" s="8">
        <v>3479127.56</v>
      </c>
      <c r="G99" s="9" t="s">
        <v>53</v>
      </c>
      <c r="H99" s="10"/>
    </row>
    <row r="100" spans="1:8" ht="12.75" customHeight="1" hidden="1" outlineLevel="1">
      <c r="A100" s="114"/>
      <c r="B100" s="109"/>
      <c r="C100" s="56">
        <v>40760</v>
      </c>
      <c r="D100" s="74">
        <v>20066522.31</v>
      </c>
      <c r="E100" s="7">
        <v>40780</v>
      </c>
      <c r="F100" s="8">
        <v>20066522.31</v>
      </c>
      <c r="G100" s="9" t="s">
        <v>53</v>
      </c>
      <c r="H100" s="10"/>
    </row>
    <row r="101" spans="1:8" ht="12.75" customHeight="1" hidden="1" outlineLevel="1">
      <c r="A101" s="114"/>
      <c r="B101" s="109"/>
      <c r="C101" s="56">
        <v>40823</v>
      </c>
      <c r="D101" s="74">
        <v>3599595.33</v>
      </c>
      <c r="E101" s="7">
        <v>40840</v>
      </c>
      <c r="F101" s="8">
        <v>3599595.33</v>
      </c>
      <c r="G101" s="9" t="s">
        <v>53</v>
      </c>
      <c r="H101" s="10"/>
    </row>
    <row r="102" spans="1:8" ht="12.75" customHeight="1" hidden="1" outlineLevel="1">
      <c r="A102" s="114"/>
      <c r="B102" s="109"/>
      <c r="C102" s="56">
        <v>40848</v>
      </c>
      <c r="D102" s="74">
        <v>2333424.65</v>
      </c>
      <c r="E102" s="7">
        <v>40878</v>
      </c>
      <c r="F102" s="8">
        <v>2333424.65</v>
      </c>
      <c r="G102" s="9" t="s">
        <v>53</v>
      </c>
      <c r="H102" s="10"/>
    </row>
    <row r="103" spans="1:8" ht="12.75" customHeight="1" hidden="1" outlineLevel="1">
      <c r="A103" s="114"/>
      <c r="B103" s="109"/>
      <c r="C103" s="56">
        <v>40884</v>
      </c>
      <c r="D103" s="74">
        <v>8515978.29</v>
      </c>
      <c r="E103" s="7">
        <v>41089</v>
      </c>
      <c r="F103" s="8">
        <v>8515978.29</v>
      </c>
      <c r="G103" s="9" t="s">
        <v>53</v>
      </c>
      <c r="H103" s="10"/>
    </row>
    <row r="104" spans="1:8" ht="12.75" customHeight="1" hidden="1" outlineLevel="1">
      <c r="A104" s="114"/>
      <c r="B104" s="109"/>
      <c r="C104" s="56">
        <v>41095</v>
      </c>
      <c r="D104" s="74">
        <v>28849078.36</v>
      </c>
      <c r="E104" s="7">
        <v>41116</v>
      </c>
      <c r="F104" s="8">
        <v>28849078.36</v>
      </c>
      <c r="G104" s="9" t="s">
        <v>53</v>
      </c>
      <c r="H104" s="10"/>
    </row>
    <row r="105" spans="1:8" ht="12.75" customHeight="1" hidden="1" outlineLevel="1">
      <c r="A105" s="114"/>
      <c r="B105" s="109"/>
      <c r="C105" s="56">
        <v>41117</v>
      </c>
      <c r="D105" s="74">
        <v>2226614.75</v>
      </c>
      <c r="E105" s="7">
        <v>41162</v>
      </c>
      <c r="F105" s="8">
        <v>2226614.75</v>
      </c>
      <c r="G105" s="9" t="s">
        <v>53</v>
      </c>
      <c r="H105" s="10"/>
    </row>
    <row r="106" spans="1:8" ht="12.75" customHeight="1" hidden="1" outlineLevel="1">
      <c r="A106" s="114"/>
      <c r="B106" s="109"/>
      <c r="C106" s="56">
        <v>41156</v>
      </c>
      <c r="D106" s="74">
        <v>588881.66</v>
      </c>
      <c r="E106" s="7">
        <v>41183</v>
      </c>
      <c r="F106" s="74">
        <v>588881.66</v>
      </c>
      <c r="G106" s="9" t="s">
        <v>53</v>
      </c>
      <c r="H106" s="10"/>
    </row>
    <row r="107" spans="1:8" ht="12.75" customHeight="1" hidden="1" outlineLevel="1">
      <c r="A107" s="114"/>
      <c r="B107" s="109"/>
      <c r="C107" s="56" t="s">
        <v>77</v>
      </c>
      <c r="D107" s="74">
        <v>8864667.82</v>
      </c>
      <c r="E107" s="7">
        <v>41212</v>
      </c>
      <c r="F107" s="74">
        <v>8864667.82</v>
      </c>
      <c r="G107" s="9" t="s">
        <v>53</v>
      </c>
      <c r="H107" s="10"/>
    </row>
    <row r="108" spans="1:8" ht="12.75" customHeight="1" hidden="1" outlineLevel="1">
      <c r="A108" s="114"/>
      <c r="B108" s="109"/>
      <c r="C108" s="56">
        <v>41213</v>
      </c>
      <c r="D108" s="74">
        <v>22320697.890000045</v>
      </c>
      <c r="E108" s="7">
        <v>41228</v>
      </c>
      <c r="F108" s="74">
        <v>22320697.89</v>
      </c>
      <c r="G108" s="9" t="s">
        <v>53</v>
      </c>
      <c r="H108" s="10"/>
    </row>
    <row r="109" spans="1:8" ht="12.75" customHeight="1" hidden="1" outlineLevel="1">
      <c r="A109" s="114"/>
      <c r="B109" s="109"/>
      <c r="C109" s="56">
        <v>41253</v>
      </c>
      <c r="D109" s="74">
        <v>8034887.26</v>
      </c>
      <c r="E109" s="7">
        <v>41270</v>
      </c>
      <c r="F109" s="74">
        <v>8034887.26</v>
      </c>
      <c r="G109" s="9" t="s">
        <v>53</v>
      </c>
      <c r="H109" s="10"/>
    </row>
    <row r="110" spans="1:8" ht="12.75" customHeight="1" hidden="1" outlineLevel="1">
      <c r="A110" s="114"/>
      <c r="B110" s="109"/>
      <c r="C110" s="56">
        <v>41284</v>
      </c>
      <c r="D110" s="74">
        <v>6605694.94</v>
      </c>
      <c r="E110" s="7">
        <v>41358</v>
      </c>
      <c r="F110" s="74">
        <v>6605694.94</v>
      </c>
      <c r="G110" s="51" t="s">
        <v>53</v>
      </c>
      <c r="H110" s="10"/>
    </row>
    <row r="111" spans="1:8" ht="12.75" customHeight="1" hidden="1" outlineLevel="1">
      <c r="A111" s="114"/>
      <c r="B111" s="109"/>
      <c r="C111" s="56">
        <v>41316</v>
      </c>
      <c r="D111" s="74">
        <v>12149917.4</v>
      </c>
      <c r="E111" s="7">
        <v>41373</v>
      </c>
      <c r="F111" s="74">
        <v>12149917.4</v>
      </c>
      <c r="G111" s="51" t="s">
        <v>53</v>
      </c>
      <c r="H111" s="10"/>
    </row>
    <row r="112" spans="1:8" ht="12.75" customHeight="1" hidden="1" outlineLevel="1">
      <c r="A112" s="114"/>
      <c r="B112" s="109"/>
      <c r="C112" s="56">
        <v>41432</v>
      </c>
      <c r="D112" s="74">
        <v>6514199.67</v>
      </c>
      <c r="E112" s="7">
        <v>41459</v>
      </c>
      <c r="F112" s="74">
        <v>6514199.67</v>
      </c>
      <c r="G112" s="51" t="s">
        <v>53</v>
      </c>
      <c r="H112" s="10"/>
    </row>
    <row r="113" spans="1:8" ht="12.75" customHeight="1" hidden="1" outlineLevel="1">
      <c r="A113" s="114"/>
      <c r="B113" s="109"/>
      <c r="C113" s="56">
        <v>41474</v>
      </c>
      <c r="D113" s="74">
        <v>4311833.12</v>
      </c>
      <c r="E113" s="7">
        <v>41501</v>
      </c>
      <c r="F113" s="74">
        <v>4311833.12</v>
      </c>
      <c r="G113" s="51" t="s">
        <v>53</v>
      </c>
      <c r="H113" s="10"/>
    </row>
    <row r="114" spans="1:8" ht="12.75" customHeight="1" hidden="1" outlineLevel="1">
      <c r="A114" s="114"/>
      <c r="B114" s="109"/>
      <c r="C114" s="56">
        <v>41495</v>
      </c>
      <c r="D114" s="74">
        <v>8644474.8</v>
      </c>
      <c r="E114" s="7">
        <v>41522</v>
      </c>
      <c r="F114" s="74">
        <v>8644474.8</v>
      </c>
      <c r="G114" s="51" t="s">
        <v>53</v>
      </c>
      <c r="H114" s="10"/>
    </row>
    <row r="115" spans="1:8" ht="12.75" customHeight="1" hidden="1" outlineLevel="1">
      <c r="A115" s="114"/>
      <c r="B115" s="109"/>
      <c r="C115" s="56">
        <v>41529</v>
      </c>
      <c r="D115" s="74">
        <v>9751045.750000011</v>
      </c>
      <c r="E115" s="7">
        <v>41563</v>
      </c>
      <c r="F115" s="74">
        <v>9751045.750000011</v>
      </c>
      <c r="G115" s="51" t="s">
        <v>53</v>
      </c>
      <c r="H115" s="10"/>
    </row>
    <row r="116" spans="1:8" ht="12.75" customHeight="1" hidden="1" outlineLevel="1">
      <c r="A116" s="114"/>
      <c r="B116" s="109"/>
      <c r="C116" s="56">
        <v>41627</v>
      </c>
      <c r="D116" s="74">
        <v>6246299.56</v>
      </c>
      <c r="E116" s="7">
        <v>41690</v>
      </c>
      <c r="F116" s="74">
        <v>6246299.56</v>
      </c>
      <c r="G116" s="51" t="s">
        <v>53</v>
      </c>
      <c r="H116" s="10"/>
    </row>
    <row r="117" spans="1:8" ht="12.75" customHeight="1" hidden="1" outlineLevel="1">
      <c r="A117" s="114"/>
      <c r="B117" s="109"/>
      <c r="C117" s="56">
        <v>41635</v>
      </c>
      <c r="D117" s="74">
        <v>28143178.55</v>
      </c>
      <c r="E117" s="7">
        <v>41690</v>
      </c>
      <c r="F117" s="74">
        <v>28143178.55</v>
      </c>
      <c r="G117" s="51" t="s">
        <v>53</v>
      </c>
      <c r="H117" s="10"/>
    </row>
    <row r="118" spans="1:8" ht="12.75" customHeight="1" hidden="1" outlineLevel="1">
      <c r="A118" s="114"/>
      <c r="B118" s="109"/>
      <c r="C118" s="56">
        <v>41662</v>
      </c>
      <c r="D118" s="74">
        <v>3629747.23</v>
      </c>
      <c r="E118" s="7">
        <v>41794</v>
      </c>
      <c r="F118" s="74">
        <v>3629747.23</v>
      </c>
      <c r="G118" s="51" t="s">
        <v>53</v>
      </c>
      <c r="H118" s="10"/>
    </row>
    <row r="119" spans="1:8" ht="12.75" customHeight="1" hidden="1" outlineLevel="1">
      <c r="A119" s="114"/>
      <c r="B119" s="109"/>
      <c r="C119" s="56">
        <v>41743</v>
      </c>
      <c r="D119" s="74">
        <v>770211.99</v>
      </c>
      <c r="E119" s="7">
        <v>41794</v>
      </c>
      <c r="F119" s="74">
        <v>770211.99</v>
      </c>
      <c r="G119" s="51" t="s">
        <v>53</v>
      </c>
      <c r="H119" s="10"/>
    </row>
    <row r="120" spans="1:8" ht="12.75" customHeight="1" hidden="1" outlineLevel="1">
      <c r="A120" s="114"/>
      <c r="B120" s="109"/>
      <c r="C120" s="56">
        <v>41780</v>
      </c>
      <c r="D120" s="74">
        <v>7964666.73</v>
      </c>
      <c r="E120" s="83">
        <v>41816</v>
      </c>
      <c r="F120" s="74">
        <v>7964666.73</v>
      </c>
      <c r="G120" s="94" t="s">
        <v>53</v>
      </c>
      <c r="H120" s="10"/>
    </row>
    <row r="121" spans="1:8" ht="12.75" customHeight="1" hidden="1" outlineLevel="1">
      <c r="A121" s="114"/>
      <c r="B121" s="109"/>
      <c r="C121" s="56" t="s">
        <v>87</v>
      </c>
      <c r="D121" s="74">
        <v>8327329.06</v>
      </c>
      <c r="E121" s="83">
        <v>41824</v>
      </c>
      <c r="F121" s="74">
        <v>8327329.06</v>
      </c>
      <c r="G121" s="94" t="s">
        <v>53</v>
      </c>
      <c r="H121" s="10"/>
    </row>
    <row r="122" spans="1:8" ht="12.75" customHeight="1" hidden="1" outlineLevel="1">
      <c r="A122" s="114"/>
      <c r="B122" s="109"/>
      <c r="C122" s="56">
        <v>41841</v>
      </c>
      <c r="D122" s="74">
        <v>3281910.47</v>
      </c>
      <c r="E122" s="83">
        <v>41858</v>
      </c>
      <c r="F122" s="74">
        <v>3281910.47</v>
      </c>
      <c r="G122" s="94" t="s">
        <v>53</v>
      </c>
      <c r="H122" s="10"/>
    </row>
    <row r="123" spans="1:8" ht="12.75" customHeight="1" hidden="1" outlineLevel="1">
      <c r="A123" s="114"/>
      <c r="B123" s="109"/>
      <c r="C123" s="56">
        <v>41862</v>
      </c>
      <c r="D123" s="74">
        <v>7600845.95</v>
      </c>
      <c r="E123" s="83">
        <v>41885</v>
      </c>
      <c r="F123" s="74">
        <v>7600845.95</v>
      </c>
      <c r="G123" s="94" t="s">
        <v>53</v>
      </c>
      <c r="H123" s="10"/>
    </row>
    <row r="124" spans="1:8" ht="12.75" customHeight="1" hidden="1" outlineLevel="1">
      <c r="A124" s="114"/>
      <c r="B124" s="109"/>
      <c r="C124" s="56">
        <v>41929</v>
      </c>
      <c r="D124" s="74">
        <v>4323700.39</v>
      </c>
      <c r="E124" s="83">
        <v>41950</v>
      </c>
      <c r="F124" s="74">
        <v>4323700.39</v>
      </c>
      <c r="G124" s="94" t="s">
        <v>53</v>
      </c>
      <c r="H124" s="10"/>
    </row>
    <row r="125" spans="1:8" ht="12.75" customHeight="1" hidden="1" outlineLevel="1">
      <c r="A125" s="114"/>
      <c r="B125" s="109"/>
      <c r="C125" s="56">
        <v>41983</v>
      </c>
      <c r="D125" s="74">
        <v>23380834.96</v>
      </c>
      <c r="E125" s="83">
        <v>41996</v>
      </c>
      <c r="F125" s="74">
        <v>23380834.96</v>
      </c>
      <c r="G125" s="94" t="s">
        <v>53</v>
      </c>
      <c r="H125" s="10"/>
    </row>
    <row r="126" spans="1:8" ht="12.75" customHeight="1" hidden="1" outlineLevel="1">
      <c r="A126" s="114"/>
      <c r="B126" s="109"/>
      <c r="C126" s="56">
        <v>41995</v>
      </c>
      <c r="D126" s="74">
        <v>97642252.82</v>
      </c>
      <c r="E126" s="83">
        <v>42074</v>
      </c>
      <c r="F126" s="74">
        <v>97642252.82</v>
      </c>
      <c r="G126" s="94" t="s">
        <v>53</v>
      </c>
      <c r="H126" s="10"/>
    </row>
    <row r="127" spans="1:8" ht="12.75" customHeight="1" hidden="1" outlineLevel="1">
      <c r="A127" s="114"/>
      <c r="B127" s="109"/>
      <c r="C127" s="56">
        <v>42080</v>
      </c>
      <c r="D127" s="74">
        <v>10823398.08</v>
      </c>
      <c r="E127" s="83">
        <v>42118</v>
      </c>
      <c r="F127" s="74">
        <v>10823398.08</v>
      </c>
      <c r="G127" s="94" t="s">
        <v>53</v>
      </c>
      <c r="H127" s="10"/>
    </row>
    <row r="128" spans="1:8" ht="12.75" customHeight="1" hidden="1" outlineLevel="1">
      <c r="A128" s="114"/>
      <c r="B128" s="109"/>
      <c r="C128" s="56">
        <v>42135</v>
      </c>
      <c r="D128" s="74">
        <v>21685808.48</v>
      </c>
      <c r="E128" s="83">
        <v>42159</v>
      </c>
      <c r="F128" s="74">
        <v>21685808.48</v>
      </c>
      <c r="G128" s="94" t="s">
        <v>53</v>
      </c>
      <c r="H128" s="10"/>
    </row>
    <row r="129" spans="1:8" ht="12.75" customHeight="1" hidden="1" outlineLevel="1">
      <c r="A129" s="114"/>
      <c r="B129" s="109"/>
      <c r="C129" s="56">
        <v>42174</v>
      </c>
      <c r="D129" s="74">
        <v>13708569.72</v>
      </c>
      <c r="E129" s="83">
        <v>42227</v>
      </c>
      <c r="F129" s="74">
        <v>13708569.72</v>
      </c>
      <c r="G129" s="98" t="s">
        <v>53</v>
      </c>
      <c r="H129" s="10"/>
    </row>
    <row r="130" spans="1:8" ht="12.75" customHeight="1" hidden="1" outlineLevel="1">
      <c r="A130" s="114"/>
      <c r="B130" s="109"/>
      <c r="C130" s="56">
        <v>42250</v>
      </c>
      <c r="D130" s="74">
        <v>2475643.68</v>
      </c>
      <c r="E130" s="83">
        <v>42279</v>
      </c>
      <c r="F130" s="74">
        <v>2475643.68</v>
      </c>
      <c r="G130" s="98" t="s">
        <v>53</v>
      </c>
      <c r="H130" s="10"/>
    </row>
    <row r="131" spans="1:8" ht="12.75" customHeight="1" hidden="1" outlineLevel="1">
      <c r="A131" s="114"/>
      <c r="B131" s="109"/>
      <c r="C131" s="56">
        <v>42311</v>
      </c>
      <c r="D131" s="74">
        <v>0</v>
      </c>
      <c r="E131" s="83"/>
      <c r="F131" s="74"/>
      <c r="G131" s="98" t="s">
        <v>101</v>
      </c>
      <c r="H131" s="10"/>
    </row>
    <row r="132" spans="1:8" ht="12.75" customHeight="1" hidden="1" outlineLevel="1">
      <c r="A132" s="114"/>
      <c r="B132" s="109"/>
      <c r="C132" s="56">
        <v>42376</v>
      </c>
      <c r="D132" s="74">
        <v>0</v>
      </c>
      <c r="E132" s="83"/>
      <c r="F132" s="74"/>
      <c r="G132" s="98" t="s">
        <v>101</v>
      </c>
      <c r="H132" s="10"/>
    </row>
    <row r="133" spans="1:8" ht="12.75" customHeight="1" hidden="1" outlineLevel="1">
      <c r="A133" s="114"/>
      <c r="B133" s="109"/>
      <c r="C133" s="56">
        <v>42429</v>
      </c>
      <c r="D133" s="74" t="s">
        <v>95</v>
      </c>
      <c r="E133" s="83"/>
      <c r="F133" s="74"/>
      <c r="G133" s="98" t="s">
        <v>101</v>
      </c>
      <c r="H133" s="10"/>
    </row>
    <row r="134" spans="1:8" ht="12.75" customHeight="1" hidden="1" outlineLevel="1">
      <c r="A134" s="114"/>
      <c r="B134" s="109"/>
      <c r="C134" s="56">
        <v>42551</v>
      </c>
      <c r="D134" s="74">
        <v>0</v>
      </c>
      <c r="E134" s="83"/>
      <c r="F134" s="74"/>
      <c r="G134" s="98" t="s">
        <v>101</v>
      </c>
      <c r="H134" s="10"/>
    </row>
    <row r="135" spans="1:8" ht="13.5" customHeight="1" hidden="1" outlineLevel="1" thickBot="1">
      <c r="A135" s="114"/>
      <c r="B135" s="109"/>
      <c r="C135" s="56">
        <v>42821</v>
      </c>
      <c r="D135" s="74">
        <v>34814081.7</v>
      </c>
      <c r="E135" s="7">
        <v>43315</v>
      </c>
      <c r="F135" s="74">
        <v>34814081.7</v>
      </c>
      <c r="G135" s="101" t="s">
        <v>103</v>
      </c>
      <c r="H135" s="10"/>
    </row>
    <row r="136" spans="1:11" ht="13.5" collapsed="1" thickBot="1">
      <c r="A136" s="66" t="s">
        <v>54</v>
      </c>
      <c r="B136" s="12"/>
      <c r="C136" s="13"/>
      <c r="D136" s="14">
        <f>SUM(D80:D135)</f>
        <v>631022225.9900002</v>
      </c>
      <c r="E136" s="13"/>
      <c r="F136" s="14">
        <f>SUM(F80:F135)</f>
        <v>696281634</v>
      </c>
      <c r="G136" s="15"/>
      <c r="H136" s="14">
        <f>SUM(H80:H135)</f>
        <v>181484150.94058982</v>
      </c>
      <c r="K136" s="44"/>
    </row>
    <row r="137" spans="1:8" ht="12.75" customHeight="1" hidden="1" outlineLevel="1">
      <c r="A137" s="110" t="s">
        <v>6</v>
      </c>
      <c r="B137" s="108" t="s">
        <v>7</v>
      </c>
      <c r="C137" s="11"/>
      <c r="D137" s="8"/>
      <c r="E137" s="11">
        <v>39435</v>
      </c>
      <c r="F137" s="8">
        <v>38494413.82</v>
      </c>
      <c r="G137" s="17" t="s">
        <v>52</v>
      </c>
      <c r="H137" s="10">
        <f aca="true" t="shared" si="3" ref="H137:H146">F137*0.702804</f>
        <v>27054028.010351278</v>
      </c>
    </row>
    <row r="138" spans="1:8" ht="12.75" customHeight="1" hidden="1" outlineLevel="1">
      <c r="A138" s="111"/>
      <c r="B138" s="109"/>
      <c r="C138" s="82"/>
      <c r="D138" s="74"/>
      <c r="E138" s="11">
        <v>39548</v>
      </c>
      <c r="F138" s="8">
        <v>61591062.12</v>
      </c>
      <c r="G138" s="17" t="s">
        <v>52</v>
      </c>
      <c r="H138" s="10">
        <f t="shared" si="3"/>
        <v>43286444.82218448</v>
      </c>
    </row>
    <row r="139" spans="1:8" ht="12.75" customHeight="1" hidden="1" outlineLevel="1">
      <c r="A139" s="112"/>
      <c r="B139" s="109"/>
      <c r="C139" s="82"/>
      <c r="D139" s="74"/>
      <c r="E139" s="11">
        <v>39856</v>
      </c>
      <c r="F139" s="8">
        <v>61591062.12</v>
      </c>
      <c r="G139" s="17" t="s">
        <v>52</v>
      </c>
      <c r="H139" s="10">
        <f t="shared" si="3"/>
        <v>43286444.82218448</v>
      </c>
    </row>
    <row r="140" spans="1:8" ht="12.75" customHeight="1" hidden="1" outlineLevel="1">
      <c r="A140" s="112"/>
      <c r="B140" s="109"/>
      <c r="C140" s="83">
        <v>40071</v>
      </c>
      <c r="D140" s="74">
        <v>22958478.43</v>
      </c>
      <c r="E140" s="7">
        <v>40101</v>
      </c>
      <c r="F140" s="8">
        <v>22958478.43</v>
      </c>
      <c r="G140" s="9" t="s">
        <v>53</v>
      </c>
      <c r="H140" s="10">
        <f t="shared" si="3"/>
        <v>16135310.47451772</v>
      </c>
    </row>
    <row r="141" spans="1:8" ht="12.75" customHeight="1" hidden="1" outlineLevel="1">
      <c r="A141" s="112"/>
      <c r="B141" s="109"/>
      <c r="C141" s="56">
        <v>40087</v>
      </c>
      <c r="D141" s="74">
        <v>6977323.46</v>
      </c>
      <c r="E141" s="7">
        <v>40116</v>
      </c>
      <c r="F141" s="8">
        <v>6977323.46</v>
      </c>
      <c r="G141" s="9" t="s">
        <v>53</v>
      </c>
      <c r="H141" s="10">
        <f t="shared" si="3"/>
        <v>4903690.8369818395</v>
      </c>
    </row>
    <row r="142" spans="1:8" ht="12.75" customHeight="1" hidden="1" outlineLevel="1">
      <c r="A142" s="112"/>
      <c r="B142" s="109"/>
      <c r="C142" s="56">
        <v>40114</v>
      </c>
      <c r="D142" s="74">
        <v>4970642.22</v>
      </c>
      <c r="E142" s="7">
        <v>40135</v>
      </c>
      <c r="F142" s="8">
        <v>4970642.22</v>
      </c>
      <c r="G142" s="9" t="s">
        <v>53</v>
      </c>
      <c r="H142" s="10">
        <f t="shared" si="3"/>
        <v>3493387.2347848797</v>
      </c>
    </row>
    <row r="143" spans="1:8" ht="12.75" customHeight="1" hidden="1" outlineLevel="1">
      <c r="A143" s="112"/>
      <c r="B143" s="109"/>
      <c r="C143" s="56" t="s">
        <v>61</v>
      </c>
      <c r="D143" s="74">
        <v>54648567.48</v>
      </c>
      <c r="E143" s="7">
        <v>40207</v>
      </c>
      <c r="F143" s="8">
        <v>54648567.48</v>
      </c>
      <c r="G143" s="9" t="s">
        <v>53</v>
      </c>
      <c r="H143" s="10">
        <f t="shared" si="3"/>
        <v>38407231.81921392</v>
      </c>
    </row>
    <row r="144" spans="1:8" ht="12.75" customHeight="1" hidden="1" outlineLevel="1">
      <c r="A144" s="112"/>
      <c r="B144" s="109"/>
      <c r="C144" s="56" t="s">
        <v>62</v>
      </c>
      <c r="D144" s="74">
        <v>8765745.43</v>
      </c>
      <c r="E144" s="7">
        <v>40227</v>
      </c>
      <c r="F144" s="8">
        <v>8765745.43</v>
      </c>
      <c r="G144" s="9" t="s">
        <v>53</v>
      </c>
      <c r="H144" s="10">
        <f t="shared" si="3"/>
        <v>6160600.95118572</v>
      </c>
    </row>
    <row r="145" spans="1:8" ht="12.75" customHeight="1" hidden="1" outlineLevel="1">
      <c r="A145" s="112"/>
      <c r="B145" s="109"/>
      <c r="C145" s="56">
        <v>40213</v>
      </c>
      <c r="D145" s="74">
        <v>20470249.85</v>
      </c>
      <c r="E145" s="7">
        <v>40246</v>
      </c>
      <c r="F145" s="8">
        <v>20470249.85</v>
      </c>
      <c r="G145" s="9" t="s">
        <v>53</v>
      </c>
      <c r="H145" s="10">
        <f t="shared" si="3"/>
        <v>14386573.475579401</v>
      </c>
    </row>
    <row r="146" spans="1:8" ht="12.75" customHeight="1" hidden="1" outlineLevel="1">
      <c r="A146" s="112"/>
      <c r="B146" s="109"/>
      <c r="C146" s="56" t="s">
        <v>63</v>
      </c>
      <c r="D146" s="74">
        <v>9028329.02</v>
      </c>
      <c r="E146" s="7">
        <v>40310</v>
      </c>
      <c r="F146" s="8">
        <v>9028329.02</v>
      </c>
      <c r="G146" s="9" t="s">
        <v>53</v>
      </c>
      <c r="H146" s="10">
        <f t="shared" si="3"/>
        <v>6345145.748572079</v>
      </c>
    </row>
    <row r="147" spans="1:8" ht="12.75" customHeight="1" hidden="1" outlineLevel="1">
      <c r="A147" s="112"/>
      <c r="B147" s="109"/>
      <c r="C147" s="88" t="s">
        <v>64</v>
      </c>
      <c r="D147" s="74">
        <v>9574485.75</v>
      </c>
      <c r="E147" s="7">
        <v>40336</v>
      </c>
      <c r="F147" s="8">
        <v>9574485.75</v>
      </c>
      <c r="G147" s="9" t="s">
        <v>53</v>
      </c>
      <c r="H147" s="10">
        <f>F147*0.702804</f>
        <v>6728986.883043</v>
      </c>
    </row>
    <row r="148" spans="1:8" ht="12.75" customHeight="1" hidden="1" outlineLevel="1">
      <c r="A148" s="112"/>
      <c r="B148" s="109"/>
      <c r="C148" s="88" t="s">
        <v>65</v>
      </c>
      <c r="D148" s="74">
        <v>5590356.83</v>
      </c>
      <c r="E148" s="7">
        <v>40359</v>
      </c>
      <c r="F148" s="8">
        <v>5590356.83</v>
      </c>
      <c r="G148" s="9" t="s">
        <v>53</v>
      </c>
      <c r="H148" s="10">
        <f>F148*0.702804</f>
        <v>3928925.14155132</v>
      </c>
    </row>
    <row r="149" spans="1:8" ht="12.75" customHeight="1" hidden="1" outlineLevel="1">
      <c r="A149" s="112"/>
      <c r="B149" s="109"/>
      <c r="C149" s="89"/>
      <c r="D149" s="74"/>
      <c r="E149" s="7">
        <v>40360</v>
      </c>
      <c r="F149" s="8">
        <v>30795531.06</v>
      </c>
      <c r="G149" s="9" t="s">
        <v>66</v>
      </c>
      <c r="H149" s="10">
        <f>F149*0.702804</f>
        <v>21643222.41109224</v>
      </c>
    </row>
    <row r="150" spans="1:8" ht="12.75" customHeight="1" hidden="1" outlineLevel="1">
      <c r="A150" s="112"/>
      <c r="B150" s="109"/>
      <c r="C150" s="88" t="s">
        <v>67</v>
      </c>
      <c r="D150" s="74">
        <v>3555855.5</v>
      </c>
      <c r="E150" s="7">
        <v>40389</v>
      </c>
      <c r="F150" s="8">
        <v>3555855.5</v>
      </c>
      <c r="G150" s="9" t="s">
        <v>53</v>
      </c>
      <c r="H150" s="10">
        <f>F150*0.702804</f>
        <v>2499069.468822</v>
      </c>
    </row>
    <row r="151" spans="1:8" ht="12.75" customHeight="1" hidden="1" outlineLevel="1">
      <c r="A151" s="112"/>
      <c r="B151" s="109"/>
      <c r="C151" s="88" t="s">
        <v>68</v>
      </c>
      <c r="D151" s="74">
        <v>5932069.93</v>
      </c>
      <c r="E151" s="7">
        <v>40402</v>
      </c>
      <c r="F151" s="8">
        <v>5932069.93</v>
      </c>
      <c r="G151" s="9" t="s">
        <v>53</v>
      </c>
      <c r="H151" s="10">
        <f>F151*0.702804</f>
        <v>4169082.4750837195</v>
      </c>
    </row>
    <row r="152" spans="1:8" ht="12.75" customHeight="1" hidden="1" outlineLevel="1">
      <c r="A152" s="112"/>
      <c r="B152" s="109"/>
      <c r="C152" s="83">
        <v>40421</v>
      </c>
      <c r="D152" s="74">
        <v>5889963.64</v>
      </c>
      <c r="E152" s="7">
        <v>40458</v>
      </c>
      <c r="F152" s="8">
        <v>5889963.64</v>
      </c>
      <c r="G152" s="9" t="s">
        <v>53</v>
      </c>
      <c r="H152" s="10"/>
    </row>
    <row r="153" spans="1:8" ht="12.75" customHeight="1" hidden="1" outlineLevel="1">
      <c r="A153" s="112"/>
      <c r="B153" s="109"/>
      <c r="C153" s="83" t="s">
        <v>69</v>
      </c>
      <c r="D153" s="74">
        <v>13281240.78</v>
      </c>
      <c r="E153" s="7">
        <v>40487</v>
      </c>
      <c r="F153" s="8">
        <v>13281240.78</v>
      </c>
      <c r="G153" s="9" t="s">
        <v>53</v>
      </c>
      <c r="H153" s="10"/>
    </row>
    <row r="154" spans="1:8" ht="12.75" customHeight="1" hidden="1" outlineLevel="1">
      <c r="A154" s="112"/>
      <c r="B154" s="109"/>
      <c r="C154" s="56">
        <v>40760</v>
      </c>
      <c r="D154" s="74">
        <v>89568292.15</v>
      </c>
      <c r="E154" s="7">
        <v>40780</v>
      </c>
      <c r="F154" s="8">
        <v>89568292.15</v>
      </c>
      <c r="G154" s="9" t="s">
        <v>53</v>
      </c>
      <c r="H154" s="10"/>
    </row>
    <row r="155" spans="1:8" ht="12.75" customHeight="1" hidden="1" outlineLevel="1">
      <c r="A155" s="112"/>
      <c r="B155" s="109"/>
      <c r="C155" s="56">
        <v>40787</v>
      </c>
      <c r="D155" s="74">
        <v>7951784.93</v>
      </c>
      <c r="E155" s="7">
        <v>40813</v>
      </c>
      <c r="F155" s="8">
        <v>7951784.93</v>
      </c>
      <c r="G155" s="9" t="s">
        <v>53</v>
      </c>
      <c r="H155" s="9" t="s">
        <v>53</v>
      </c>
    </row>
    <row r="156" spans="1:8" ht="12.75" customHeight="1" hidden="1" outlineLevel="1">
      <c r="A156" s="112"/>
      <c r="B156" s="109"/>
      <c r="C156" s="83">
        <v>40822</v>
      </c>
      <c r="D156" s="74">
        <v>10049226.24</v>
      </c>
      <c r="E156" s="7">
        <v>40840</v>
      </c>
      <c r="F156" s="8">
        <v>10049226.24</v>
      </c>
      <c r="G156" s="9" t="s">
        <v>53</v>
      </c>
      <c r="H156" s="10"/>
    </row>
    <row r="157" spans="1:8" ht="12.75" customHeight="1" hidden="1" outlineLevel="1">
      <c r="A157" s="112"/>
      <c r="B157" s="109"/>
      <c r="C157" s="56">
        <v>40850</v>
      </c>
      <c r="D157" s="74">
        <v>23130733.99</v>
      </c>
      <c r="E157" s="7">
        <v>40877</v>
      </c>
      <c r="F157" s="8">
        <v>23130733.99</v>
      </c>
      <c r="G157" s="9" t="s">
        <v>53</v>
      </c>
      <c r="H157" s="10"/>
    </row>
    <row r="158" spans="1:8" ht="12.75" customHeight="1" hidden="1" outlineLevel="1">
      <c r="A158" s="112"/>
      <c r="B158" s="109"/>
      <c r="C158" s="56">
        <v>40879</v>
      </c>
      <c r="D158" s="74">
        <v>16186424.49</v>
      </c>
      <c r="E158" s="7">
        <v>41089</v>
      </c>
      <c r="F158" s="8">
        <v>16186424.49</v>
      </c>
      <c r="G158" s="9" t="s">
        <v>53</v>
      </c>
      <c r="H158" s="10"/>
    </row>
    <row r="159" spans="1:8" ht="12.75" customHeight="1" hidden="1" outlineLevel="1">
      <c r="A159" s="112"/>
      <c r="B159" s="109"/>
      <c r="C159" s="56">
        <v>40925</v>
      </c>
      <c r="D159" s="74">
        <v>14644859.04</v>
      </c>
      <c r="E159" s="7">
        <v>41093</v>
      </c>
      <c r="F159" s="8">
        <v>14644859.04</v>
      </c>
      <c r="G159" s="9" t="s">
        <v>53</v>
      </c>
      <c r="H159" s="10"/>
    </row>
    <row r="160" spans="1:8" ht="12.75" customHeight="1" hidden="1" outlineLevel="1">
      <c r="A160" s="112"/>
      <c r="B160" s="109"/>
      <c r="C160" s="56">
        <v>41094</v>
      </c>
      <c r="D160" s="74">
        <v>92312819.67</v>
      </c>
      <c r="E160" s="7">
        <v>41122</v>
      </c>
      <c r="F160" s="8">
        <v>92312819.67</v>
      </c>
      <c r="G160" s="9" t="s">
        <v>53</v>
      </c>
      <c r="H160" s="10"/>
    </row>
    <row r="161" spans="1:8" ht="12.75" customHeight="1" hidden="1" outlineLevel="1">
      <c r="A161" s="112"/>
      <c r="B161" s="109"/>
      <c r="C161" s="56">
        <v>41103</v>
      </c>
      <c r="D161" s="74">
        <v>11389621.03</v>
      </c>
      <c r="E161" s="7">
        <v>41124</v>
      </c>
      <c r="F161" s="8">
        <v>11389621.03</v>
      </c>
      <c r="G161" s="9" t="s">
        <v>53</v>
      </c>
      <c r="H161" s="10"/>
    </row>
    <row r="162" spans="1:8" ht="12.75" customHeight="1" hidden="1" outlineLevel="1">
      <c r="A162" s="112"/>
      <c r="B162" s="109"/>
      <c r="C162" s="56">
        <v>41122</v>
      </c>
      <c r="D162" s="74">
        <v>9107203.36</v>
      </c>
      <c r="E162" s="7">
        <v>41157</v>
      </c>
      <c r="F162" s="8">
        <v>9107203.36</v>
      </c>
      <c r="G162" s="9" t="s">
        <v>53</v>
      </c>
      <c r="H162" s="10"/>
    </row>
    <row r="163" spans="1:8" ht="12.75" customHeight="1" hidden="1" outlineLevel="1">
      <c r="A163" s="112"/>
      <c r="B163" s="109"/>
      <c r="C163" s="56">
        <v>41155</v>
      </c>
      <c r="D163" s="74">
        <v>11129080.1</v>
      </c>
      <c r="E163" s="7">
        <v>41180</v>
      </c>
      <c r="F163" s="8">
        <v>11129080.1</v>
      </c>
      <c r="G163" s="9" t="s">
        <v>53</v>
      </c>
      <c r="H163" s="10"/>
    </row>
    <row r="164" spans="1:8" ht="12.75" customHeight="1" hidden="1" outlineLevel="1">
      <c r="A164" s="112"/>
      <c r="B164" s="109"/>
      <c r="C164" s="56" t="s">
        <v>78</v>
      </c>
      <c r="D164" s="74">
        <v>9447153.69</v>
      </c>
      <c r="E164" s="7">
        <v>41212</v>
      </c>
      <c r="F164" s="8">
        <v>9447153.69</v>
      </c>
      <c r="G164" s="9" t="s">
        <v>53</v>
      </c>
      <c r="H164" s="10"/>
    </row>
    <row r="165" spans="1:8" ht="12.75" customHeight="1" hidden="1" outlineLevel="1">
      <c r="A165" s="112"/>
      <c r="B165" s="109"/>
      <c r="C165" s="16">
        <v>41213</v>
      </c>
      <c r="D165" s="74">
        <v>25673127.619999945</v>
      </c>
      <c r="E165" s="7">
        <v>41263</v>
      </c>
      <c r="F165" s="8">
        <v>25673127.62</v>
      </c>
      <c r="G165" s="9" t="s">
        <v>53</v>
      </c>
      <c r="H165" s="10"/>
    </row>
    <row r="166" spans="1:8" ht="12.75" customHeight="1" hidden="1" outlineLevel="1">
      <c r="A166" s="112"/>
      <c r="B166" s="109"/>
      <c r="C166" s="16">
        <v>41253</v>
      </c>
      <c r="D166" s="74">
        <v>24619943.64</v>
      </c>
      <c r="E166" s="7">
        <v>41263</v>
      </c>
      <c r="F166" s="8">
        <v>24619943.64</v>
      </c>
      <c r="G166" s="9" t="s">
        <v>53</v>
      </c>
      <c r="H166" s="10"/>
    </row>
    <row r="167" spans="1:8" ht="12.75" customHeight="1" hidden="1" outlineLevel="1">
      <c r="A167" s="112"/>
      <c r="B167" s="109"/>
      <c r="C167" s="16" t="s">
        <v>79</v>
      </c>
      <c r="D167" s="74">
        <v>15477252.95</v>
      </c>
      <c r="E167" s="7">
        <v>41339</v>
      </c>
      <c r="F167" s="8">
        <v>15477252.95</v>
      </c>
      <c r="G167" s="9" t="s">
        <v>53</v>
      </c>
      <c r="H167" s="10"/>
    </row>
    <row r="168" spans="1:8" ht="12.75" customHeight="1" hidden="1" outlineLevel="1">
      <c r="A168" s="112"/>
      <c r="B168" s="109"/>
      <c r="C168" s="16">
        <v>41313</v>
      </c>
      <c r="D168" s="74">
        <v>23701781.91</v>
      </c>
      <c r="E168" s="7">
        <v>41339</v>
      </c>
      <c r="F168" s="8">
        <v>23701781.91</v>
      </c>
      <c r="G168" s="9" t="s">
        <v>53</v>
      </c>
      <c r="H168" s="10"/>
    </row>
    <row r="169" spans="1:8" ht="12.75" customHeight="1" hidden="1" outlineLevel="1">
      <c r="A169" s="112"/>
      <c r="B169" s="109"/>
      <c r="C169" s="16">
        <v>41346</v>
      </c>
      <c r="D169" s="74">
        <v>12140929.99</v>
      </c>
      <c r="E169" s="7">
        <v>41402</v>
      </c>
      <c r="F169" s="8">
        <v>12140929.99</v>
      </c>
      <c r="G169" s="9" t="s">
        <v>53</v>
      </c>
      <c r="H169" s="10"/>
    </row>
    <row r="170" spans="1:8" ht="12.75" customHeight="1" hidden="1" outlineLevel="1">
      <c r="A170" s="112"/>
      <c r="B170" s="109"/>
      <c r="C170" s="16">
        <v>41376</v>
      </c>
      <c r="D170" s="74">
        <v>20316935.02</v>
      </c>
      <c r="E170" s="7">
        <v>41421</v>
      </c>
      <c r="F170" s="74">
        <v>20316935.02</v>
      </c>
      <c r="G170" s="9" t="s">
        <v>53</v>
      </c>
      <c r="H170" s="10"/>
    </row>
    <row r="171" spans="1:8" ht="12.75" customHeight="1" hidden="1" outlineLevel="1">
      <c r="A171" s="112"/>
      <c r="B171" s="109"/>
      <c r="C171" s="16">
        <v>41408</v>
      </c>
      <c r="D171" s="74">
        <v>21111121.47</v>
      </c>
      <c r="E171" s="7">
        <v>41438</v>
      </c>
      <c r="F171" s="74">
        <v>21111121.47</v>
      </c>
      <c r="G171" s="9" t="s">
        <v>53</v>
      </c>
      <c r="H171" s="10"/>
    </row>
    <row r="172" spans="1:8" ht="12.75" customHeight="1" hidden="1" outlineLevel="1">
      <c r="A172" s="112"/>
      <c r="B172" s="109"/>
      <c r="C172" s="16">
        <v>41437</v>
      </c>
      <c r="D172" s="74">
        <v>19041165.84</v>
      </c>
      <c r="E172" s="7">
        <v>41456</v>
      </c>
      <c r="F172" s="74">
        <v>19041165.84</v>
      </c>
      <c r="G172" s="9" t="s">
        <v>53</v>
      </c>
      <c r="H172" s="10"/>
    </row>
    <row r="173" spans="1:8" ht="12.75" customHeight="1" hidden="1" outlineLevel="1">
      <c r="A173" s="112"/>
      <c r="B173" s="109"/>
      <c r="C173" s="16">
        <v>41467</v>
      </c>
      <c r="D173" s="74">
        <v>12493357.85</v>
      </c>
      <c r="E173" s="7">
        <v>41500</v>
      </c>
      <c r="F173" s="74">
        <v>12493357.85</v>
      </c>
      <c r="G173" s="9" t="s">
        <v>53</v>
      </c>
      <c r="H173" s="10"/>
    </row>
    <row r="174" spans="1:8" ht="12.75" customHeight="1" hidden="1" outlineLevel="1">
      <c r="A174" s="112"/>
      <c r="B174" s="109"/>
      <c r="C174" s="16" t="s">
        <v>82</v>
      </c>
      <c r="D174" s="74">
        <v>41868976.38</v>
      </c>
      <c r="E174" s="7">
        <v>41522</v>
      </c>
      <c r="F174" s="74">
        <v>41868976.38</v>
      </c>
      <c r="G174" s="9" t="s">
        <v>53</v>
      </c>
      <c r="H174" s="10"/>
    </row>
    <row r="175" spans="1:8" ht="12.75" customHeight="1" hidden="1" outlineLevel="1">
      <c r="A175" s="112"/>
      <c r="B175" s="109"/>
      <c r="C175" s="16">
        <v>41528</v>
      </c>
      <c r="D175" s="74">
        <v>14673030.35</v>
      </c>
      <c r="E175" s="7">
        <v>41563</v>
      </c>
      <c r="F175" s="74">
        <v>14673030.35</v>
      </c>
      <c r="G175" s="9" t="s">
        <v>53</v>
      </c>
      <c r="H175" s="10"/>
    </row>
    <row r="176" spans="1:8" ht="12.75" customHeight="1" hidden="1" outlineLevel="1">
      <c r="A176" s="112"/>
      <c r="B176" s="109"/>
      <c r="C176" s="16" t="s">
        <v>83</v>
      </c>
      <c r="D176" s="74">
        <v>24027886.45</v>
      </c>
      <c r="E176" s="7">
        <v>41578</v>
      </c>
      <c r="F176" s="74">
        <v>24027886.45</v>
      </c>
      <c r="G176" s="9" t="s">
        <v>53</v>
      </c>
      <c r="H176" s="10"/>
    </row>
    <row r="177" spans="1:8" ht="12.75" customHeight="1" hidden="1" outlineLevel="1">
      <c r="A177" s="112"/>
      <c r="B177" s="109"/>
      <c r="C177" s="16">
        <v>41586</v>
      </c>
      <c r="D177" s="74">
        <v>22916590.02</v>
      </c>
      <c r="E177" s="7">
        <v>41690</v>
      </c>
      <c r="F177" s="74">
        <v>22916590.02</v>
      </c>
      <c r="G177" s="9" t="s">
        <v>53</v>
      </c>
      <c r="H177" s="10"/>
    </row>
    <row r="178" spans="1:8" ht="12.75" customHeight="1" hidden="1" outlineLevel="1">
      <c r="A178" s="112"/>
      <c r="B178" s="109"/>
      <c r="C178" s="16" t="s">
        <v>84</v>
      </c>
      <c r="D178" s="74">
        <v>16034502.94</v>
      </c>
      <c r="E178" s="7">
        <v>41690</v>
      </c>
      <c r="F178" s="74">
        <v>16034502.94</v>
      </c>
      <c r="G178" s="9" t="s">
        <v>53</v>
      </c>
      <c r="H178" s="10"/>
    </row>
    <row r="179" spans="1:8" ht="12.75" customHeight="1" hidden="1" outlineLevel="1">
      <c r="A179" s="112"/>
      <c r="B179" s="109"/>
      <c r="C179" s="16" t="s">
        <v>85</v>
      </c>
      <c r="D179" s="74">
        <v>12089720.5</v>
      </c>
      <c r="E179" s="7">
        <v>41690</v>
      </c>
      <c r="F179" s="74">
        <v>12089720.5</v>
      </c>
      <c r="G179" s="9" t="s">
        <v>53</v>
      </c>
      <c r="H179" s="10"/>
    </row>
    <row r="180" spans="1:8" ht="12.75" customHeight="1" hidden="1" outlineLevel="1">
      <c r="A180" s="112"/>
      <c r="B180" s="109"/>
      <c r="C180" s="16">
        <v>41656</v>
      </c>
      <c r="D180" s="74">
        <v>16689659.68</v>
      </c>
      <c r="E180" s="7">
        <v>41726</v>
      </c>
      <c r="F180" s="74">
        <v>16689659.68</v>
      </c>
      <c r="G180" s="9" t="s">
        <v>53</v>
      </c>
      <c r="H180" s="10"/>
    </row>
    <row r="181" spans="1:8" ht="12.75" customHeight="1" hidden="1" outlineLevel="1">
      <c r="A181" s="112"/>
      <c r="B181" s="109"/>
      <c r="C181" s="16">
        <v>41683</v>
      </c>
      <c r="D181" s="74">
        <v>70666012.9</v>
      </c>
      <c r="E181" s="7">
        <v>41793</v>
      </c>
      <c r="F181" s="74">
        <v>70666012.9</v>
      </c>
      <c r="G181" s="9" t="s">
        <v>53</v>
      </c>
      <c r="H181" s="10"/>
    </row>
    <row r="182" spans="1:8" ht="12.75" customHeight="1" hidden="1" outlineLevel="1">
      <c r="A182" s="112"/>
      <c r="B182" s="109"/>
      <c r="C182" s="16">
        <v>41715</v>
      </c>
      <c r="D182" s="74">
        <v>8949913.7</v>
      </c>
      <c r="E182" s="7">
        <v>41793</v>
      </c>
      <c r="F182" s="74">
        <v>8949913.7</v>
      </c>
      <c r="G182" s="9" t="s">
        <v>53</v>
      </c>
      <c r="H182" s="10"/>
    </row>
    <row r="183" spans="1:8" ht="12.75" customHeight="1" hidden="1" outlineLevel="1">
      <c r="A183" s="112"/>
      <c r="B183" s="109"/>
      <c r="C183" s="16">
        <v>41739</v>
      </c>
      <c r="D183" s="74">
        <v>27194294.82</v>
      </c>
      <c r="E183" s="7">
        <v>41793</v>
      </c>
      <c r="F183" s="74">
        <v>27194294.82</v>
      </c>
      <c r="G183" s="9" t="s">
        <v>53</v>
      </c>
      <c r="H183" s="10"/>
    </row>
    <row r="184" spans="1:8" ht="12.75" customHeight="1" hidden="1" outlineLevel="1">
      <c r="A184" s="112"/>
      <c r="B184" s="109"/>
      <c r="C184" s="16">
        <v>41778</v>
      </c>
      <c r="D184" s="74">
        <v>26040452.83</v>
      </c>
      <c r="E184" s="7">
        <v>41816</v>
      </c>
      <c r="F184" s="74">
        <v>26040452.83</v>
      </c>
      <c r="G184" s="9" t="s">
        <v>53</v>
      </c>
      <c r="H184" s="10"/>
    </row>
    <row r="185" spans="1:8" ht="12.75" customHeight="1" hidden="1" outlineLevel="1">
      <c r="A185" s="112"/>
      <c r="B185" s="109"/>
      <c r="C185" s="16">
        <v>41806</v>
      </c>
      <c r="D185" s="74">
        <v>30766739.43</v>
      </c>
      <c r="E185" s="7">
        <v>41824</v>
      </c>
      <c r="F185" s="74">
        <v>30766739.43</v>
      </c>
      <c r="G185" s="9" t="s">
        <v>53</v>
      </c>
      <c r="H185" s="10"/>
    </row>
    <row r="186" spans="1:8" ht="12.75" customHeight="1" hidden="1" outlineLevel="1">
      <c r="A186" s="112"/>
      <c r="B186" s="109"/>
      <c r="C186" s="16">
        <v>41836</v>
      </c>
      <c r="D186" s="74">
        <v>5996387.18</v>
      </c>
      <c r="E186" s="7">
        <v>41857</v>
      </c>
      <c r="F186" s="74">
        <v>5996387.18</v>
      </c>
      <c r="G186" s="9" t="s">
        <v>53</v>
      </c>
      <c r="H186" s="10"/>
    </row>
    <row r="187" spans="1:8" ht="12.75" customHeight="1" hidden="1" outlineLevel="1">
      <c r="A187" s="112"/>
      <c r="B187" s="109"/>
      <c r="C187" s="16">
        <v>41863</v>
      </c>
      <c r="D187" s="74">
        <v>23678109.6</v>
      </c>
      <c r="E187" s="7">
        <v>41885</v>
      </c>
      <c r="F187" s="74">
        <v>23678109.6</v>
      </c>
      <c r="G187" s="9" t="s">
        <v>53</v>
      </c>
      <c r="H187" s="10"/>
    </row>
    <row r="188" spans="1:8" ht="12.75" customHeight="1" hidden="1" outlineLevel="1">
      <c r="A188" s="112"/>
      <c r="B188" s="109"/>
      <c r="C188" s="16">
        <v>41891</v>
      </c>
      <c r="D188" s="74">
        <v>21419761.44</v>
      </c>
      <c r="E188" s="7">
        <v>41913</v>
      </c>
      <c r="F188" s="74">
        <v>21419761.44</v>
      </c>
      <c r="G188" s="9" t="s">
        <v>53</v>
      </c>
      <c r="H188" s="10"/>
    </row>
    <row r="189" spans="1:8" ht="12.75" customHeight="1" hidden="1" outlineLevel="1">
      <c r="A189" s="112"/>
      <c r="B189" s="109"/>
      <c r="C189" s="16">
        <v>41922</v>
      </c>
      <c r="D189" s="74">
        <v>22513755.56</v>
      </c>
      <c r="E189" s="7">
        <v>41996</v>
      </c>
      <c r="F189" s="74">
        <v>22513755.56</v>
      </c>
      <c r="G189" s="9" t="s">
        <v>53</v>
      </c>
      <c r="H189" s="10"/>
    </row>
    <row r="190" spans="1:8" ht="12.75" customHeight="1" hidden="1" outlineLevel="1">
      <c r="A190" s="112"/>
      <c r="B190" s="109"/>
      <c r="C190" s="108">
        <v>41991</v>
      </c>
      <c r="D190" s="117">
        <v>49363288.58</v>
      </c>
      <c r="E190" s="7">
        <v>42009</v>
      </c>
      <c r="F190" s="74">
        <v>18997540.81</v>
      </c>
      <c r="G190" s="9" t="s">
        <v>53</v>
      </c>
      <c r="H190" s="10"/>
    </row>
    <row r="191" spans="1:8" ht="12.75" customHeight="1" hidden="1" outlineLevel="1">
      <c r="A191" s="112"/>
      <c r="B191" s="109"/>
      <c r="C191" s="116"/>
      <c r="D191" s="118"/>
      <c r="E191" s="7">
        <v>42075</v>
      </c>
      <c r="F191" s="74">
        <v>30365747.77</v>
      </c>
      <c r="G191" s="9" t="s">
        <v>53</v>
      </c>
      <c r="H191" s="10"/>
    </row>
    <row r="192" spans="1:8" ht="12.75" customHeight="1" hidden="1" outlineLevel="1">
      <c r="A192" s="112"/>
      <c r="B192" s="109"/>
      <c r="C192" s="95">
        <v>42072</v>
      </c>
      <c r="D192" s="96">
        <v>59456023.83</v>
      </c>
      <c r="E192" s="7">
        <v>42118</v>
      </c>
      <c r="F192" s="74">
        <v>59456023.83</v>
      </c>
      <c r="G192" s="9" t="s">
        <v>53</v>
      </c>
      <c r="H192" s="10"/>
    </row>
    <row r="193" spans="1:8" ht="12.75" customHeight="1" hidden="1" outlineLevel="1">
      <c r="A193" s="112"/>
      <c r="B193" s="109"/>
      <c r="C193" s="87">
        <v>42135</v>
      </c>
      <c r="D193" s="74">
        <v>44849920.39</v>
      </c>
      <c r="E193" s="7">
        <v>42171</v>
      </c>
      <c r="F193" s="74">
        <v>44849920.39</v>
      </c>
      <c r="G193" s="9" t="s">
        <v>53</v>
      </c>
      <c r="H193" s="10"/>
    </row>
    <row r="194" spans="1:8" ht="12.75" customHeight="1" hidden="1" outlineLevel="1">
      <c r="A194" s="112"/>
      <c r="B194" s="109"/>
      <c r="C194" s="82">
        <v>42174</v>
      </c>
      <c r="D194" s="74">
        <v>54939430.23</v>
      </c>
      <c r="E194" s="7">
        <v>42227</v>
      </c>
      <c r="F194" s="74">
        <v>54939430.23</v>
      </c>
      <c r="G194" s="9" t="s">
        <v>53</v>
      </c>
      <c r="H194" s="10"/>
    </row>
    <row r="195" spans="1:8" ht="12.75" customHeight="1" hidden="1" outlineLevel="1">
      <c r="A195" s="112"/>
      <c r="B195" s="109"/>
      <c r="C195" s="82">
        <v>42249</v>
      </c>
      <c r="D195" s="74">
        <v>34224917.24</v>
      </c>
      <c r="E195" s="7">
        <v>42282</v>
      </c>
      <c r="F195" s="74">
        <v>34224917.24</v>
      </c>
      <c r="G195" s="9" t="s">
        <v>53</v>
      </c>
      <c r="H195" s="10"/>
    </row>
    <row r="196" spans="1:8" ht="12.75" customHeight="1" hidden="1" outlineLevel="1">
      <c r="A196" s="112"/>
      <c r="B196" s="109"/>
      <c r="C196" s="82">
        <v>42310</v>
      </c>
      <c r="D196" s="74">
        <v>820158.88</v>
      </c>
      <c r="E196" s="7">
        <v>42349</v>
      </c>
      <c r="F196" s="74">
        <v>820158.88</v>
      </c>
      <c r="G196" s="9" t="s">
        <v>53</v>
      </c>
      <c r="H196" s="10"/>
    </row>
    <row r="197" spans="1:8" ht="12.75" customHeight="1" hidden="1" outlineLevel="1">
      <c r="A197" s="112"/>
      <c r="B197" s="109"/>
      <c r="C197" s="82">
        <v>42377</v>
      </c>
      <c r="D197" s="74" t="s">
        <v>95</v>
      </c>
      <c r="E197" s="7"/>
      <c r="F197" s="74"/>
      <c r="G197" s="9" t="s">
        <v>101</v>
      </c>
      <c r="H197" s="10"/>
    </row>
    <row r="198" spans="1:8" ht="12.75" customHeight="1" hidden="1" outlineLevel="1">
      <c r="A198" s="112"/>
      <c r="B198" s="109"/>
      <c r="C198" s="82">
        <v>42429</v>
      </c>
      <c r="D198" s="74" t="s">
        <v>95</v>
      </c>
      <c r="E198" s="7"/>
      <c r="F198" s="74"/>
      <c r="G198" s="9" t="s">
        <v>101</v>
      </c>
      <c r="H198" s="10"/>
    </row>
    <row r="199" spans="1:8" ht="12.75" customHeight="1" hidden="1" outlineLevel="1">
      <c r="A199" s="112"/>
      <c r="B199" s="109"/>
      <c r="C199" s="82">
        <v>42551</v>
      </c>
      <c r="D199" s="74">
        <v>0</v>
      </c>
      <c r="E199" s="7"/>
      <c r="F199" s="74"/>
      <c r="G199" s="9" t="s">
        <v>101</v>
      </c>
      <c r="H199" s="10"/>
    </row>
    <row r="200" spans="1:8" ht="13.5" customHeight="1" hidden="1" outlineLevel="1" thickBot="1">
      <c r="A200" s="112"/>
      <c r="B200" s="109"/>
      <c r="C200" s="56">
        <v>42821</v>
      </c>
      <c r="D200" s="74">
        <v>76988827.65</v>
      </c>
      <c r="E200" s="7">
        <v>43308</v>
      </c>
      <c r="F200" s="74">
        <v>76988827.65</v>
      </c>
      <c r="G200" s="101" t="s">
        <v>103</v>
      </c>
      <c r="H200" s="10"/>
    </row>
    <row r="201" spans="1:8" ht="13.5" collapsed="1" thickBot="1">
      <c r="A201" s="66" t="s">
        <v>8</v>
      </c>
      <c r="B201" s="12"/>
      <c r="C201" s="13"/>
      <c r="D201" s="14">
        <f>SUM(D140:D200)</f>
        <v>1347304483.8800004</v>
      </c>
      <c r="E201" s="13"/>
      <c r="F201" s="14">
        <f>SUM(F137:F200)</f>
        <v>1539776553.0000002</v>
      </c>
      <c r="G201" s="15"/>
      <c r="H201" s="14">
        <f>SUM(H137:H200)</f>
        <v>242428144.5751481</v>
      </c>
    </row>
    <row r="202" spans="1:8" ht="12.75" customHeight="1" hidden="1" outlineLevel="1">
      <c r="A202" s="130" t="s">
        <v>6</v>
      </c>
      <c r="B202" s="136" t="s">
        <v>9</v>
      </c>
      <c r="C202" s="85"/>
      <c r="D202" s="86"/>
      <c r="E202" s="7">
        <v>39435</v>
      </c>
      <c r="F202" s="8">
        <v>34065728.28</v>
      </c>
      <c r="G202" s="9" t="s">
        <v>52</v>
      </c>
      <c r="H202" s="48">
        <f aca="true" t="shared" si="4" ref="H202:H207">F202*0.702804</f>
        <v>23941530.09809712</v>
      </c>
    </row>
    <row r="203" spans="1:8" ht="12.75" customHeight="1" hidden="1" outlineLevel="1">
      <c r="A203" s="131"/>
      <c r="B203" s="137"/>
      <c r="C203" s="7"/>
      <c r="D203" s="8"/>
      <c r="E203" s="7">
        <v>39548</v>
      </c>
      <c r="F203" s="8">
        <v>51098592.42</v>
      </c>
      <c r="G203" s="9" t="s">
        <v>52</v>
      </c>
      <c r="H203" s="46">
        <f t="shared" si="4"/>
        <v>35912295.14714568</v>
      </c>
    </row>
    <row r="204" spans="1:8" ht="12.75" customHeight="1" hidden="1" outlineLevel="1">
      <c r="A204" s="131"/>
      <c r="B204" s="137"/>
      <c r="C204" s="83"/>
      <c r="D204" s="84"/>
      <c r="E204" s="7">
        <v>39856</v>
      </c>
      <c r="F204" s="8">
        <v>34065728.28</v>
      </c>
      <c r="G204" s="9" t="s">
        <v>52</v>
      </c>
      <c r="H204" s="10">
        <f t="shared" si="4"/>
        <v>23941530.09809712</v>
      </c>
    </row>
    <row r="205" spans="1:8" ht="12.75" customHeight="1" hidden="1" outlineLevel="1">
      <c r="A205" s="131"/>
      <c r="B205" s="137"/>
      <c r="C205" s="83"/>
      <c r="D205" s="84"/>
      <c r="E205" s="7">
        <v>39925</v>
      </c>
      <c r="F205" s="8">
        <v>34065728.28</v>
      </c>
      <c r="G205" s="9" t="s">
        <v>52</v>
      </c>
      <c r="H205" s="10">
        <f t="shared" si="4"/>
        <v>23941530.09809712</v>
      </c>
    </row>
    <row r="206" spans="1:8" ht="12.75" customHeight="1" hidden="1" outlineLevel="1">
      <c r="A206" s="131"/>
      <c r="B206" s="137"/>
      <c r="C206" s="83">
        <v>39924</v>
      </c>
      <c r="D206" s="74">
        <v>1940776.03</v>
      </c>
      <c r="E206" s="7">
        <v>40002</v>
      </c>
      <c r="F206" s="8">
        <v>1500139.61</v>
      </c>
      <c r="G206" s="139" t="s">
        <v>53</v>
      </c>
      <c r="H206" s="10">
        <f t="shared" si="4"/>
        <v>1054304.1184664401</v>
      </c>
    </row>
    <row r="207" spans="1:8" ht="12.75" customHeight="1" hidden="1" outlineLevel="1">
      <c r="A207" s="131"/>
      <c r="B207" s="137"/>
      <c r="C207" s="83"/>
      <c r="D207" s="74"/>
      <c r="E207" s="7">
        <v>40038</v>
      </c>
      <c r="F207" s="8">
        <v>436768.65</v>
      </c>
      <c r="G207" s="140"/>
      <c r="H207" s="10">
        <f t="shared" si="4"/>
        <v>306962.7542946</v>
      </c>
    </row>
    <row r="208" spans="1:8" ht="12.75" customHeight="1" hidden="1" outlineLevel="1">
      <c r="A208" s="131"/>
      <c r="B208" s="137"/>
      <c r="C208" s="83"/>
      <c r="D208" s="74"/>
      <c r="E208" s="7">
        <v>40092</v>
      </c>
      <c r="F208" s="8">
        <v>3867.77</v>
      </c>
      <c r="G208" s="141"/>
      <c r="H208" s="10">
        <f aca="true" t="shared" si="5" ref="H208:H220">F208*0.702804</f>
        <v>2718.2842270799997</v>
      </c>
    </row>
    <row r="209" spans="1:8" ht="12.75" customHeight="1" hidden="1" outlineLevel="1">
      <c r="A209" s="131"/>
      <c r="B209" s="137"/>
      <c r="C209" s="83" t="s">
        <v>60</v>
      </c>
      <c r="D209" s="74">
        <v>14954297.2</v>
      </c>
      <c r="E209" s="7">
        <v>40101</v>
      </c>
      <c r="F209" s="8">
        <v>14954297.2</v>
      </c>
      <c r="G209" s="9" t="s">
        <v>53</v>
      </c>
      <c r="H209" s="10">
        <f t="shared" si="5"/>
        <v>10509939.8893488</v>
      </c>
    </row>
    <row r="210" spans="1:8" ht="12.75" customHeight="1" hidden="1" outlineLevel="1">
      <c r="A210" s="131"/>
      <c r="B210" s="137"/>
      <c r="C210" s="83">
        <v>40087</v>
      </c>
      <c r="D210" s="74">
        <v>1609814.01</v>
      </c>
      <c r="E210" s="7">
        <v>40116</v>
      </c>
      <c r="F210" s="8">
        <v>1609814.01</v>
      </c>
      <c r="G210" s="9" t="s">
        <v>53</v>
      </c>
      <c r="H210" s="10">
        <f t="shared" si="5"/>
        <v>1131383.7254840399</v>
      </c>
    </row>
    <row r="211" spans="1:8" ht="12.75" customHeight="1" hidden="1" outlineLevel="1">
      <c r="A211" s="131"/>
      <c r="B211" s="137"/>
      <c r="C211" s="83">
        <v>40114</v>
      </c>
      <c r="D211" s="74">
        <v>9843053.32</v>
      </c>
      <c r="E211" s="7">
        <v>40135</v>
      </c>
      <c r="F211" s="8">
        <v>9843053.32</v>
      </c>
      <c r="G211" s="9" t="s">
        <v>53</v>
      </c>
      <c r="H211" s="10">
        <f t="shared" si="5"/>
        <v>6917737.24550928</v>
      </c>
    </row>
    <row r="212" spans="1:8" ht="12.75" customHeight="1" hidden="1" outlineLevel="1">
      <c r="A212" s="131"/>
      <c r="B212" s="137"/>
      <c r="C212" s="83" t="s">
        <v>61</v>
      </c>
      <c r="D212" s="74">
        <v>5953382.99</v>
      </c>
      <c r="E212" s="7">
        <v>40199</v>
      </c>
      <c r="F212" s="8">
        <v>5953382.99</v>
      </c>
      <c r="G212" s="9" t="s">
        <v>53</v>
      </c>
      <c r="H212" s="10">
        <f t="shared" si="5"/>
        <v>4184061.37890396</v>
      </c>
    </row>
    <row r="213" spans="1:8" ht="12.75" customHeight="1" hidden="1" outlineLevel="1">
      <c r="A213" s="131"/>
      <c r="B213" s="137"/>
      <c r="C213" s="83" t="s">
        <v>62</v>
      </c>
      <c r="D213" s="74">
        <v>5513254.03</v>
      </c>
      <c r="E213" s="7">
        <v>40227</v>
      </c>
      <c r="F213" s="8">
        <v>5513254.03</v>
      </c>
      <c r="G213" s="9" t="s">
        <v>53</v>
      </c>
      <c r="H213" s="10">
        <f t="shared" si="5"/>
        <v>3874736.98530012</v>
      </c>
    </row>
    <row r="214" spans="1:8" ht="12.75" customHeight="1" hidden="1" outlineLevel="1">
      <c r="A214" s="131"/>
      <c r="B214" s="137"/>
      <c r="C214" s="83">
        <v>40213</v>
      </c>
      <c r="D214" s="74">
        <v>20367010.52</v>
      </c>
      <c r="E214" s="7">
        <v>40246</v>
      </c>
      <c r="F214" s="8">
        <v>20367010.52</v>
      </c>
      <c r="G214" s="9" t="s">
        <v>53</v>
      </c>
      <c r="H214" s="10">
        <f t="shared" si="5"/>
        <v>14314016.46149808</v>
      </c>
    </row>
    <row r="215" spans="1:8" ht="12.75" customHeight="1" hidden="1" outlineLevel="1">
      <c r="A215" s="131"/>
      <c r="B215" s="137"/>
      <c r="C215" s="83">
        <v>40235</v>
      </c>
      <c r="D215" s="74">
        <v>1710655.31</v>
      </c>
      <c r="E215" s="7">
        <v>40262</v>
      </c>
      <c r="F215" s="8">
        <v>1710655.31</v>
      </c>
      <c r="G215" s="9" t="s">
        <v>53</v>
      </c>
      <c r="H215" s="10">
        <f t="shared" si="5"/>
        <v>1202255.39448924</v>
      </c>
    </row>
    <row r="216" spans="1:8" ht="12.75" customHeight="1" hidden="1" outlineLevel="1">
      <c r="A216" s="131"/>
      <c r="B216" s="137"/>
      <c r="C216" s="83" t="s">
        <v>63</v>
      </c>
      <c r="D216" s="74">
        <v>8819771.69</v>
      </c>
      <c r="E216" s="7">
        <v>40310</v>
      </c>
      <c r="F216" s="8">
        <v>8819771.69</v>
      </c>
      <c r="G216" s="9" t="s">
        <v>53</v>
      </c>
      <c r="H216" s="10">
        <f t="shared" si="5"/>
        <v>6198570.82281876</v>
      </c>
    </row>
    <row r="217" spans="1:8" ht="12.75" customHeight="1" hidden="1" outlineLevel="1">
      <c r="A217" s="131"/>
      <c r="B217" s="137"/>
      <c r="C217" s="83" t="s">
        <v>64</v>
      </c>
      <c r="D217" s="74">
        <v>19197986.66</v>
      </c>
      <c r="E217" s="7">
        <v>40336</v>
      </c>
      <c r="F217" s="8">
        <v>19197986.66</v>
      </c>
      <c r="G217" s="9" t="s">
        <v>53</v>
      </c>
      <c r="H217" s="10">
        <f t="shared" si="5"/>
        <v>13492421.81659464</v>
      </c>
    </row>
    <row r="218" spans="1:8" ht="12.75" customHeight="1" hidden="1" outlineLevel="1">
      <c r="A218" s="131"/>
      <c r="B218" s="137"/>
      <c r="C218" s="83" t="s">
        <v>65</v>
      </c>
      <c r="D218" s="74">
        <v>4583890.12</v>
      </c>
      <c r="E218" s="7">
        <v>40359</v>
      </c>
      <c r="F218" s="8">
        <v>4583890.12</v>
      </c>
      <c r="G218" s="9" t="s">
        <v>53</v>
      </c>
      <c r="H218" s="10">
        <f t="shared" si="5"/>
        <v>3221576.31189648</v>
      </c>
    </row>
    <row r="219" spans="1:8" ht="12.75" customHeight="1" hidden="1" outlineLevel="1">
      <c r="A219" s="131"/>
      <c r="B219" s="137"/>
      <c r="C219" s="83" t="s">
        <v>67</v>
      </c>
      <c r="D219" s="74">
        <v>6041488.27</v>
      </c>
      <c r="E219" s="7">
        <v>40389</v>
      </c>
      <c r="F219" s="8">
        <v>6041488.27</v>
      </c>
      <c r="G219" s="9" t="s">
        <v>53</v>
      </c>
      <c r="H219" s="10">
        <f t="shared" si="5"/>
        <v>4245982.12210908</v>
      </c>
    </row>
    <row r="220" spans="1:8" ht="12.75" customHeight="1" hidden="1" outlineLevel="1">
      <c r="A220" s="131"/>
      <c r="B220" s="137"/>
      <c r="C220" s="83" t="s">
        <v>68</v>
      </c>
      <c r="D220" s="74">
        <v>4204398.88</v>
      </c>
      <c r="E220" s="7">
        <v>40402</v>
      </c>
      <c r="F220" s="8">
        <v>4204398.88</v>
      </c>
      <c r="G220" s="9" t="s">
        <v>53</v>
      </c>
      <c r="H220" s="10">
        <f t="shared" si="5"/>
        <v>2954868.35045952</v>
      </c>
    </row>
    <row r="221" spans="1:8" ht="12.75" customHeight="1" hidden="1" outlineLevel="1">
      <c r="A221" s="131"/>
      <c r="B221" s="137"/>
      <c r="C221" s="83">
        <v>40421</v>
      </c>
      <c r="D221" s="74">
        <v>6972721.2</v>
      </c>
      <c r="E221" s="7">
        <v>40458</v>
      </c>
      <c r="F221" s="8">
        <v>6972721.2</v>
      </c>
      <c r="G221" s="9" t="s">
        <v>53</v>
      </c>
      <c r="H221" s="10"/>
    </row>
    <row r="222" spans="1:8" ht="12.75" customHeight="1" hidden="1" outlineLevel="1">
      <c r="A222" s="131"/>
      <c r="B222" s="137"/>
      <c r="C222" s="83" t="s">
        <v>69</v>
      </c>
      <c r="D222" s="74">
        <v>14698586.57</v>
      </c>
      <c r="E222" s="7">
        <v>40487</v>
      </c>
      <c r="F222" s="8">
        <v>14698586.57</v>
      </c>
      <c r="G222" s="9" t="s">
        <v>53</v>
      </c>
      <c r="H222" s="10"/>
    </row>
    <row r="223" spans="1:8" ht="12.75" customHeight="1" hidden="1" outlineLevel="1">
      <c r="A223" s="131"/>
      <c r="B223" s="137"/>
      <c r="C223" s="83">
        <v>40760</v>
      </c>
      <c r="D223" s="74">
        <v>166887031.05</v>
      </c>
      <c r="E223" s="7">
        <v>40780</v>
      </c>
      <c r="F223" s="8">
        <v>166887031.05</v>
      </c>
      <c r="G223" s="9" t="s">
        <v>53</v>
      </c>
      <c r="H223" s="10"/>
    </row>
    <row r="224" spans="1:8" ht="12.75" customHeight="1" hidden="1" outlineLevel="1">
      <c r="A224" s="131"/>
      <c r="B224" s="137"/>
      <c r="C224" s="83">
        <v>40787</v>
      </c>
      <c r="D224" s="74">
        <v>25424288.07</v>
      </c>
      <c r="E224" s="72">
        <v>40808</v>
      </c>
      <c r="F224" s="8">
        <v>25424288.07</v>
      </c>
      <c r="G224" s="9" t="s">
        <v>53</v>
      </c>
      <c r="H224" s="10"/>
    </row>
    <row r="225" spans="1:8" ht="12.75" customHeight="1" hidden="1" outlineLevel="1">
      <c r="A225" s="131"/>
      <c r="B225" s="137"/>
      <c r="C225" s="87">
        <v>40822</v>
      </c>
      <c r="D225" s="74">
        <v>22945020.3</v>
      </c>
      <c r="E225" s="73">
        <v>40843</v>
      </c>
      <c r="F225" s="8">
        <v>22945020.3</v>
      </c>
      <c r="G225" s="71" t="s">
        <v>53</v>
      </c>
      <c r="H225" s="10"/>
    </row>
    <row r="226" spans="1:8" ht="12.75" customHeight="1" hidden="1" outlineLevel="1">
      <c r="A226" s="131"/>
      <c r="B226" s="137"/>
      <c r="C226" s="87">
        <v>40850</v>
      </c>
      <c r="D226" s="74">
        <v>16614771.48</v>
      </c>
      <c r="E226" s="73">
        <v>40877</v>
      </c>
      <c r="F226" s="8">
        <v>16614771.48</v>
      </c>
      <c r="G226" s="71" t="s">
        <v>53</v>
      </c>
      <c r="H226" s="10"/>
    </row>
    <row r="227" spans="1:8" ht="12.75" customHeight="1" hidden="1" outlineLevel="1">
      <c r="A227" s="131"/>
      <c r="B227" s="137"/>
      <c r="C227" s="87">
        <v>40879</v>
      </c>
      <c r="D227" s="74">
        <v>30838071.83</v>
      </c>
      <c r="E227" s="70">
        <v>41089</v>
      </c>
      <c r="F227" s="8">
        <v>30838071.83</v>
      </c>
      <c r="G227" s="71" t="s">
        <v>53</v>
      </c>
      <c r="H227" s="10"/>
    </row>
    <row r="228" spans="1:8" ht="12.75" customHeight="1" hidden="1" outlineLevel="1">
      <c r="A228" s="131"/>
      <c r="B228" s="137"/>
      <c r="C228" s="87">
        <v>40925</v>
      </c>
      <c r="D228" s="74">
        <v>24143411.13</v>
      </c>
      <c r="E228" s="70">
        <v>41093</v>
      </c>
      <c r="F228" s="49">
        <v>24143411.13</v>
      </c>
      <c r="G228" s="71" t="s">
        <v>53</v>
      </c>
      <c r="H228" s="10"/>
    </row>
    <row r="229" spans="1:8" ht="12.75" customHeight="1" hidden="1" outlineLevel="1">
      <c r="A229" s="131"/>
      <c r="B229" s="137"/>
      <c r="C229" s="87">
        <v>41094</v>
      </c>
      <c r="D229" s="74">
        <v>132403767.93</v>
      </c>
      <c r="E229" s="70">
        <v>41123</v>
      </c>
      <c r="F229" s="49">
        <v>132403767.93</v>
      </c>
      <c r="G229" s="71" t="s">
        <v>53</v>
      </c>
      <c r="H229" s="10"/>
    </row>
    <row r="230" spans="1:8" ht="12.75" customHeight="1" hidden="1" outlineLevel="1">
      <c r="A230" s="131"/>
      <c r="B230" s="137"/>
      <c r="C230" s="87">
        <v>41103</v>
      </c>
      <c r="D230" s="74">
        <v>22333189.63</v>
      </c>
      <c r="E230" s="70">
        <v>41124</v>
      </c>
      <c r="F230" s="49">
        <v>22333189.63</v>
      </c>
      <c r="G230" s="71" t="s">
        <v>53</v>
      </c>
      <c r="H230" s="10"/>
    </row>
    <row r="231" spans="1:8" ht="12.75" customHeight="1" hidden="1" outlineLevel="1">
      <c r="A231" s="131"/>
      <c r="B231" s="137"/>
      <c r="C231" s="87">
        <v>41122</v>
      </c>
      <c r="D231" s="74">
        <v>14391440.27</v>
      </c>
      <c r="E231" s="70">
        <v>41157</v>
      </c>
      <c r="F231" s="8">
        <v>14391440.27</v>
      </c>
      <c r="G231" s="71" t="s">
        <v>53</v>
      </c>
      <c r="H231" s="10"/>
    </row>
    <row r="232" spans="1:8" ht="12.75" customHeight="1" hidden="1" outlineLevel="1">
      <c r="A232" s="131"/>
      <c r="B232" s="137"/>
      <c r="C232" s="87">
        <v>41155</v>
      </c>
      <c r="D232" s="74">
        <v>8526720.68</v>
      </c>
      <c r="E232" s="70">
        <v>41180</v>
      </c>
      <c r="F232" s="8">
        <v>8526720.68</v>
      </c>
      <c r="G232" s="71" t="s">
        <v>53</v>
      </c>
      <c r="H232" s="10"/>
    </row>
    <row r="233" spans="1:8" ht="12.75" customHeight="1" hidden="1" outlineLevel="1">
      <c r="A233" s="131"/>
      <c r="B233" s="137"/>
      <c r="C233" s="87" t="s">
        <v>78</v>
      </c>
      <c r="D233" s="74">
        <v>37761146.28</v>
      </c>
      <c r="E233" s="70">
        <v>41212</v>
      </c>
      <c r="F233" s="8">
        <v>37761146.28</v>
      </c>
      <c r="G233" s="71" t="s">
        <v>53</v>
      </c>
      <c r="H233" s="10"/>
    </row>
    <row r="234" spans="1:8" ht="12.75" customHeight="1" hidden="1" outlineLevel="1">
      <c r="A234" s="131"/>
      <c r="B234" s="137"/>
      <c r="C234" s="87">
        <v>41213</v>
      </c>
      <c r="D234" s="74">
        <v>15384376.4100001</v>
      </c>
      <c r="E234" s="70">
        <v>41228</v>
      </c>
      <c r="F234" s="8">
        <v>15384376.41</v>
      </c>
      <c r="G234" s="71" t="s">
        <v>53</v>
      </c>
      <c r="H234" s="10"/>
    </row>
    <row r="235" spans="1:8" ht="12.75" customHeight="1" hidden="1" outlineLevel="1">
      <c r="A235" s="131"/>
      <c r="B235" s="137"/>
      <c r="C235" s="87">
        <v>41253</v>
      </c>
      <c r="D235" s="74">
        <v>22207985.69</v>
      </c>
      <c r="E235" s="70">
        <v>41270</v>
      </c>
      <c r="F235" s="8">
        <v>22207985.69</v>
      </c>
      <c r="G235" s="71" t="s">
        <v>53</v>
      </c>
      <c r="H235" s="10"/>
    </row>
    <row r="236" spans="1:8" ht="12.75" customHeight="1" hidden="1" outlineLevel="1">
      <c r="A236" s="131"/>
      <c r="B236" s="137"/>
      <c r="C236" s="87" t="s">
        <v>79</v>
      </c>
      <c r="D236" s="74">
        <v>24054645.2</v>
      </c>
      <c r="E236" s="70">
        <v>41339</v>
      </c>
      <c r="F236" s="8">
        <v>24054645.2</v>
      </c>
      <c r="G236" s="71" t="s">
        <v>53</v>
      </c>
      <c r="H236" s="10"/>
    </row>
    <row r="237" spans="1:8" ht="12.75" customHeight="1" hidden="1" outlineLevel="1">
      <c r="A237" s="131"/>
      <c r="B237" s="137"/>
      <c r="C237" s="87">
        <v>41313</v>
      </c>
      <c r="D237" s="74">
        <v>51579010.93</v>
      </c>
      <c r="E237" s="70">
        <v>41339</v>
      </c>
      <c r="F237" s="8">
        <v>51579010.93</v>
      </c>
      <c r="G237" s="71" t="s">
        <v>53</v>
      </c>
      <c r="H237" s="10"/>
    </row>
    <row r="238" spans="1:8" ht="12.75" customHeight="1" hidden="1" outlineLevel="1">
      <c r="A238" s="131"/>
      <c r="B238" s="137"/>
      <c r="C238" s="87">
        <v>41346</v>
      </c>
      <c r="D238" s="74">
        <v>10672608.89</v>
      </c>
      <c r="E238" s="70">
        <v>41402</v>
      </c>
      <c r="F238" s="8">
        <v>10672608.89</v>
      </c>
      <c r="G238" s="71" t="s">
        <v>53</v>
      </c>
      <c r="H238" s="10"/>
    </row>
    <row r="239" spans="1:8" ht="12.75" customHeight="1" hidden="1" outlineLevel="1">
      <c r="A239" s="131"/>
      <c r="B239" s="137"/>
      <c r="C239" s="87">
        <v>41376</v>
      </c>
      <c r="D239" s="74">
        <v>19833468.16</v>
      </c>
      <c r="E239" s="70">
        <v>41421</v>
      </c>
      <c r="F239" s="74">
        <v>19833468.16</v>
      </c>
      <c r="G239" s="71" t="s">
        <v>53</v>
      </c>
      <c r="H239" s="10"/>
    </row>
    <row r="240" spans="1:8" ht="12.75" customHeight="1" hidden="1" outlineLevel="1">
      <c r="A240" s="131"/>
      <c r="B240" s="137"/>
      <c r="C240" s="87">
        <v>41408</v>
      </c>
      <c r="D240" s="74">
        <v>25053949.86</v>
      </c>
      <c r="E240" s="70">
        <v>41438</v>
      </c>
      <c r="F240" s="74">
        <v>25053949.86</v>
      </c>
      <c r="G240" s="71" t="s">
        <v>53</v>
      </c>
      <c r="H240" s="10"/>
    </row>
    <row r="241" spans="1:8" ht="12.75" customHeight="1" hidden="1" outlineLevel="1">
      <c r="A241" s="131"/>
      <c r="B241" s="137"/>
      <c r="C241" s="87">
        <v>41437</v>
      </c>
      <c r="D241" s="74">
        <v>24489202.99</v>
      </c>
      <c r="E241" s="70">
        <v>41460</v>
      </c>
      <c r="F241" s="74">
        <v>24489202.99</v>
      </c>
      <c r="G241" s="71" t="s">
        <v>53</v>
      </c>
      <c r="H241" s="10"/>
    </row>
    <row r="242" spans="1:8" ht="12.75" customHeight="1" hidden="1" outlineLevel="1">
      <c r="A242" s="131"/>
      <c r="B242" s="137"/>
      <c r="C242" s="87">
        <v>41467</v>
      </c>
      <c r="D242" s="74">
        <v>39645238.45</v>
      </c>
      <c r="E242" s="70">
        <v>41500</v>
      </c>
      <c r="F242" s="74">
        <v>39645238.45</v>
      </c>
      <c r="G242" s="71" t="s">
        <v>53</v>
      </c>
      <c r="H242" s="10"/>
    </row>
    <row r="243" spans="1:8" ht="12.75" customHeight="1" hidden="1" outlineLevel="1">
      <c r="A243" s="131"/>
      <c r="B243" s="137"/>
      <c r="C243" s="87" t="s">
        <v>82</v>
      </c>
      <c r="D243" s="74">
        <v>21404873.97</v>
      </c>
      <c r="E243" s="70">
        <v>41522</v>
      </c>
      <c r="F243" s="74">
        <v>21404873.97</v>
      </c>
      <c r="G243" s="71" t="s">
        <v>53</v>
      </c>
      <c r="H243" s="10"/>
    </row>
    <row r="244" spans="1:8" ht="12.75" customHeight="1" hidden="1" outlineLevel="1">
      <c r="A244" s="131"/>
      <c r="B244" s="137"/>
      <c r="C244" s="87">
        <v>41528</v>
      </c>
      <c r="D244" s="74">
        <v>22748493.84</v>
      </c>
      <c r="E244" s="70">
        <v>41563</v>
      </c>
      <c r="F244" s="74">
        <v>22748493.84</v>
      </c>
      <c r="G244" s="71" t="s">
        <v>53</v>
      </c>
      <c r="H244" s="10"/>
    </row>
    <row r="245" spans="1:8" ht="12.75" customHeight="1" hidden="1" outlineLevel="1">
      <c r="A245" s="131"/>
      <c r="B245" s="137"/>
      <c r="C245" s="87" t="s">
        <v>83</v>
      </c>
      <c r="D245" s="74">
        <v>17173733.41</v>
      </c>
      <c r="E245" s="70">
        <v>41578</v>
      </c>
      <c r="F245" s="74">
        <v>17173733.41</v>
      </c>
      <c r="G245" s="71" t="s">
        <v>53</v>
      </c>
      <c r="H245" s="10"/>
    </row>
    <row r="246" spans="1:8" ht="12.75" customHeight="1" hidden="1" outlineLevel="1">
      <c r="A246" s="131"/>
      <c r="B246" s="137"/>
      <c r="C246" s="87">
        <v>41586</v>
      </c>
      <c r="D246" s="74">
        <v>22593545.87</v>
      </c>
      <c r="E246" s="70">
        <v>41599</v>
      </c>
      <c r="F246" s="74">
        <v>22593545.87</v>
      </c>
      <c r="G246" s="71" t="s">
        <v>53</v>
      </c>
      <c r="H246" s="10"/>
    </row>
    <row r="247" spans="1:8" ht="12.75" customHeight="1" hidden="1" outlineLevel="1">
      <c r="A247" s="131"/>
      <c r="B247" s="137"/>
      <c r="C247" s="87" t="s">
        <v>84</v>
      </c>
      <c r="D247" s="74">
        <v>20760879.38</v>
      </c>
      <c r="E247" s="70">
        <v>41690</v>
      </c>
      <c r="F247" s="74">
        <v>20760879.38</v>
      </c>
      <c r="G247" s="51" t="s">
        <v>53</v>
      </c>
      <c r="H247" s="10"/>
    </row>
    <row r="248" spans="1:8" ht="12.75" customHeight="1" hidden="1" outlineLevel="1">
      <c r="A248" s="131"/>
      <c r="B248" s="137"/>
      <c r="C248" s="87">
        <v>41656</v>
      </c>
      <c r="D248" s="74">
        <v>33251529.97</v>
      </c>
      <c r="E248" s="70">
        <v>41793</v>
      </c>
      <c r="F248" s="74">
        <v>33251529.97</v>
      </c>
      <c r="G248" s="51" t="s">
        <v>53</v>
      </c>
      <c r="H248" s="10"/>
    </row>
    <row r="249" spans="1:8" ht="12.75" customHeight="1" hidden="1" outlineLevel="1">
      <c r="A249" s="131"/>
      <c r="B249" s="137"/>
      <c r="C249" s="87">
        <v>41683</v>
      </c>
      <c r="D249" s="74">
        <v>45329966.35</v>
      </c>
      <c r="E249" s="70">
        <v>41793</v>
      </c>
      <c r="F249" s="74">
        <v>45329966.35</v>
      </c>
      <c r="G249" s="51" t="s">
        <v>53</v>
      </c>
      <c r="H249" s="10"/>
    </row>
    <row r="250" spans="1:8" ht="12.75" customHeight="1" hidden="1" outlineLevel="1">
      <c r="A250" s="131"/>
      <c r="B250" s="137"/>
      <c r="C250" s="87">
        <v>41715</v>
      </c>
      <c r="D250" s="74">
        <v>9801566.88</v>
      </c>
      <c r="E250" s="70">
        <v>41793</v>
      </c>
      <c r="F250" s="74">
        <v>9801566.88</v>
      </c>
      <c r="G250" s="51" t="s">
        <v>53</v>
      </c>
      <c r="H250" s="10"/>
    </row>
    <row r="251" spans="1:8" ht="12.75" customHeight="1" hidden="1" outlineLevel="1">
      <c r="A251" s="131"/>
      <c r="B251" s="137"/>
      <c r="C251" s="87">
        <v>41739</v>
      </c>
      <c r="D251" s="74">
        <v>34525960.47</v>
      </c>
      <c r="E251" s="70">
        <v>41793</v>
      </c>
      <c r="F251" s="74">
        <v>34525960.47</v>
      </c>
      <c r="G251" s="51" t="s">
        <v>53</v>
      </c>
      <c r="H251" s="10"/>
    </row>
    <row r="252" spans="1:8" ht="12.75" customHeight="1" hidden="1" outlineLevel="1">
      <c r="A252" s="131"/>
      <c r="B252" s="137"/>
      <c r="C252" s="87">
        <v>41778</v>
      </c>
      <c r="D252" s="74">
        <v>34531436.32</v>
      </c>
      <c r="E252" s="70">
        <v>41816</v>
      </c>
      <c r="F252" s="74">
        <v>34531436.32</v>
      </c>
      <c r="G252" s="51" t="s">
        <v>53</v>
      </c>
      <c r="H252" s="10"/>
    </row>
    <row r="253" spans="1:8" ht="12.75" customHeight="1" hidden="1" outlineLevel="1">
      <c r="A253" s="131"/>
      <c r="B253" s="137"/>
      <c r="C253" s="87">
        <v>41806</v>
      </c>
      <c r="D253" s="74">
        <v>17452890.51</v>
      </c>
      <c r="E253" s="70">
        <v>41824</v>
      </c>
      <c r="F253" s="74">
        <v>17452890.51</v>
      </c>
      <c r="G253" s="51" t="s">
        <v>53</v>
      </c>
      <c r="H253" s="10"/>
    </row>
    <row r="254" spans="1:8" ht="12.75" customHeight="1" hidden="1" outlineLevel="1">
      <c r="A254" s="131"/>
      <c r="B254" s="137"/>
      <c r="C254" s="87">
        <v>41836</v>
      </c>
      <c r="D254" s="74">
        <v>15084936.77</v>
      </c>
      <c r="E254" s="70">
        <v>41857</v>
      </c>
      <c r="F254" s="74">
        <v>15084936.77</v>
      </c>
      <c r="G254" s="51" t="s">
        <v>53</v>
      </c>
      <c r="H254" s="10"/>
    </row>
    <row r="255" spans="1:8" ht="12.75" customHeight="1" hidden="1" outlineLevel="1">
      <c r="A255" s="131"/>
      <c r="B255" s="137"/>
      <c r="C255" s="87">
        <v>41863</v>
      </c>
      <c r="D255" s="74">
        <v>30232905</v>
      </c>
      <c r="E255" s="70">
        <v>41885</v>
      </c>
      <c r="F255" s="74">
        <v>30232905</v>
      </c>
      <c r="G255" s="51" t="s">
        <v>53</v>
      </c>
      <c r="H255" s="10"/>
    </row>
    <row r="256" spans="1:8" ht="12.75" customHeight="1" hidden="1" outlineLevel="1">
      <c r="A256" s="131"/>
      <c r="B256" s="137"/>
      <c r="C256" s="87">
        <v>41891</v>
      </c>
      <c r="D256" s="74">
        <v>21693052.67</v>
      </c>
      <c r="E256" s="70">
        <v>41913</v>
      </c>
      <c r="F256" s="74">
        <v>21693052.67</v>
      </c>
      <c r="G256" s="51" t="s">
        <v>53</v>
      </c>
      <c r="H256" s="10"/>
    </row>
    <row r="257" spans="1:8" ht="12.75" customHeight="1" hidden="1" outlineLevel="1">
      <c r="A257" s="131"/>
      <c r="B257" s="137"/>
      <c r="C257" s="87">
        <v>41922</v>
      </c>
      <c r="D257" s="74">
        <v>30851459.84</v>
      </c>
      <c r="E257" s="70">
        <v>41941</v>
      </c>
      <c r="F257" s="74">
        <v>30851459.84</v>
      </c>
      <c r="G257" s="51" t="s">
        <v>53</v>
      </c>
      <c r="H257" s="10"/>
    </row>
    <row r="258" spans="1:8" ht="12.75" customHeight="1" hidden="1" outlineLevel="1">
      <c r="A258" s="131"/>
      <c r="B258" s="137"/>
      <c r="C258" s="87">
        <v>41991</v>
      </c>
      <c r="D258" s="74">
        <v>1499029.15</v>
      </c>
      <c r="E258" s="70">
        <v>42006</v>
      </c>
      <c r="F258" s="74">
        <v>1499029.15</v>
      </c>
      <c r="G258" s="51" t="s">
        <v>53</v>
      </c>
      <c r="H258" s="10"/>
    </row>
    <row r="259" spans="1:8" ht="12.75" customHeight="1" hidden="1" outlineLevel="1">
      <c r="A259" s="131"/>
      <c r="B259" s="137"/>
      <c r="C259" s="87">
        <v>42072</v>
      </c>
      <c r="D259" s="74">
        <v>85018318.63</v>
      </c>
      <c r="E259" s="70">
        <v>42118</v>
      </c>
      <c r="F259" s="74">
        <v>85018318.63</v>
      </c>
      <c r="G259" s="51" t="s">
        <v>53</v>
      </c>
      <c r="H259" s="10"/>
    </row>
    <row r="260" spans="1:8" ht="12.75" customHeight="1" hidden="1" outlineLevel="1">
      <c r="A260" s="131"/>
      <c r="B260" s="137"/>
      <c r="C260" s="87">
        <v>42135</v>
      </c>
      <c r="D260" s="74">
        <v>30794101.91</v>
      </c>
      <c r="E260" s="70">
        <v>42159</v>
      </c>
      <c r="F260" s="74">
        <v>30794101.91</v>
      </c>
      <c r="G260" s="51" t="s">
        <v>53</v>
      </c>
      <c r="H260" s="10"/>
    </row>
    <row r="261" spans="1:8" ht="12.75" customHeight="1" hidden="1" outlineLevel="1">
      <c r="A261" s="131"/>
      <c r="B261" s="137"/>
      <c r="C261" s="87">
        <v>42174</v>
      </c>
      <c r="D261" s="74">
        <v>55711687.96</v>
      </c>
      <c r="E261" s="70">
        <v>42227</v>
      </c>
      <c r="F261" s="74">
        <v>55711687.96</v>
      </c>
      <c r="G261" s="99" t="s">
        <v>53</v>
      </c>
      <c r="H261" s="10"/>
    </row>
    <row r="262" spans="1:8" ht="12.75" customHeight="1" hidden="1" outlineLevel="1">
      <c r="A262" s="131"/>
      <c r="B262" s="137"/>
      <c r="C262" s="87">
        <v>42249</v>
      </c>
      <c r="D262" s="74">
        <v>41392074.9</v>
      </c>
      <c r="E262" s="70">
        <v>42278</v>
      </c>
      <c r="F262" s="74">
        <v>41392074.9</v>
      </c>
      <c r="G262" s="99" t="s">
        <v>53</v>
      </c>
      <c r="H262" s="10"/>
    </row>
    <row r="263" spans="1:8" ht="12.75" customHeight="1" hidden="1" outlineLevel="1">
      <c r="A263" s="131"/>
      <c r="B263" s="137"/>
      <c r="C263" s="87">
        <v>42310</v>
      </c>
      <c r="D263" s="74">
        <v>18972790.41</v>
      </c>
      <c r="E263" s="70">
        <v>42348</v>
      </c>
      <c r="F263" s="74">
        <v>18972790.41</v>
      </c>
      <c r="G263" s="99" t="s">
        <v>53</v>
      </c>
      <c r="H263" s="10"/>
    </row>
    <row r="264" spans="1:8" ht="12.75" customHeight="1" hidden="1" outlineLevel="1">
      <c r="A264" s="131"/>
      <c r="B264" s="137"/>
      <c r="C264" s="87">
        <v>42377</v>
      </c>
      <c r="D264" s="74">
        <v>0</v>
      </c>
      <c r="E264" s="70"/>
      <c r="F264" s="74"/>
      <c r="G264" s="99" t="s">
        <v>101</v>
      </c>
      <c r="H264" s="10"/>
    </row>
    <row r="265" spans="1:8" ht="12.75" customHeight="1" hidden="1" outlineLevel="1">
      <c r="A265" s="131"/>
      <c r="B265" s="137"/>
      <c r="C265" s="87">
        <v>42429</v>
      </c>
      <c r="D265" s="74" t="s">
        <v>95</v>
      </c>
      <c r="E265" s="70"/>
      <c r="F265" s="74"/>
      <c r="G265" s="99" t="s">
        <v>101</v>
      </c>
      <c r="H265" s="10"/>
    </row>
    <row r="266" spans="1:8" ht="12.75" customHeight="1" hidden="1" outlineLevel="1">
      <c r="A266" s="131"/>
      <c r="B266" s="137"/>
      <c r="C266" s="87">
        <v>42551</v>
      </c>
      <c r="D266" s="74">
        <v>0</v>
      </c>
      <c r="E266" s="70"/>
      <c r="F266" s="74"/>
      <c r="G266" s="99" t="s">
        <v>101</v>
      </c>
      <c r="H266" s="10"/>
    </row>
    <row r="267" spans="1:8" ht="13.5" customHeight="1" hidden="1" outlineLevel="1" thickBot="1">
      <c r="A267" s="132"/>
      <c r="B267" s="138"/>
      <c r="C267" s="87">
        <v>42821</v>
      </c>
      <c r="D267" s="74">
        <v>85564286.5</v>
      </c>
      <c r="E267" s="7">
        <v>43311</v>
      </c>
      <c r="F267" s="74">
        <v>85564286.5</v>
      </c>
      <c r="G267" s="101" t="s">
        <v>103</v>
      </c>
      <c r="H267" s="10"/>
    </row>
    <row r="268" spans="1:8" ht="13.5" collapsed="1" thickBot="1">
      <c r="A268" s="66" t="s">
        <v>10</v>
      </c>
      <c r="B268" s="12"/>
      <c r="C268" s="13"/>
      <c r="D268" s="14">
        <f>SUM(D202:D267)</f>
        <v>1557989952.7400002</v>
      </c>
      <c r="E268" s="13"/>
      <c r="F268" s="14">
        <f>SUM(F202:F267)</f>
        <v>1711285730.0000005</v>
      </c>
      <c r="G268" s="15"/>
      <c r="H268" s="14">
        <f>SUM(H202:H267)</f>
        <v>181348421.10283712</v>
      </c>
    </row>
    <row r="269" spans="1:9" ht="13.5" thickBot="1">
      <c r="A269" s="66" t="s">
        <v>11</v>
      </c>
      <c r="B269" s="12"/>
      <c r="C269" s="13"/>
      <c r="D269" s="14">
        <f>SUM(D201+D268)</f>
        <v>2905294436.620001</v>
      </c>
      <c r="E269" s="13"/>
      <c r="F269" s="14">
        <f>SUM(F201+F268)</f>
        <v>3251062283.000001</v>
      </c>
      <c r="G269" s="18"/>
      <c r="H269" s="14">
        <f>SUM(H201+H268)</f>
        <v>423776565.6779852</v>
      </c>
      <c r="I269" s="44"/>
    </row>
    <row r="270" spans="4:9" ht="13.5" thickBot="1">
      <c r="D270" s="67">
        <f>SUM(D79+D136+D269)</f>
        <v>4076990582.250001</v>
      </c>
      <c r="E270" s="68"/>
      <c r="F270" s="69">
        <f>SUM(F79+F136+F269)</f>
        <v>4530447634.000001</v>
      </c>
      <c r="H270" s="69">
        <f>SUM(H79+H136+H269)</f>
        <v>720321068.8348337</v>
      </c>
      <c r="I270" s="44"/>
    </row>
    <row r="271" ht="12.75">
      <c r="G271" s="44"/>
    </row>
    <row r="272" spans="1:9" ht="12.75">
      <c r="A272" s="1" t="s">
        <v>97</v>
      </c>
      <c r="I272" s="44"/>
    </row>
    <row r="273" ht="12.75">
      <c r="A273" s="1" t="s">
        <v>102</v>
      </c>
    </row>
    <row r="274" spans="1:9" ht="12.75">
      <c r="A274" s="1" t="s">
        <v>104</v>
      </c>
      <c r="F274" s="47"/>
      <c r="I274" s="44"/>
    </row>
    <row r="275" spans="1:9" ht="63.75" customHeight="1">
      <c r="A275" s="115" t="s">
        <v>107</v>
      </c>
      <c r="B275" s="133"/>
      <c r="C275" s="133"/>
      <c r="D275" s="133"/>
      <c r="E275" s="133"/>
      <c r="F275" s="133"/>
      <c r="G275" s="133"/>
      <c r="H275" s="133"/>
      <c r="I275" s="133"/>
    </row>
    <row r="276" spans="1:9" ht="29.25" customHeight="1">
      <c r="A276" s="115" t="s">
        <v>108</v>
      </c>
      <c r="B276" s="115"/>
      <c r="C276" s="115"/>
      <c r="D276" s="115"/>
      <c r="E276" s="115"/>
      <c r="F276" s="115"/>
      <c r="G276" s="115"/>
      <c r="H276" s="115"/>
      <c r="I276" s="115"/>
    </row>
    <row r="465" ht="12.75"/>
    <row r="466" ht="12.75"/>
    <row r="468" ht="12.75"/>
  </sheetData>
  <sheetProtection/>
  <mergeCells count="21">
    <mergeCell ref="D3:D4"/>
    <mergeCell ref="G3:G4"/>
    <mergeCell ref="B5:B78"/>
    <mergeCell ref="E3:E4"/>
    <mergeCell ref="C3:C4"/>
    <mergeCell ref="A202:A267"/>
    <mergeCell ref="A275:I275"/>
    <mergeCell ref="A5:A78"/>
    <mergeCell ref="B202:B267"/>
    <mergeCell ref="F3:F4"/>
    <mergeCell ref="G206:G208"/>
    <mergeCell ref="A1:G1"/>
    <mergeCell ref="B80:B135"/>
    <mergeCell ref="A137:A200"/>
    <mergeCell ref="B137:B200"/>
    <mergeCell ref="A80:A135"/>
    <mergeCell ref="A276:I276"/>
    <mergeCell ref="C190:C191"/>
    <mergeCell ref="D190:D191"/>
    <mergeCell ref="H3:H4"/>
    <mergeCell ref="B3:B4"/>
  </mergeCells>
  <printOptions/>
  <pageMargins left="0.5511811023622047" right="0.7480314960629921" top="0.1968503937007874" bottom="0.1968503937007874" header="0.11811023622047245" footer="0.11811023622047245"/>
  <pageSetup horizontalDpi="600" verticalDpi="600" orientation="portrait" paperSize="9" scale="4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E64"/>
  <sheetViews>
    <sheetView tabSelected="1" zoomScale="90" zoomScaleNormal="90" zoomScalePageLayoutView="0" workbookViewId="0" topLeftCell="A1">
      <pane xSplit="13" ySplit="3" topLeftCell="EA4" activePane="bottomRight" state="frozen"/>
      <selection pane="topLeft" activeCell="A1" sqref="A1"/>
      <selection pane="topRight" activeCell="N1" sqref="N1"/>
      <selection pane="bottomLeft" activeCell="A4" sqref="A4"/>
      <selection pane="bottomRight" activeCell="GD58" sqref="GD58"/>
    </sheetView>
  </sheetViews>
  <sheetFormatPr defaultColWidth="9.140625" defaultRowHeight="12.75" outlineLevelRow="1" outlineLevelCol="2"/>
  <cols>
    <col min="1" max="1" width="50.8515625" style="19" customWidth="1"/>
    <col min="2" max="13" width="15.8515625" style="19" hidden="1" customWidth="1" outlineLevel="1"/>
    <col min="14" max="14" width="15.8515625" style="19" hidden="1" customWidth="1" outlineLevel="1" collapsed="1"/>
    <col min="15" max="26" width="15.8515625" style="19" hidden="1" customWidth="1" outlineLevel="2"/>
    <col min="27" max="27" width="15.8515625" style="19" hidden="1" customWidth="1" outlineLevel="1" collapsed="1"/>
    <col min="28" max="39" width="15.8515625" style="19" hidden="1" customWidth="1" outlineLevel="2"/>
    <col min="40" max="40" width="15.8515625" style="19" hidden="1" customWidth="1" outlineLevel="1" collapsed="1"/>
    <col min="41" max="52" width="15.8515625" style="19" hidden="1" customWidth="1" outlineLevel="2"/>
    <col min="53" max="53" width="15.8515625" style="19" hidden="1" customWidth="1" outlineLevel="1" collapsed="1"/>
    <col min="54" max="65" width="15.8515625" style="19" hidden="1" customWidth="1" outlineLevel="2"/>
    <col min="66" max="66" width="15.8515625" style="19" hidden="1" customWidth="1" outlineLevel="1" collapsed="1"/>
    <col min="67" max="76" width="15.8515625" style="19" hidden="1" customWidth="1" outlineLevel="2"/>
    <col min="77" max="77" width="17.8515625" style="19" hidden="1" customWidth="1" outlineLevel="2"/>
    <col min="78" max="78" width="15.8515625" style="19" hidden="1" customWidth="1" outlineLevel="2"/>
    <col min="79" max="79" width="15.8515625" style="19" hidden="1" customWidth="1" outlineLevel="1" collapsed="1"/>
    <col min="80" max="91" width="15.8515625" style="19" hidden="1" customWidth="1" outlineLevel="2"/>
    <col min="92" max="92" width="17.8515625" style="19" hidden="1" customWidth="1" outlineLevel="1" collapsed="1"/>
    <col min="93" max="94" width="17.421875" style="19" hidden="1" customWidth="1" outlineLevel="2"/>
    <col min="95" max="104" width="15.421875" style="19" hidden="1" customWidth="1" outlineLevel="2"/>
    <col min="105" max="105" width="15.8515625" style="19" hidden="1" customWidth="1" outlineLevel="1" collapsed="1"/>
    <col min="106" max="117" width="15.8515625" style="19" hidden="1" customWidth="1" outlineLevel="2"/>
    <col min="118" max="118" width="15.8515625" style="19" hidden="1" customWidth="1" outlineLevel="1" collapsed="1"/>
    <col min="119" max="130" width="15.8515625" style="19" hidden="1" customWidth="1" outlineLevel="1"/>
    <col min="131" max="131" width="15.8515625" style="19" customWidth="1" collapsed="1"/>
    <col min="132" max="143" width="15.8515625" style="19" hidden="1" customWidth="1" outlineLevel="1"/>
    <col min="144" max="144" width="15.8515625" style="19" customWidth="1" collapsed="1"/>
    <col min="145" max="156" width="15.8515625" style="19" hidden="1" customWidth="1" outlineLevel="1"/>
    <col min="157" max="157" width="15.8515625" style="19" customWidth="1" collapsed="1"/>
    <col min="158" max="169" width="15.8515625" style="19" hidden="1" customWidth="1" outlineLevel="1"/>
    <col min="170" max="170" width="15.8515625" style="19" customWidth="1" collapsed="1"/>
    <col min="171" max="182" width="15.8515625" style="19" hidden="1" customWidth="1" outlineLevel="1"/>
    <col min="183" max="183" width="15.8515625" style="19" customWidth="1" collapsed="1"/>
    <col min="184" max="184" width="19.140625" style="19" customWidth="1"/>
    <col min="185" max="185" width="10.8515625" style="19" bestFit="1" customWidth="1"/>
    <col min="186" max="186" width="13.00390625" style="19" bestFit="1" customWidth="1"/>
    <col min="187" max="187" width="16.140625" style="19" customWidth="1"/>
    <col min="188" max="16384" width="9.140625" style="19" customWidth="1"/>
  </cols>
  <sheetData>
    <row r="1" spans="1:184" ht="32.25" customHeight="1">
      <c r="A1" s="151" t="s">
        <v>113</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52"/>
      <c r="FD1" s="152"/>
      <c r="FE1" s="152"/>
      <c r="FF1" s="152"/>
      <c r="FG1" s="152"/>
      <c r="FH1" s="152"/>
      <c r="FI1" s="152"/>
      <c r="FJ1" s="152"/>
      <c r="FK1" s="152"/>
      <c r="FL1" s="152"/>
      <c r="FM1" s="152"/>
      <c r="FN1" s="152"/>
      <c r="FO1" s="152"/>
      <c r="FP1" s="152"/>
      <c r="FQ1" s="152"/>
      <c r="FR1" s="152"/>
      <c r="FS1" s="152"/>
      <c r="FT1" s="152"/>
      <c r="FU1" s="152"/>
      <c r="FV1" s="152"/>
      <c r="FW1" s="152"/>
      <c r="FX1" s="152"/>
      <c r="FY1" s="152"/>
      <c r="FZ1" s="152"/>
      <c r="GA1" s="152"/>
      <c r="GB1" s="153"/>
    </row>
    <row r="2" spans="1:184" s="23" customFormat="1" ht="15" customHeight="1" thickBot="1">
      <c r="A2" s="20"/>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2"/>
    </row>
    <row r="3" spans="1:184" s="23" customFormat="1" ht="25.5" customHeight="1" thickBot="1">
      <c r="A3" s="24"/>
      <c r="B3" s="25" t="s">
        <v>12</v>
      </c>
      <c r="C3" s="25" t="s">
        <v>13</v>
      </c>
      <c r="D3" s="26" t="s">
        <v>14</v>
      </c>
      <c r="E3" s="26" t="s">
        <v>15</v>
      </c>
      <c r="F3" s="26" t="s">
        <v>16</v>
      </c>
      <c r="G3" s="26" t="s">
        <v>17</v>
      </c>
      <c r="H3" s="26" t="s">
        <v>18</v>
      </c>
      <c r="I3" s="26" t="s">
        <v>19</v>
      </c>
      <c r="J3" s="26" t="s">
        <v>20</v>
      </c>
      <c r="K3" s="26" t="s">
        <v>21</v>
      </c>
      <c r="L3" s="26" t="s">
        <v>22</v>
      </c>
      <c r="M3" s="27" t="s">
        <v>23</v>
      </c>
      <c r="N3" s="28" t="s">
        <v>24</v>
      </c>
      <c r="O3" s="25" t="s">
        <v>12</v>
      </c>
      <c r="P3" s="25" t="s">
        <v>13</v>
      </c>
      <c r="Q3" s="26" t="s">
        <v>14</v>
      </c>
      <c r="R3" s="26" t="s">
        <v>15</v>
      </c>
      <c r="S3" s="26" t="s">
        <v>16</v>
      </c>
      <c r="T3" s="26" t="s">
        <v>17</v>
      </c>
      <c r="U3" s="26" t="s">
        <v>18</v>
      </c>
      <c r="V3" s="26" t="s">
        <v>19</v>
      </c>
      <c r="W3" s="26" t="s">
        <v>20</v>
      </c>
      <c r="X3" s="26" t="s">
        <v>21</v>
      </c>
      <c r="Y3" s="26" t="s">
        <v>22</v>
      </c>
      <c r="Z3" s="27" t="s">
        <v>23</v>
      </c>
      <c r="AA3" s="28" t="s">
        <v>25</v>
      </c>
      <c r="AB3" s="25" t="s">
        <v>12</v>
      </c>
      <c r="AC3" s="25" t="s">
        <v>13</v>
      </c>
      <c r="AD3" s="26" t="s">
        <v>14</v>
      </c>
      <c r="AE3" s="26" t="s">
        <v>15</v>
      </c>
      <c r="AF3" s="26" t="s">
        <v>16</v>
      </c>
      <c r="AG3" s="26" t="s">
        <v>17</v>
      </c>
      <c r="AH3" s="26" t="s">
        <v>18</v>
      </c>
      <c r="AI3" s="26" t="s">
        <v>19</v>
      </c>
      <c r="AJ3" s="26" t="s">
        <v>20</v>
      </c>
      <c r="AK3" s="26" t="s">
        <v>21</v>
      </c>
      <c r="AL3" s="26" t="s">
        <v>22</v>
      </c>
      <c r="AM3" s="27" t="s">
        <v>23</v>
      </c>
      <c r="AN3" s="28" t="s">
        <v>26</v>
      </c>
      <c r="AO3" s="25" t="s">
        <v>12</v>
      </c>
      <c r="AP3" s="25" t="s">
        <v>13</v>
      </c>
      <c r="AQ3" s="26" t="s">
        <v>14</v>
      </c>
      <c r="AR3" s="26" t="s">
        <v>15</v>
      </c>
      <c r="AS3" s="26" t="s">
        <v>16</v>
      </c>
      <c r="AT3" s="26" t="s">
        <v>17</v>
      </c>
      <c r="AU3" s="26" t="s">
        <v>18</v>
      </c>
      <c r="AV3" s="26" t="s">
        <v>19</v>
      </c>
      <c r="AW3" s="26" t="s">
        <v>20</v>
      </c>
      <c r="AX3" s="26" t="s">
        <v>21</v>
      </c>
      <c r="AY3" s="26" t="s">
        <v>22</v>
      </c>
      <c r="AZ3" s="27" t="s">
        <v>23</v>
      </c>
      <c r="BA3" s="28" t="s">
        <v>27</v>
      </c>
      <c r="BB3" s="25" t="s">
        <v>12</v>
      </c>
      <c r="BC3" s="25" t="s">
        <v>13</v>
      </c>
      <c r="BD3" s="26" t="s">
        <v>14</v>
      </c>
      <c r="BE3" s="26" t="s">
        <v>15</v>
      </c>
      <c r="BF3" s="26" t="s">
        <v>16</v>
      </c>
      <c r="BG3" s="26" t="s">
        <v>17</v>
      </c>
      <c r="BH3" s="26" t="s">
        <v>18</v>
      </c>
      <c r="BI3" s="26" t="s">
        <v>19</v>
      </c>
      <c r="BJ3" s="26" t="s">
        <v>20</v>
      </c>
      <c r="BK3" s="26" t="s">
        <v>21</v>
      </c>
      <c r="BL3" s="26" t="s">
        <v>22</v>
      </c>
      <c r="BM3" s="27" t="s">
        <v>23</v>
      </c>
      <c r="BN3" s="28" t="s">
        <v>28</v>
      </c>
      <c r="BO3" s="25" t="s">
        <v>12</v>
      </c>
      <c r="BP3" s="25" t="s">
        <v>13</v>
      </c>
      <c r="BQ3" s="26" t="s">
        <v>14</v>
      </c>
      <c r="BR3" s="26" t="s">
        <v>15</v>
      </c>
      <c r="BS3" s="26" t="s">
        <v>80</v>
      </c>
      <c r="BT3" s="26" t="s">
        <v>17</v>
      </c>
      <c r="BU3" s="26" t="s">
        <v>18</v>
      </c>
      <c r="BV3" s="26" t="s">
        <v>19</v>
      </c>
      <c r="BW3" s="26" t="s">
        <v>20</v>
      </c>
      <c r="BX3" s="26" t="s">
        <v>21</v>
      </c>
      <c r="BY3" s="26" t="s">
        <v>22</v>
      </c>
      <c r="BZ3" s="27" t="s">
        <v>23</v>
      </c>
      <c r="CA3" s="28" t="s">
        <v>29</v>
      </c>
      <c r="CB3" s="25" t="s">
        <v>12</v>
      </c>
      <c r="CC3" s="25" t="s">
        <v>13</v>
      </c>
      <c r="CD3" s="26" t="s">
        <v>14</v>
      </c>
      <c r="CE3" s="26" t="s">
        <v>15</v>
      </c>
      <c r="CF3" s="26" t="s">
        <v>80</v>
      </c>
      <c r="CG3" s="26" t="s">
        <v>17</v>
      </c>
      <c r="CH3" s="26" t="s">
        <v>18</v>
      </c>
      <c r="CI3" s="26" t="s">
        <v>19</v>
      </c>
      <c r="CJ3" s="26" t="s">
        <v>20</v>
      </c>
      <c r="CK3" s="26" t="s">
        <v>21</v>
      </c>
      <c r="CL3" s="26" t="s">
        <v>22</v>
      </c>
      <c r="CM3" s="27" t="s">
        <v>23</v>
      </c>
      <c r="CN3" s="28" t="s">
        <v>86</v>
      </c>
      <c r="CO3" s="28" t="s">
        <v>90</v>
      </c>
      <c r="CP3" s="28" t="s">
        <v>91</v>
      </c>
      <c r="CQ3" s="28" t="s">
        <v>14</v>
      </c>
      <c r="CR3" s="28" t="s">
        <v>15</v>
      </c>
      <c r="CS3" s="28" t="s">
        <v>80</v>
      </c>
      <c r="CT3" s="28" t="s">
        <v>17</v>
      </c>
      <c r="CU3" s="28" t="s">
        <v>18</v>
      </c>
      <c r="CV3" s="28" t="s">
        <v>19</v>
      </c>
      <c r="CW3" s="28" t="s">
        <v>20</v>
      </c>
      <c r="CX3" s="28" t="s">
        <v>21</v>
      </c>
      <c r="CY3" s="28" t="s">
        <v>22</v>
      </c>
      <c r="CZ3" s="28" t="s">
        <v>23</v>
      </c>
      <c r="DA3" s="28" t="s">
        <v>89</v>
      </c>
      <c r="DB3" s="28" t="s">
        <v>90</v>
      </c>
      <c r="DC3" s="28" t="s">
        <v>91</v>
      </c>
      <c r="DD3" s="28" t="s">
        <v>14</v>
      </c>
      <c r="DE3" s="28" t="s">
        <v>15</v>
      </c>
      <c r="DF3" s="28" t="s">
        <v>80</v>
      </c>
      <c r="DG3" s="28" t="s">
        <v>17</v>
      </c>
      <c r="DH3" s="28" t="s">
        <v>18</v>
      </c>
      <c r="DI3" s="28" t="s">
        <v>19</v>
      </c>
      <c r="DJ3" s="28" t="s">
        <v>20</v>
      </c>
      <c r="DK3" s="28" t="s">
        <v>21</v>
      </c>
      <c r="DL3" s="28" t="s">
        <v>22</v>
      </c>
      <c r="DM3" s="28" t="s">
        <v>23</v>
      </c>
      <c r="DN3" s="28" t="s">
        <v>94</v>
      </c>
      <c r="DO3" s="28" t="s">
        <v>90</v>
      </c>
      <c r="DP3" s="28" t="s">
        <v>91</v>
      </c>
      <c r="DQ3" s="28" t="s">
        <v>14</v>
      </c>
      <c r="DR3" s="28" t="s">
        <v>15</v>
      </c>
      <c r="DS3" s="28" t="s">
        <v>80</v>
      </c>
      <c r="DT3" s="28" t="s">
        <v>17</v>
      </c>
      <c r="DU3" s="28" t="s">
        <v>18</v>
      </c>
      <c r="DV3" s="28" t="s">
        <v>19</v>
      </c>
      <c r="DW3" s="28" t="s">
        <v>20</v>
      </c>
      <c r="DX3" s="28" t="s">
        <v>21</v>
      </c>
      <c r="DY3" s="28" t="s">
        <v>22</v>
      </c>
      <c r="DZ3" s="28" t="s">
        <v>23</v>
      </c>
      <c r="EA3" s="28" t="s">
        <v>99</v>
      </c>
      <c r="EB3" s="28" t="s">
        <v>90</v>
      </c>
      <c r="EC3" s="28" t="s">
        <v>91</v>
      </c>
      <c r="ED3" s="28" t="s">
        <v>14</v>
      </c>
      <c r="EE3" s="28" t="s">
        <v>15</v>
      </c>
      <c r="EF3" s="28" t="s">
        <v>80</v>
      </c>
      <c r="EG3" s="28" t="s">
        <v>17</v>
      </c>
      <c r="EH3" s="28" t="s">
        <v>18</v>
      </c>
      <c r="EI3" s="28" t="s">
        <v>19</v>
      </c>
      <c r="EJ3" s="28" t="s">
        <v>20</v>
      </c>
      <c r="EK3" s="28" t="s">
        <v>21</v>
      </c>
      <c r="EL3" s="28" t="s">
        <v>22</v>
      </c>
      <c r="EM3" s="28" t="s">
        <v>23</v>
      </c>
      <c r="EN3" s="28" t="s">
        <v>109</v>
      </c>
      <c r="EO3" s="28" t="s">
        <v>90</v>
      </c>
      <c r="EP3" s="28" t="s">
        <v>91</v>
      </c>
      <c r="EQ3" s="28" t="s">
        <v>14</v>
      </c>
      <c r="ER3" s="28" t="s">
        <v>15</v>
      </c>
      <c r="ES3" s="28" t="s">
        <v>80</v>
      </c>
      <c r="ET3" s="28" t="s">
        <v>17</v>
      </c>
      <c r="EU3" s="28" t="s">
        <v>18</v>
      </c>
      <c r="EV3" s="28" t="s">
        <v>19</v>
      </c>
      <c r="EW3" s="28" t="s">
        <v>20</v>
      </c>
      <c r="EX3" s="28" t="s">
        <v>21</v>
      </c>
      <c r="EY3" s="28" t="s">
        <v>22</v>
      </c>
      <c r="EZ3" s="28" t="s">
        <v>23</v>
      </c>
      <c r="FA3" s="28" t="s">
        <v>110</v>
      </c>
      <c r="FB3" s="28" t="s">
        <v>90</v>
      </c>
      <c r="FC3" s="28" t="s">
        <v>91</v>
      </c>
      <c r="FD3" s="28" t="s">
        <v>14</v>
      </c>
      <c r="FE3" s="28" t="s">
        <v>15</v>
      </c>
      <c r="FF3" s="28" t="s">
        <v>80</v>
      </c>
      <c r="FG3" s="28" t="s">
        <v>17</v>
      </c>
      <c r="FH3" s="28" t="s">
        <v>18</v>
      </c>
      <c r="FI3" s="28" t="s">
        <v>19</v>
      </c>
      <c r="FJ3" s="28" t="s">
        <v>20</v>
      </c>
      <c r="FK3" s="28" t="s">
        <v>21</v>
      </c>
      <c r="FL3" s="28" t="s">
        <v>22</v>
      </c>
      <c r="FM3" s="28" t="s">
        <v>23</v>
      </c>
      <c r="FN3" s="28" t="s">
        <v>111</v>
      </c>
      <c r="FO3" s="28" t="s">
        <v>90</v>
      </c>
      <c r="FP3" s="28" t="s">
        <v>91</v>
      </c>
      <c r="FQ3" s="28" t="s">
        <v>14</v>
      </c>
      <c r="FR3" s="28" t="s">
        <v>15</v>
      </c>
      <c r="FS3" s="28" t="s">
        <v>80</v>
      </c>
      <c r="FT3" s="28" t="s">
        <v>17</v>
      </c>
      <c r="FU3" s="28" t="s">
        <v>18</v>
      </c>
      <c r="FV3" s="28" t="s">
        <v>19</v>
      </c>
      <c r="FW3" s="28" t="s">
        <v>20</v>
      </c>
      <c r="FX3" s="28" t="s">
        <v>21</v>
      </c>
      <c r="FY3" s="28" t="s">
        <v>22</v>
      </c>
      <c r="FZ3" s="28" t="s">
        <v>23</v>
      </c>
      <c r="GA3" s="28" t="s">
        <v>112</v>
      </c>
      <c r="GB3" s="29" t="s">
        <v>30</v>
      </c>
    </row>
    <row r="4" spans="1:184" s="23" customFormat="1" ht="28.5" customHeight="1" hidden="1" outlineLevel="1">
      <c r="A4" s="30" t="s">
        <v>4</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8"/>
    </row>
    <row r="5" spans="1:186" s="23" customFormat="1" ht="26.25" customHeight="1" hidden="1" outlineLevel="1">
      <c r="A5" s="31" t="s">
        <v>31</v>
      </c>
      <c r="B5" s="32"/>
      <c r="C5" s="32"/>
      <c r="D5" s="32"/>
      <c r="E5" s="32"/>
      <c r="F5" s="32"/>
      <c r="G5" s="32"/>
      <c r="H5" s="32"/>
      <c r="I5" s="32"/>
      <c r="J5" s="32"/>
      <c r="K5" s="32"/>
      <c r="L5" s="32">
        <v>0</v>
      </c>
      <c r="M5" s="32">
        <v>0</v>
      </c>
      <c r="N5" s="32">
        <f>SUM(B5:M5)</f>
        <v>0</v>
      </c>
      <c r="O5" s="32">
        <v>0</v>
      </c>
      <c r="P5" s="32">
        <v>0</v>
      </c>
      <c r="Q5" s="32">
        <v>0</v>
      </c>
      <c r="R5" s="32">
        <v>0</v>
      </c>
      <c r="S5" s="32">
        <v>0</v>
      </c>
      <c r="T5" s="32">
        <v>0</v>
      </c>
      <c r="U5" s="32">
        <v>0</v>
      </c>
      <c r="V5" s="32">
        <v>0</v>
      </c>
      <c r="W5" s="32">
        <v>0</v>
      </c>
      <c r="X5" s="32">
        <v>0</v>
      </c>
      <c r="Y5" s="32">
        <v>124607.08</v>
      </c>
      <c r="Z5" s="32">
        <v>1054330.18</v>
      </c>
      <c r="AA5" s="32">
        <f>SUM(O5:Z5)</f>
        <v>1178937.26</v>
      </c>
      <c r="AB5" s="32">
        <v>102115.67</v>
      </c>
      <c r="AC5" s="32">
        <v>2170235.52</v>
      </c>
      <c r="AD5" s="32">
        <v>760505.77</v>
      </c>
      <c r="AE5" s="32">
        <v>602547.33</v>
      </c>
      <c r="AF5" s="32">
        <v>2623719.25</v>
      </c>
      <c r="AG5" s="32">
        <v>2108340.38</v>
      </c>
      <c r="AH5" s="32">
        <v>1535685.72</v>
      </c>
      <c r="AI5" s="32">
        <v>4479759.55</v>
      </c>
      <c r="AJ5" s="32">
        <v>404992.34</v>
      </c>
      <c r="AK5" s="32">
        <v>847282.42</v>
      </c>
      <c r="AL5" s="32">
        <v>606339.38</v>
      </c>
      <c r="AM5" s="32">
        <v>5755134.4</v>
      </c>
      <c r="AN5" s="32">
        <f>SUM(AB5:AM5)</f>
        <v>21996657.730000004</v>
      </c>
      <c r="AO5" s="32">
        <v>1629033.13</v>
      </c>
      <c r="AP5" s="32">
        <v>1829557</v>
      </c>
      <c r="AQ5" s="32">
        <v>5603273.96</v>
      </c>
      <c r="AR5" s="32">
        <v>1229960.92</v>
      </c>
      <c r="AS5" s="32">
        <v>1051853.25</v>
      </c>
      <c r="AT5" s="32">
        <v>3642724.11</v>
      </c>
      <c r="AU5" s="32">
        <v>4427639.45</v>
      </c>
      <c r="AV5" s="32">
        <v>2162366.55</v>
      </c>
      <c r="AW5" s="32">
        <v>1163392.71</v>
      </c>
      <c r="AX5" s="32">
        <v>1719978.07</v>
      </c>
      <c r="AY5" s="32">
        <v>894939.15</v>
      </c>
      <c r="AZ5" s="32">
        <v>5626853.1</v>
      </c>
      <c r="BA5" s="32">
        <f>SUM(AO5:AZ5)</f>
        <v>30981571.4</v>
      </c>
      <c r="BB5" s="32">
        <v>1229533.69</v>
      </c>
      <c r="BC5" s="32">
        <v>762135.19</v>
      </c>
      <c r="BD5" s="32">
        <v>983622.82</v>
      </c>
      <c r="BE5" s="32">
        <v>3091885.12</v>
      </c>
      <c r="BF5" s="32">
        <v>3369293.75</v>
      </c>
      <c r="BG5" s="32">
        <v>2206595.27</v>
      </c>
      <c r="BH5" s="32">
        <v>2599825.3</v>
      </c>
      <c r="BI5" s="32">
        <v>3487893.41</v>
      </c>
      <c r="BJ5" s="32">
        <v>3261956.91</v>
      </c>
      <c r="BK5" s="32">
        <v>2417189.82</v>
      </c>
      <c r="BL5" s="32">
        <v>4760278.05</v>
      </c>
      <c r="BM5" s="32">
        <v>1661776.32</v>
      </c>
      <c r="BN5" s="32">
        <f>SUM(BB5:BM5)</f>
        <v>29831985.650000002</v>
      </c>
      <c r="BO5" s="32">
        <v>356763.49</v>
      </c>
      <c r="BP5" s="32">
        <v>1923162.93</v>
      </c>
      <c r="BQ5" s="32">
        <v>2057866.32</v>
      </c>
      <c r="BR5" s="32">
        <v>1569457.87</v>
      </c>
      <c r="BS5" s="32">
        <v>2146633.31</v>
      </c>
      <c r="BT5" s="32">
        <v>2015274.03</v>
      </c>
      <c r="BU5" s="32">
        <v>1771026.65</v>
      </c>
      <c r="BV5" s="32">
        <v>1126441.79</v>
      </c>
      <c r="BW5" s="32">
        <v>544691.09</v>
      </c>
      <c r="BX5" s="32">
        <v>1405900.9</v>
      </c>
      <c r="BY5" s="32">
        <v>242895.41</v>
      </c>
      <c r="BZ5" s="32">
        <v>730265.5</v>
      </c>
      <c r="CA5" s="32">
        <f>SUM(BO5:BZ5)</f>
        <v>15890379.290000001</v>
      </c>
      <c r="CB5" s="32">
        <v>7221.62</v>
      </c>
      <c r="CC5" s="32">
        <v>686301.14</v>
      </c>
      <c r="CD5" s="32">
        <v>1245134</v>
      </c>
      <c r="CE5" s="32">
        <v>725373.35</v>
      </c>
      <c r="CF5" s="32">
        <v>626578.22</v>
      </c>
      <c r="CG5" s="32">
        <v>971659.85</v>
      </c>
      <c r="CH5" s="32">
        <v>2324637.41</v>
      </c>
      <c r="CI5" s="32">
        <v>678437.95</v>
      </c>
      <c r="CJ5" s="32">
        <v>1603606.19</v>
      </c>
      <c r="CK5" s="32">
        <v>1366861.92</v>
      </c>
      <c r="CL5" s="32">
        <v>1174419.11</v>
      </c>
      <c r="CM5" s="32">
        <v>983521.78</v>
      </c>
      <c r="CN5" s="32">
        <f>SUM(CB5:CM5)</f>
        <v>12393752.54</v>
      </c>
      <c r="CO5" s="32">
        <v>658018.33</v>
      </c>
      <c r="CP5" s="32">
        <v>1411914.96</v>
      </c>
      <c r="CQ5" s="32">
        <v>1179189.58</v>
      </c>
      <c r="CR5" s="32">
        <v>788200.38</v>
      </c>
      <c r="CS5" s="32">
        <f>544945.88+1017365.71</f>
        <v>1562311.5899999999</v>
      </c>
      <c r="CT5" s="32">
        <v>1651678.49</v>
      </c>
      <c r="CU5" s="32">
        <v>756454.78</v>
      </c>
      <c r="CV5" s="32">
        <f>1529229.97</f>
        <v>1529229.97</v>
      </c>
      <c r="CW5" s="32">
        <v>453329.2</v>
      </c>
      <c r="CX5" s="32">
        <v>599179.23</v>
      </c>
      <c r="CY5" s="32">
        <v>645122.78</v>
      </c>
      <c r="CZ5" s="32">
        <v>909849.36</v>
      </c>
      <c r="DA5" s="32">
        <f>SUM(CO5:CZ5)</f>
        <v>12144478.649999999</v>
      </c>
      <c r="DB5" s="32">
        <v>497012.72</v>
      </c>
      <c r="DC5" s="32">
        <v>1029755.46</v>
      </c>
      <c r="DD5" s="32">
        <v>1272861.51</v>
      </c>
      <c r="DE5" s="32">
        <f>-31299.48+98991.07</f>
        <v>67691.59000000001</v>
      </c>
      <c r="DF5" s="32">
        <f>31299.48-31299.48</f>
        <v>0</v>
      </c>
      <c r="DG5" s="32">
        <v>0</v>
      </c>
      <c r="DH5" s="32">
        <v>0</v>
      </c>
      <c r="DI5" s="32">
        <v>0</v>
      </c>
      <c r="DJ5" s="32">
        <v>0</v>
      </c>
      <c r="DK5" s="32">
        <v>12942.34</v>
      </c>
      <c r="DL5" s="32">
        <v>0</v>
      </c>
      <c r="DM5" s="32">
        <v>0</v>
      </c>
      <c r="DN5" s="32">
        <f>SUM(DB5:DM5)</f>
        <v>2880263.6199999996</v>
      </c>
      <c r="DO5" s="32">
        <v>0</v>
      </c>
      <c r="DP5" s="32">
        <v>0</v>
      </c>
      <c r="DQ5" s="32">
        <v>0</v>
      </c>
      <c r="DR5" s="32">
        <v>0</v>
      </c>
      <c r="DS5" s="32">
        <v>0</v>
      </c>
      <c r="DT5" s="32">
        <v>0</v>
      </c>
      <c r="DU5" s="32">
        <v>0</v>
      </c>
      <c r="DV5" s="32">
        <v>0</v>
      </c>
      <c r="DW5" s="32">
        <v>0</v>
      </c>
      <c r="DX5" s="32">
        <v>0</v>
      </c>
      <c r="DY5" s="32">
        <v>0</v>
      </c>
      <c r="DZ5" s="32">
        <v>0</v>
      </c>
      <c r="EA5" s="32">
        <f>SUM(DO5:DZ5)</f>
        <v>0</v>
      </c>
      <c r="EB5" s="32">
        <v>0</v>
      </c>
      <c r="EC5" s="32">
        <v>0</v>
      </c>
      <c r="ED5" s="32">
        <v>0</v>
      </c>
      <c r="EE5" s="32">
        <v>0</v>
      </c>
      <c r="EF5" s="32">
        <v>0</v>
      </c>
      <c r="EG5" s="32">
        <v>0</v>
      </c>
      <c r="EH5" s="32">
        <v>0</v>
      </c>
      <c r="EI5" s="32">
        <v>0</v>
      </c>
      <c r="EJ5" s="32">
        <v>0</v>
      </c>
      <c r="EK5" s="32">
        <v>0</v>
      </c>
      <c r="EL5" s="32">
        <v>0</v>
      </c>
      <c r="EM5" s="32">
        <v>0</v>
      </c>
      <c r="EN5" s="32">
        <f>SUM(EB5:EM5)</f>
        <v>0</v>
      </c>
      <c r="EO5" s="32">
        <v>0</v>
      </c>
      <c r="EP5" s="32">
        <v>0</v>
      </c>
      <c r="EQ5" s="32">
        <v>0</v>
      </c>
      <c r="ER5" s="32">
        <v>0</v>
      </c>
      <c r="ES5" s="32">
        <v>0</v>
      </c>
      <c r="ET5" s="32">
        <v>0</v>
      </c>
      <c r="EU5" s="32">
        <v>0</v>
      </c>
      <c r="EV5" s="32">
        <v>0</v>
      </c>
      <c r="EW5" s="32">
        <v>0</v>
      </c>
      <c r="EX5" s="32">
        <v>0</v>
      </c>
      <c r="EY5" s="32">
        <v>0</v>
      </c>
      <c r="EZ5" s="32">
        <v>0</v>
      </c>
      <c r="FA5" s="32">
        <f>SUM(EO5:EZ5)</f>
        <v>0</v>
      </c>
      <c r="FB5" s="32">
        <v>0</v>
      </c>
      <c r="FC5" s="32">
        <v>0</v>
      </c>
      <c r="FD5" s="32">
        <v>0</v>
      </c>
      <c r="FE5" s="32">
        <v>0</v>
      </c>
      <c r="FF5" s="32">
        <v>0</v>
      </c>
      <c r="FG5" s="32">
        <v>0</v>
      </c>
      <c r="FH5" s="32">
        <v>0</v>
      </c>
      <c r="FI5" s="32">
        <v>0</v>
      </c>
      <c r="FJ5" s="32">
        <v>0</v>
      </c>
      <c r="FK5" s="32">
        <v>0</v>
      </c>
      <c r="FL5" s="32">
        <v>0</v>
      </c>
      <c r="FM5" s="32">
        <v>0</v>
      </c>
      <c r="FN5" s="32">
        <f>SUM(FB5:FM5)</f>
        <v>0</v>
      </c>
      <c r="FO5" s="32">
        <v>0</v>
      </c>
      <c r="FP5" s="32">
        <v>0</v>
      </c>
      <c r="FQ5" s="32">
        <v>0</v>
      </c>
      <c r="FR5" s="32">
        <v>0</v>
      </c>
      <c r="FS5" s="32"/>
      <c r="FT5" s="32"/>
      <c r="FU5" s="32"/>
      <c r="FV5" s="32"/>
      <c r="FW5" s="32"/>
      <c r="FX5" s="32"/>
      <c r="FY5" s="32"/>
      <c r="FZ5" s="32"/>
      <c r="GA5" s="32">
        <f>SUM(FO5:FZ5)</f>
        <v>0</v>
      </c>
      <c r="GB5" s="106">
        <f>N5+AA5+AN5+BA5+BN5+CA5+DA5+CN5+DN5+EA5+EN5+FA5+FN5+GA5</f>
        <v>127298026.14000002</v>
      </c>
      <c r="GC5" s="103"/>
      <c r="GD5" s="59"/>
    </row>
    <row r="6" spans="1:184" s="23" customFormat="1" ht="12.75" customHeight="1" hidden="1" outlineLevel="1">
      <c r="A6" s="154"/>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6"/>
    </row>
    <row r="7" spans="1:187" s="23" customFormat="1" ht="26.25" customHeight="1" hidden="1" outlineLevel="1">
      <c r="A7" s="33" t="s">
        <v>32</v>
      </c>
      <c r="B7" s="32"/>
      <c r="C7" s="32"/>
      <c r="D7" s="32"/>
      <c r="E7" s="32"/>
      <c r="F7" s="32"/>
      <c r="G7" s="32"/>
      <c r="H7" s="32"/>
      <c r="I7" s="32"/>
      <c r="J7" s="32"/>
      <c r="K7" s="32"/>
      <c r="L7" s="32">
        <v>0</v>
      </c>
      <c r="M7" s="32">
        <v>0</v>
      </c>
      <c r="N7" s="32">
        <f>SUM(B7:M7)</f>
        <v>0</v>
      </c>
      <c r="O7" s="32">
        <v>0</v>
      </c>
      <c r="P7" s="32">
        <v>0</v>
      </c>
      <c r="Q7" s="32">
        <v>0</v>
      </c>
      <c r="R7" s="32">
        <v>0</v>
      </c>
      <c r="S7" s="32">
        <v>1688450.92</v>
      </c>
      <c r="T7" s="32">
        <v>0</v>
      </c>
      <c r="U7" s="32">
        <v>229703.22</v>
      </c>
      <c r="V7" s="32">
        <v>0</v>
      </c>
      <c r="W7" s="32">
        <v>683435.04</v>
      </c>
      <c r="X7" s="32">
        <v>0</v>
      </c>
      <c r="Y7" s="32">
        <v>11967.52</v>
      </c>
      <c r="Z7" s="32">
        <v>5057522.8</v>
      </c>
      <c r="AA7" s="32">
        <f>SUM(O7:Z7)</f>
        <v>7671079.5</v>
      </c>
      <c r="AB7" s="32">
        <v>0</v>
      </c>
      <c r="AC7" s="32">
        <v>347812.13</v>
      </c>
      <c r="AD7" s="32">
        <v>87197.85</v>
      </c>
      <c r="AE7" s="32">
        <v>1212381.06</v>
      </c>
      <c r="AF7" s="32">
        <v>2439680.71</v>
      </c>
      <c r="AG7" s="32">
        <v>2156031.14</v>
      </c>
      <c r="AH7" s="32">
        <v>146858.1</v>
      </c>
      <c r="AI7" s="32">
        <v>989987.92</v>
      </c>
      <c r="AJ7" s="32">
        <v>147420.57</v>
      </c>
      <c r="AK7" s="32">
        <v>10872699.9</v>
      </c>
      <c r="AL7" s="32">
        <v>199054.29</v>
      </c>
      <c r="AM7" s="32">
        <v>5587037.35</v>
      </c>
      <c r="AN7" s="32">
        <f>SUM(AB7:AM7)</f>
        <v>24186161.020000003</v>
      </c>
      <c r="AO7" s="32">
        <v>477138</v>
      </c>
      <c r="AP7" s="32">
        <v>1262632.03</v>
      </c>
      <c r="AQ7" s="32">
        <v>1554236.31</v>
      </c>
      <c r="AR7" s="32">
        <v>1037328.63</v>
      </c>
      <c r="AS7" s="32">
        <v>8538924.56</v>
      </c>
      <c r="AT7" s="32">
        <v>655876.09</v>
      </c>
      <c r="AU7" s="32">
        <v>702189.28</v>
      </c>
      <c r="AV7" s="32">
        <f>242173.06+5301883.58</f>
        <v>5544056.64</v>
      </c>
      <c r="AW7" s="32">
        <v>792120.9</v>
      </c>
      <c r="AX7" s="32">
        <v>6491102.62</v>
      </c>
      <c r="AY7" s="32">
        <v>1639305.83</v>
      </c>
      <c r="AZ7" s="32">
        <v>7717307.37</v>
      </c>
      <c r="BA7" s="59">
        <f>SUM(AO7:AZ7)</f>
        <v>36412218.26</v>
      </c>
      <c r="BB7" s="32">
        <v>1206323.4</v>
      </c>
      <c r="BC7" s="32">
        <v>261066.49</v>
      </c>
      <c r="BD7" s="32">
        <v>565435.88</v>
      </c>
      <c r="BE7" s="32">
        <v>3646053.22</v>
      </c>
      <c r="BF7" s="32">
        <v>1786328.94</v>
      </c>
      <c r="BG7" s="32">
        <v>1375571.59</v>
      </c>
      <c r="BH7" s="32">
        <v>1569863.06</v>
      </c>
      <c r="BI7" s="32">
        <v>5285764.49</v>
      </c>
      <c r="BJ7" s="32">
        <v>1241109.02</v>
      </c>
      <c r="BK7" s="32">
        <v>5048897.04</v>
      </c>
      <c r="BL7" s="32">
        <v>2756123.87</v>
      </c>
      <c r="BM7" s="32">
        <v>1234068.15</v>
      </c>
      <c r="BN7" s="32">
        <f>SUM(BB7:BM7)</f>
        <v>25976605.15</v>
      </c>
      <c r="BO7" s="32">
        <v>2051613.23</v>
      </c>
      <c r="BP7" s="32">
        <v>577577.02</v>
      </c>
      <c r="BQ7" s="32">
        <v>436421.47</v>
      </c>
      <c r="BR7" s="32">
        <v>4098748.76</v>
      </c>
      <c r="BS7" s="32">
        <v>2269862.73</v>
      </c>
      <c r="BT7" s="32">
        <v>641322.45</v>
      </c>
      <c r="BU7" s="32">
        <v>221035.29</v>
      </c>
      <c r="BV7" s="32">
        <v>205725.47</v>
      </c>
      <c r="BW7" s="32">
        <v>1450158.15</v>
      </c>
      <c r="BX7" s="32">
        <v>933811.65</v>
      </c>
      <c r="BY7" s="32">
        <v>5818528.16</v>
      </c>
      <c r="BZ7" s="32">
        <v>1225491.52</v>
      </c>
      <c r="CA7" s="32">
        <f>SUM(BO7:BZ7)</f>
        <v>19930295.9</v>
      </c>
      <c r="CB7" s="32">
        <v>178884.46</v>
      </c>
      <c r="CC7" s="32">
        <f>556856.19+125797.5</f>
        <v>682653.69</v>
      </c>
      <c r="CD7" s="32">
        <f>382189.51+112900.97</f>
        <v>495090.48</v>
      </c>
      <c r="CE7" s="32">
        <f>3975028.96+241119.05</f>
        <v>4216148.01</v>
      </c>
      <c r="CF7" s="32">
        <f>551282.26+256715.09</f>
        <v>807997.35</v>
      </c>
      <c r="CG7" s="32">
        <f>895329.89+354314.07</f>
        <v>1249643.96</v>
      </c>
      <c r="CH7" s="32">
        <f>3553900.23+285069.12</f>
        <v>3838969.35</v>
      </c>
      <c r="CI7" s="32">
        <f>203304.31</f>
        <v>203304.31</v>
      </c>
      <c r="CJ7" s="32">
        <f>634894.36+149311.2</f>
        <v>784205.56</v>
      </c>
      <c r="CK7" s="32">
        <f>17300.31+90412.83</f>
        <v>107713.14</v>
      </c>
      <c r="CL7" s="32">
        <f>1866351.05+77478.42</f>
        <v>1943829.47</v>
      </c>
      <c r="CM7" s="32">
        <f>1000199.95+92009.89+1392739.05</f>
        <v>2484948.8899999997</v>
      </c>
      <c r="CN7" s="32">
        <f>SUM(CB7:CM7)</f>
        <v>16993388.67</v>
      </c>
      <c r="CO7" s="32">
        <v>93226.82</v>
      </c>
      <c r="CP7" s="32">
        <v>138611.42</v>
      </c>
      <c r="CQ7" s="32">
        <v>372.31</v>
      </c>
      <c r="CR7" s="32">
        <v>1388590.64</v>
      </c>
      <c r="CS7" s="32">
        <v>567863.59</v>
      </c>
      <c r="CT7" s="32">
        <v>2293935.03</v>
      </c>
      <c r="CU7" s="32">
        <v>0</v>
      </c>
      <c r="CV7" s="32">
        <v>605947.05</v>
      </c>
      <c r="CW7" s="32">
        <v>0</v>
      </c>
      <c r="CX7" s="32">
        <v>0</v>
      </c>
      <c r="CY7" s="32">
        <v>7015.02</v>
      </c>
      <c r="CZ7" s="32">
        <v>508100.29</v>
      </c>
      <c r="DA7" s="32">
        <f>SUM(CO7:CZ7)</f>
        <v>5603662.169999999</v>
      </c>
      <c r="DB7" s="32">
        <v>0</v>
      </c>
      <c r="DC7" s="32">
        <v>-138.72</v>
      </c>
      <c r="DD7" s="32">
        <v>3310668.37</v>
      </c>
      <c r="DE7" s="32">
        <v>0</v>
      </c>
      <c r="DF7" s="32">
        <v>0</v>
      </c>
      <c r="DG7" s="32">
        <v>0</v>
      </c>
      <c r="DH7" s="32">
        <v>0</v>
      </c>
      <c r="DI7" s="32">
        <v>0</v>
      </c>
      <c r="DJ7" s="32">
        <v>0</v>
      </c>
      <c r="DK7" s="32">
        <v>4571.78</v>
      </c>
      <c r="DL7" s="32">
        <v>0</v>
      </c>
      <c r="DM7" s="32">
        <v>0</v>
      </c>
      <c r="DN7" s="32">
        <f>SUM(DB7:DM7)</f>
        <v>3315101.4299999997</v>
      </c>
      <c r="DO7" s="32">
        <v>0</v>
      </c>
      <c r="DP7" s="32">
        <v>0</v>
      </c>
      <c r="DQ7" s="32">
        <v>0</v>
      </c>
      <c r="DR7" s="32">
        <v>0</v>
      </c>
      <c r="DS7" s="32">
        <v>0</v>
      </c>
      <c r="DT7" s="32">
        <v>0</v>
      </c>
      <c r="DU7" s="32">
        <v>0</v>
      </c>
      <c r="DV7" s="32">
        <v>0</v>
      </c>
      <c r="DW7" s="32">
        <v>0</v>
      </c>
      <c r="DX7" s="32">
        <v>0</v>
      </c>
      <c r="DY7" s="32">
        <v>0</v>
      </c>
      <c r="DZ7" s="32">
        <v>0</v>
      </c>
      <c r="EA7" s="32">
        <f>SUM(DO7:DZ7)</f>
        <v>0</v>
      </c>
      <c r="EB7" s="32">
        <v>0</v>
      </c>
      <c r="EC7" s="32">
        <v>0</v>
      </c>
      <c r="ED7" s="32">
        <v>0</v>
      </c>
      <c r="EE7" s="32">
        <v>0</v>
      </c>
      <c r="EF7" s="32">
        <v>0</v>
      </c>
      <c r="EG7" s="32">
        <v>0</v>
      </c>
      <c r="EH7" s="32">
        <v>0</v>
      </c>
      <c r="EI7" s="32">
        <v>0</v>
      </c>
      <c r="EJ7" s="32">
        <v>0</v>
      </c>
      <c r="EK7" s="32">
        <v>0</v>
      </c>
      <c r="EL7" s="32">
        <v>0</v>
      </c>
      <c r="EM7" s="32">
        <v>0</v>
      </c>
      <c r="EN7" s="32">
        <f>SUM(EB7:EM7)</f>
        <v>0</v>
      </c>
      <c r="EO7" s="32">
        <v>0</v>
      </c>
      <c r="EP7" s="32">
        <v>0</v>
      </c>
      <c r="EQ7" s="32">
        <v>0</v>
      </c>
      <c r="ER7" s="32">
        <v>0</v>
      </c>
      <c r="ES7" s="32">
        <v>0</v>
      </c>
      <c r="ET7" s="32">
        <v>0</v>
      </c>
      <c r="EU7" s="32">
        <v>0</v>
      </c>
      <c r="EV7" s="32">
        <v>0</v>
      </c>
      <c r="EW7" s="32">
        <v>0</v>
      </c>
      <c r="EX7" s="32">
        <v>0</v>
      </c>
      <c r="EY7" s="32">
        <v>0</v>
      </c>
      <c r="EZ7" s="32">
        <v>0</v>
      </c>
      <c r="FA7" s="32">
        <f>SUM(EO7:EZ7)</f>
        <v>0</v>
      </c>
      <c r="FB7" s="32">
        <v>0</v>
      </c>
      <c r="FC7" s="32">
        <v>0</v>
      </c>
      <c r="FD7" s="32">
        <v>0</v>
      </c>
      <c r="FE7" s="32">
        <v>0</v>
      </c>
      <c r="FF7" s="32">
        <v>0</v>
      </c>
      <c r="FG7" s="32">
        <v>0</v>
      </c>
      <c r="FH7" s="32">
        <v>0</v>
      </c>
      <c r="FI7" s="32">
        <v>0</v>
      </c>
      <c r="FJ7" s="32">
        <v>0</v>
      </c>
      <c r="FK7" s="32">
        <v>0</v>
      </c>
      <c r="FL7" s="32">
        <v>0</v>
      </c>
      <c r="FM7" s="32">
        <v>0</v>
      </c>
      <c r="FN7" s="32">
        <f>SUM(FB7:FM7)</f>
        <v>0</v>
      </c>
      <c r="FO7" s="32">
        <v>0</v>
      </c>
      <c r="FP7" s="32">
        <v>0</v>
      </c>
      <c r="FQ7" s="32">
        <v>0</v>
      </c>
      <c r="FR7" s="32">
        <v>0</v>
      </c>
      <c r="FS7" s="32"/>
      <c r="FT7" s="32"/>
      <c r="FU7" s="32"/>
      <c r="FV7" s="32"/>
      <c r="FW7" s="32"/>
      <c r="FX7" s="32"/>
      <c r="FY7" s="32"/>
      <c r="FZ7" s="32"/>
      <c r="GA7" s="32">
        <f>SUM(FO7:FZ7)</f>
        <v>0</v>
      </c>
      <c r="GB7" s="106">
        <f>N7+AA7+AN7+BA7+BN7+CA7+DA7+CN7+DN7+EA7+EN7+FA7+FN7+GA7</f>
        <v>140088512.10000002</v>
      </c>
      <c r="GC7" s="97"/>
      <c r="GD7" s="62"/>
      <c r="GE7" s="97"/>
    </row>
    <row r="8" spans="1:184" s="23" customFormat="1" ht="12.75" customHeight="1" hidden="1" outlineLevel="1">
      <c r="A8" s="154"/>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s="155"/>
      <c r="EF8" s="155"/>
      <c r="EG8" s="155"/>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c r="FF8" s="155"/>
      <c r="FG8" s="155"/>
      <c r="FH8" s="155"/>
      <c r="FI8" s="155"/>
      <c r="FJ8" s="155"/>
      <c r="FK8" s="155"/>
      <c r="FL8" s="155"/>
      <c r="FM8" s="155"/>
      <c r="FN8" s="155"/>
      <c r="FO8" s="155"/>
      <c r="FP8" s="155"/>
      <c r="FQ8" s="155"/>
      <c r="FR8" s="155"/>
      <c r="FS8" s="155"/>
      <c r="FT8" s="155"/>
      <c r="FU8" s="155"/>
      <c r="FV8" s="155"/>
      <c r="FW8" s="155"/>
      <c r="FX8" s="155"/>
      <c r="FY8" s="155"/>
      <c r="FZ8" s="155"/>
      <c r="GA8" s="155"/>
      <c r="GB8" s="156"/>
    </row>
    <row r="9" spans="1:186" s="23" customFormat="1" ht="39" customHeight="1" hidden="1" outlineLevel="1">
      <c r="A9" s="33" t="s">
        <v>33</v>
      </c>
      <c r="B9" s="32"/>
      <c r="C9" s="32"/>
      <c r="D9" s="32"/>
      <c r="E9" s="32"/>
      <c r="F9" s="32"/>
      <c r="G9" s="32"/>
      <c r="H9" s="32"/>
      <c r="I9" s="32"/>
      <c r="J9" s="32"/>
      <c r="K9" s="32"/>
      <c r="L9" s="32">
        <v>0</v>
      </c>
      <c r="M9" s="32">
        <v>235381.24</v>
      </c>
      <c r="N9" s="32">
        <f>SUM(B9:M9)</f>
        <v>235381.24</v>
      </c>
      <c r="O9" s="32">
        <v>0</v>
      </c>
      <c r="P9" s="32">
        <v>27399.94</v>
      </c>
      <c r="Q9" s="32">
        <v>1617007.13</v>
      </c>
      <c r="R9" s="32">
        <v>86167.22</v>
      </c>
      <c r="S9" s="32">
        <v>324097.07</v>
      </c>
      <c r="T9" s="32">
        <v>1861972.8</v>
      </c>
      <c r="U9" s="32">
        <v>515407.84</v>
      </c>
      <c r="V9" s="32">
        <v>5676680.62</v>
      </c>
      <c r="W9" s="32">
        <v>2021375.64</v>
      </c>
      <c r="X9" s="32">
        <v>2058177.97</v>
      </c>
      <c r="Y9" s="32">
        <v>7283754.96</v>
      </c>
      <c r="Z9" s="32">
        <v>23262338.94</v>
      </c>
      <c r="AA9" s="32">
        <f>SUM(O9:Z9)</f>
        <v>44734380.13</v>
      </c>
      <c r="AB9" s="32">
        <v>307313.35</v>
      </c>
      <c r="AC9" s="32">
        <v>9242637.71</v>
      </c>
      <c r="AD9" s="32">
        <v>3461919.21</v>
      </c>
      <c r="AE9" s="32">
        <v>4165151.12</v>
      </c>
      <c r="AF9" s="32">
        <v>4439293.41</v>
      </c>
      <c r="AG9" s="32">
        <v>5419203.49</v>
      </c>
      <c r="AH9" s="32">
        <v>3667926.35</v>
      </c>
      <c r="AI9" s="32">
        <v>3820975.62</v>
      </c>
      <c r="AJ9" s="32">
        <v>4152772.59</v>
      </c>
      <c r="AK9" s="32">
        <v>4904087.72</v>
      </c>
      <c r="AL9" s="32">
        <v>5425782.71</v>
      </c>
      <c r="AM9" s="32">
        <v>3874835.45</v>
      </c>
      <c r="AN9" s="32">
        <f>SUM(AB9:AM9)</f>
        <v>52881898.73</v>
      </c>
      <c r="AO9" s="32">
        <v>4210973.9</v>
      </c>
      <c r="AP9" s="32">
        <v>6835796.96</v>
      </c>
      <c r="AQ9" s="32">
        <v>2194104.86</v>
      </c>
      <c r="AR9" s="32">
        <v>2316013.31</v>
      </c>
      <c r="AS9" s="32">
        <v>4339295.42</v>
      </c>
      <c r="AT9" s="32">
        <v>3367132.02</v>
      </c>
      <c r="AU9" s="32">
        <v>3943136.87</v>
      </c>
      <c r="AV9" s="32">
        <f>149115.36+4876909.26</f>
        <v>5026024.62</v>
      </c>
      <c r="AW9" s="32">
        <v>5306379.61</v>
      </c>
      <c r="AX9" s="32">
        <f>10446398.39+330739.09+2060357.75</f>
        <v>12837495.23</v>
      </c>
      <c r="AY9" s="32">
        <f>2475801.82+1889347.66</f>
        <v>4365149.4799999995</v>
      </c>
      <c r="AZ9" s="32">
        <f>4677449.76+1745259.67</f>
        <v>6422709.43</v>
      </c>
      <c r="BA9" s="32">
        <f>SUM(AO9:AZ9)</f>
        <v>61164211.70999999</v>
      </c>
      <c r="BB9" s="32">
        <f>2468883.41+1078368.76</f>
        <v>3547252.17</v>
      </c>
      <c r="BC9" s="32">
        <v>4101534.1</v>
      </c>
      <c r="BD9" s="32">
        <v>759976.52</v>
      </c>
      <c r="BE9" s="32">
        <f>1915755.1+319178.02</f>
        <v>2234933.12</v>
      </c>
      <c r="BF9" s="32">
        <f>3262817.52+106.04</f>
        <v>3262923.56</v>
      </c>
      <c r="BG9" s="32">
        <v>3348433.13</v>
      </c>
      <c r="BH9" s="32">
        <f>7153394.68-330739.09-2060357.75-1889347.66</f>
        <v>2872950.1799999997</v>
      </c>
      <c r="BI9" s="32">
        <v>4265308.66</v>
      </c>
      <c r="BJ9" s="32">
        <f>6358016.52-1745259.67-319178.02-1078368.76</f>
        <v>3215210.0700000003</v>
      </c>
      <c r="BK9" s="32">
        <v>3641881.44</v>
      </c>
      <c r="BL9" s="32">
        <v>1716831.7</v>
      </c>
      <c r="BM9" s="32">
        <v>4213038.29</v>
      </c>
      <c r="BN9" s="32">
        <f>SUM(BB9:BM9)</f>
        <v>37180272.940000005</v>
      </c>
      <c r="BO9" s="32">
        <v>3883460.67</v>
      </c>
      <c r="BP9" s="32">
        <v>6759252.8</v>
      </c>
      <c r="BQ9" s="32">
        <v>1564150.42</v>
      </c>
      <c r="BR9" s="32">
        <v>2967310.36</v>
      </c>
      <c r="BS9" s="32">
        <v>2991705.2</v>
      </c>
      <c r="BT9" s="32">
        <v>3373194.14</v>
      </c>
      <c r="BU9" s="32">
        <v>4010542.82</v>
      </c>
      <c r="BV9" s="32">
        <v>-1063402.7200000002</v>
      </c>
      <c r="BW9" s="32">
        <v>2743457.21</v>
      </c>
      <c r="BX9" s="32">
        <v>4248625.71</v>
      </c>
      <c r="BY9" s="32">
        <f>2515881.16+45525.83+20777.89</f>
        <v>2582184.8800000004</v>
      </c>
      <c r="BZ9" s="32">
        <f>932100.98+2405171.44+27127.24+2120071.19</f>
        <v>5484470.85</v>
      </c>
      <c r="CA9" s="32">
        <f>SUM(BO9:BZ9)</f>
        <v>39544952.34</v>
      </c>
      <c r="CB9" s="32">
        <f>137134.75+71159.45+24234.94</f>
        <v>232529.14</v>
      </c>
      <c r="CC9" s="32">
        <f>902000.38+179597.97+6775.53+2789792.21</f>
        <v>3878166.09</v>
      </c>
      <c r="CD9" s="32">
        <f>737109.62+409740.79+278435.54+603585.71</f>
        <v>2028871.66</v>
      </c>
      <c r="CE9" s="32">
        <f>295345.12+24958.83+1228777.51</f>
        <v>1549081.46</v>
      </c>
      <c r="CF9" s="32">
        <f>872058.63+65193.6+38621.46+1991510.01</f>
        <v>2967383.7</v>
      </c>
      <c r="CG9" s="32">
        <f>519833.57+27341.24+1326044.19+777094.9+1401891.75</f>
        <v>4052205.65</v>
      </c>
      <c r="CH9" s="32">
        <f>839326.3+1744381.35</f>
        <v>2583707.6500000004</v>
      </c>
      <c r="CI9" s="32">
        <f>404885.47+92645.93+1827382.8</f>
        <v>2324914.2</v>
      </c>
      <c r="CJ9" s="32">
        <f>452079.36+10016.05+1257413.81+775596.87</f>
        <v>2495106.09</v>
      </c>
      <c r="CK9" s="32">
        <f>625204.9+1804629.2</f>
        <v>2429834.1</v>
      </c>
      <c r="CL9" s="32">
        <f>236041.7+1125952.1+397083.7</f>
        <v>1759077.5</v>
      </c>
      <c r="CM9" s="32">
        <f>836726.6+445309.34</f>
        <v>1282035.94</v>
      </c>
      <c r="CN9" s="32">
        <f>SUM(CB9:CM9)</f>
        <v>27582913.180000003</v>
      </c>
      <c r="CO9" s="32">
        <f>74458.7+1401794.3</f>
        <v>1476253</v>
      </c>
      <c r="CP9" s="32">
        <f>303521.26+697886.43</f>
        <v>1001407.6900000001</v>
      </c>
      <c r="CQ9" s="32">
        <f>554739.66+170947.2+583710.66</f>
        <v>1309397.52</v>
      </c>
      <c r="CR9" s="32">
        <v>1046613.15</v>
      </c>
      <c r="CS9" s="32">
        <f>359462.4+43654.59</f>
        <v>403116.99</v>
      </c>
      <c r="CT9" s="32">
        <v>1404268.11</v>
      </c>
      <c r="CU9" s="32">
        <v>655305.84</v>
      </c>
      <c r="CV9" s="32">
        <f>73880.89+4704.89</f>
        <v>78585.78</v>
      </c>
      <c r="CW9" s="32">
        <v>369559.59</v>
      </c>
      <c r="CX9" s="32">
        <v>570906.63</v>
      </c>
      <c r="CY9" s="32">
        <v>1092440.07</v>
      </c>
      <c r="CZ9" s="32">
        <v>1001985.91</v>
      </c>
      <c r="DA9" s="32">
        <f>SUM(CO9:CZ9)</f>
        <v>10409840.280000001</v>
      </c>
      <c r="DB9" s="32">
        <v>3767.92</v>
      </c>
      <c r="DC9" s="32">
        <v>282299.09</v>
      </c>
      <c r="DD9" s="32">
        <f>1004409.03</f>
        <v>1004409.03</v>
      </c>
      <c r="DE9" s="32">
        <v>462925.36</v>
      </c>
      <c r="DF9" s="32">
        <v>0</v>
      </c>
      <c r="DG9" s="32">
        <v>0</v>
      </c>
      <c r="DH9" s="32">
        <v>0</v>
      </c>
      <c r="DI9" s="32">
        <v>0</v>
      </c>
      <c r="DJ9" s="32">
        <v>0</v>
      </c>
      <c r="DK9" s="32">
        <v>0</v>
      </c>
      <c r="DL9" s="32">
        <v>0</v>
      </c>
      <c r="DM9" s="32">
        <v>0</v>
      </c>
      <c r="DN9" s="32">
        <f>SUM(DB9:DM9)</f>
        <v>1753401.4</v>
      </c>
      <c r="DO9" s="32">
        <v>-10.15</v>
      </c>
      <c r="DP9" s="32">
        <v>0</v>
      </c>
      <c r="DQ9" s="32">
        <v>0</v>
      </c>
      <c r="DR9" s="32">
        <v>0</v>
      </c>
      <c r="DS9" s="32">
        <v>0</v>
      </c>
      <c r="DT9" s="32">
        <v>0</v>
      </c>
      <c r="DU9" s="32">
        <v>-36.84</v>
      </c>
      <c r="DV9" s="32">
        <v>0</v>
      </c>
      <c r="DW9" s="32">
        <v>0</v>
      </c>
      <c r="DX9" s="32">
        <v>0</v>
      </c>
      <c r="DY9" s="32">
        <v>0</v>
      </c>
      <c r="DZ9" s="32">
        <v>0</v>
      </c>
      <c r="EA9" s="32">
        <f>SUM(DO9:DZ9)</f>
        <v>-46.99</v>
      </c>
      <c r="EB9" s="32"/>
      <c r="EC9" s="32">
        <v>0</v>
      </c>
      <c r="ED9" s="32">
        <v>0</v>
      </c>
      <c r="EE9" s="32">
        <v>0</v>
      </c>
      <c r="EF9" s="32">
        <v>0</v>
      </c>
      <c r="EG9" s="32">
        <v>0</v>
      </c>
      <c r="EH9" s="32">
        <v>0</v>
      </c>
      <c r="EI9" s="32">
        <v>0</v>
      </c>
      <c r="EJ9" s="32">
        <v>0</v>
      </c>
      <c r="EK9" s="32">
        <v>0</v>
      </c>
      <c r="EL9" s="32">
        <v>0</v>
      </c>
      <c r="EM9" s="32">
        <v>0</v>
      </c>
      <c r="EN9" s="32">
        <f>SUM(EB9:EM9)</f>
        <v>0</v>
      </c>
      <c r="EO9" s="32"/>
      <c r="EP9" s="32">
        <v>0</v>
      </c>
      <c r="EQ9" s="32">
        <v>0</v>
      </c>
      <c r="ER9" s="32">
        <v>0</v>
      </c>
      <c r="ES9" s="32">
        <v>0</v>
      </c>
      <c r="ET9" s="32">
        <v>0</v>
      </c>
      <c r="EU9" s="32">
        <v>-2000</v>
      </c>
      <c r="EV9" s="32">
        <v>-1000</v>
      </c>
      <c r="EW9" s="32">
        <v>0</v>
      </c>
      <c r="EX9" s="32">
        <v>-2000</v>
      </c>
      <c r="EY9" s="32">
        <v>0</v>
      </c>
      <c r="EZ9" s="32">
        <f>-565607.78-2000</f>
        <v>-567607.78</v>
      </c>
      <c r="FA9" s="32">
        <f>SUM(EO9:EZ9)</f>
        <v>-572607.78</v>
      </c>
      <c r="FB9" s="32">
        <v>-1000</v>
      </c>
      <c r="FC9" s="32">
        <v>-1000</v>
      </c>
      <c r="FD9" s="32">
        <v>0</v>
      </c>
      <c r="FE9" s="32">
        <v>-2000</v>
      </c>
      <c r="FF9" s="32">
        <v>-1000</v>
      </c>
      <c r="FG9" s="32">
        <v>-1000</v>
      </c>
      <c r="FH9" s="32">
        <v>-1000</v>
      </c>
      <c r="FI9" s="32">
        <v>-1000</v>
      </c>
      <c r="FJ9" s="32">
        <v>0</v>
      </c>
      <c r="FK9" s="32">
        <v>-3000</v>
      </c>
      <c r="FL9" s="32">
        <v>0</v>
      </c>
      <c r="FM9" s="32">
        <v>0</v>
      </c>
      <c r="FN9" s="32">
        <f>SUM(FB9:FM9)</f>
        <v>-11000</v>
      </c>
      <c r="FO9" s="32">
        <v>-3000</v>
      </c>
      <c r="FP9" s="32">
        <v>0</v>
      </c>
      <c r="FQ9" s="32">
        <v>-1000</v>
      </c>
      <c r="FR9" s="32">
        <v>-1000</v>
      </c>
      <c r="FS9" s="32"/>
      <c r="FT9" s="32"/>
      <c r="FU9" s="32"/>
      <c r="FV9" s="32"/>
      <c r="FW9" s="32"/>
      <c r="FX9" s="32"/>
      <c r="FY9" s="32"/>
      <c r="FZ9" s="32"/>
      <c r="GA9" s="32">
        <f>SUM(FO9:FZ9)</f>
        <v>-5000</v>
      </c>
      <c r="GB9" s="106">
        <f>N9+AA9+AN9+BA9+BN9+CA9+DA9+CN9+DN9+EA9+EN9+FA9+FN9+GA9</f>
        <v>274898597.18</v>
      </c>
      <c r="GD9" s="59"/>
    </row>
    <row r="10" spans="1:184" s="23" customFormat="1" ht="12.75" customHeight="1" hidden="1" outlineLevel="1">
      <c r="A10" s="154"/>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155"/>
      <c r="CO10" s="155"/>
      <c r="CP10" s="155"/>
      <c r="CQ10" s="155"/>
      <c r="CR10" s="155"/>
      <c r="CS10" s="155"/>
      <c r="CT10" s="155"/>
      <c r="CU10" s="155"/>
      <c r="CV10" s="155"/>
      <c r="CW10" s="155"/>
      <c r="CX10" s="155"/>
      <c r="CY10" s="155"/>
      <c r="CZ10" s="155"/>
      <c r="DA10" s="155"/>
      <c r="DB10" s="155"/>
      <c r="DC10" s="155"/>
      <c r="DD10" s="155"/>
      <c r="DE10" s="155"/>
      <c r="DF10" s="155"/>
      <c r="DG10" s="155"/>
      <c r="DH10" s="155"/>
      <c r="DI10" s="155"/>
      <c r="DJ10" s="155"/>
      <c r="DK10" s="155"/>
      <c r="DL10" s="155"/>
      <c r="DM10" s="155"/>
      <c r="DN10" s="155"/>
      <c r="DO10" s="155"/>
      <c r="DP10" s="155"/>
      <c r="DQ10" s="155"/>
      <c r="DR10" s="155"/>
      <c r="DS10" s="155"/>
      <c r="DT10" s="155"/>
      <c r="DU10" s="155"/>
      <c r="DV10" s="155"/>
      <c r="DW10" s="155"/>
      <c r="DX10" s="155"/>
      <c r="DY10" s="155"/>
      <c r="DZ10" s="155"/>
      <c r="EA10" s="155"/>
      <c r="EB10" s="155"/>
      <c r="EC10" s="155"/>
      <c r="ED10" s="155"/>
      <c r="EE10" s="155"/>
      <c r="EF10" s="155"/>
      <c r="EG10" s="155"/>
      <c r="EH10" s="155"/>
      <c r="EI10" s="155"/>
      <c r="EJ10" s="155"/>
      <c r="EK10" s="155"/>
      <c r="EL10" s="155"/>
      <c r="EM10" s="155"/>
      <c r="EN10" s="155"/>
      <c r="EO10" s="155"/>
      <c r="EP10" s="155"/>
      <c r="EQ10" s="155"/>
      <c r="ER10" s="155"/>
      <c r="ES10" s="155"/>
      <c r="ET10" s="155"/>
      <c r="EU10" s="155"/>
      <c r="EV10" s="155"/>
      <c r="EW10" s="155"/>
      <c r="EX10" s="155"/>
      <c r="EY10" s="155"/>
      <c r="EZ10" s="155"/>
      <c r="FA10" s="155"/>
      <c r="FB10" s="155"/>
      <c r="FC10" s="155"/>
      <c r="FD10" s="155"/>
      <c r="FE10" s="155"/>
      <c r="FF10" s="155"/>
      <c r="FG10" s="155"/>
      <c r="FH10" s="155"/>
      <c r="FI10" s="155"/>
      <c r="FJ10" s="155"/>
      <c r="FK10" s="155"/>
      <c r="FL10" s="155"/>
      <c r="FM10" s="155"/>
      <c r="FN10" s="155"/>
      <c r="FO10" s="155"/>
      <c r="FP10" s="155"/>
      <c r="FQ10" s="155"/>
      <c r="FR10" s="155"/>
      <c r="FS10" s="155"/>
      <c r="FT10" s="155"/>
      <c r="FU10" s="155"/>
      <c r="FV10" s="155"/>
      <c r="FW10" s="155"/>
      <c r="FX10" s="155"/>
      <c r="FY10" s="155"/>
      <c r="FZ10" s="155"/>
      <c r="GA10" s="155"/>
      <c r="GB10" s="156"/>
    </row>
    <row r="11" spans="1:186" s="23" customFormat="1" ht="27" customHeight="1" hidden="1" outlineLevel="1">
      <c r="A11" s="34" t="s">
        <v>34</v>
      </c>
      <c r="B11" s="32"/>
      <c r="C11" s="32"/>
      <c r="D11" s="32"/>
      <c r="E11" s="32"/>
      <c r="F11" s="32"/>
      <c r="G11" s="32"/>
      <c r="H11" s="32"/>
      <c r="I11" s="32"/>
      <c r="J11" s="32"/>
      <c r="K11" s="32"/>
      <c r="L11" s="32">
        <v>0</v>
      </c>
      <c r="M11" s="32">
        <v>0</v>
      </c>
      <c r="N11" s="32">
        <f>SUM(B11:M11)</f>
        <v>0</v>
      </c>
      <c r="O11" s="32">
        <v>0</v>
      </c>
      <c r="P11" s="32">
        <v>0</v>
      </c>
      <c r="Q11" s="32">
        <v>4396.97</v>
      </c>
      <c r="R11" s="32">
        <v>0</v>
      </c>
      <c r="S11" s="32"/>
      <c r="T11" s="32">
        <v>46249.85</v>
      </c>
      <c r="U11" s="32">
        <v>0</v>
      </c>
      <c r="V11" s="32">
        <v>186147.81</v>
      </c>
      <c r="W11" s="32">
        <v>120765.78</v>
      </c>
      <c r="X11" s="32">
        <v>101857.27</v>
      </c>
      <c r="Y11" s="32">
        <v>543757.73</v>
      </c>
      <c r="Z11" s="32">
        <v>749991.82</v>
      </c>
      <c r="AA11" s="32">
        <f>SUM(O11:Z11)</f>
        <v>1753167.23</v>
      </c>
      <c r="AB11" s="32">
        <v>708149.81</v>
      </c>
      <c r="AC11" s="32">
        <v>1019561.58</v>
      </c>
      <c r="AD11" s="32">
        <v>854421.56</v>
      </c>
      <c r="AE11" s="32">
        <v>932802.79</v>
      </c>
      <c r="AF11" s="32">
        <v>294810.19</v>
      </c>
      <c r="AG11" s="32">
        <v>278239.27</v>
      </c>
      <c r="AH11" s="32">
        <v>286847.63</v>
      </c>
      <c r="AI11" s="32">
        <v>409046.37</v>
      </c>
      <c r="AJ11" s="32">
        <v>292503.82</v>
      </c>
      <c r="AK11" s="32">
        <v>54227.05</v>
      </c>
      <c r="AL11" s="32">
        <v>598528.59</v>
      </c>
      <c r="AM11" s="32">
        <v>345783.75</v>
      </c>
      <c r="AN11" s="32">
        <f>SUM(AB11:AM11)</f>
        <v>6074922.41</v>
      </c>
      <c r="AO11" s="32">
        <v>1028049.13</v>
      </c>
      <c r="AP11" s="32">
        <v>2083995.26</v>
      </c>
      <c r="AQ11" s="32">
        <v>1017062</v>
      </c>
      <c r="AR11" s="32">
        <v>748568.77</v>
      </c>
      <c r="AS11" s="32">
        <v>1009174.42</v>
      </c>
      <c r="AT11" s="32">
        <v>1032176.52</v>
      </c>
      <c r="AU11" s="32">
        <v>1127253.37</v>
      </c>
      <c r="AV11" s="32">
        <v>983741.65</v>
      </c>
      <c r="AW11" s="32">
        <v>1050482.85</v>
      </c>
      <c r="AX11" s="32">
        <v>1073233.42</v>
      </c>
      <c r="AY11" s="32">
        <v>1124447.99</v>
      </c>
      <c r="AZ11" s="32">
        <v>806518.87</v>
      </c>
      <c r="BA11" s="32">
        <f>SUM(AO11:AZ11)</f>
        <v>13084704.249999998</v>
      </c>
      <c r="BB11" s="32">
        <v>736280.4</v>
      </c>
      <c r="BC11" s="32">
        <v>1183143.56</v>
      </c>
      <c r="BD11" s="32">
        <v>489604.18</v>
      </c>
      <c r="BE11" s="32">
        <v>961381.27</v>
      </c>
      <c r="BF11" s="32">
        <v>857598.57</v>
      </c>
      <c r="BG11" s="32">
        <v>1046183.78</v>
      </c>
      <c r="BH11" s="32">
        <v>836063.43</v>
      </c>
      <c r="BI11" s="32">
        <v>1186800.93</v>
      </c>
      <c r="BJ11" s="32">
        <v>1310815.72</v>
      </c>
      <c r="BK11" s="32">
        <v>1228561.9</v>
      </c>
      <c r="BL11" s="32">
        <v>1093001.08</v>
      </c>
      <c r="BM11" s="32">
        <v>1304712.96</v>
      </c>
      <c r="BN11" s="32">
        <f>SUM(BB11:BM11)</f>
        <v>12234147.780000001</v>
      </c>
      <c r="BO11" s="32">
        <v>1116748.05</v>
      </c>
      <c r="BP11" s="32">
        <v>1409231.15</v>
      </c>
      <c r="BQ11" s="32">
        <v>749136.35</v>
      </c>
      <c r="BR11" s="32">
        <v>881201.1</v>
      </c>
      <c r="BS11" s="32">
        <v>776206.6</v>
      </c>
      <c r="BT11" s="32">
        <v>882113.8</v>
      </c>
      <c r="BU11" s="32">
        <v>967911.43</v>
      </c>
      <c r="BV11" s="32">
        <v>1151897.11</v>
      </c>
      <c r="BW11" s="32">
        <v>744771.34</v>
      </c>
      <c r="BX11" s="32">
        <v>705962.54</v>
      </c>
      <c r="BY11" s="32">
        <v>574486.27</v>
      </c>
      <c r="BZ11" s="32">
        <v>638778.54</v>
      </c>
      <c r="CA11" s="32">
        <f>SUM(BO11:BZ11)</f>
        <v>10598444.279999997</v>
      </c>
      <c r="CB11" s="32">
        <v>508103.33</v>
      </c>
      <c r="CC11" s="32">
        <v>922152.07</v>
      </c>
      <c r="CD11" s="32">
        <v>481421.05</v>
      </c>
      <c r="CE11" s="32">
        <v>527719.86</v>
      </c>
      <c r="CF11" s="32">
        <v>477343.26</v>
      </c>
      <c r="CG11" s="32">
        <v>556312.34</v>
      </c>
      <c r="CH11" s="32">
        <v>215122.48</v>
      </c>
      <c r="CI11" s="32">
        <v>400274.38</v>
      </c>
      <c r="CJ11" s="32">
        <f>180988.28+195703+8538.48</f>
        <v>385229.76</v>
      </c>
      <c r="CK11" s="32">
        <v>372705.87</v>
      </c>
      <c r="CL11" s="32">
        <v>345674.37</v>
      </c>
      <c r="CM11" s="32">
        <v>438492.42</v>
      </c>
      <c r="CN11" s="32">
        <f>SUM(CB11:CM11)</f>
        <v>5630551.19</v>
      </c>
      <c r="CO11" s="32">
        <v>371200.02</v>
      </c>
      <c r="CP11" s="32">
        <v>557820.54</v>
      </c>
      <c r="CQ11" s="32">
        <v>177488.24</v>
      </c>
      <c r="CR11" s="32">
        <v>37290.62</v>
      </c>
      <c r="CS11" s="32">
        <v>9464.730000000001</v>
      </c>
      <c r="CT11" s="32">
        <v>9313.36</v>
      </c>
      <c r="CU11" s="32">
        <v>27661.15</v>
      </c>
      <c r="CV11" s="32">
        <f>34286.71</f>
        <v>34286.71</v>
      </c>
      <c r="CW11" s="32">
        <v>0</v>
      </c>
      <c r="CX11" s="32">
        <v>0</v>
      </c>
      <c r="CY11" s="32">
        <v>0</v>
      </c>
      <c r="CZ11" s="32">
        <v>0</v>
      </c>
      <c r="DA11" s="32">
        <f>SUM(CO11:CZ11)</f>
        <v>1224525.37</v>
      </c>
      <c r="DB11" s="32">
        <v>0</v>
      </c>
      <c r="DC11" s="32">
        <v>0</v>
      </c>
      <c r="DD11" s="32">
        <v>0</v>
      </c>
      <c r="DE11" s="32">
        <v>0</v>
      </c>
      <c r="DF11" s="32">
        <v>0</v>
      </c>
      <c r="DG11" s="32">
        <v>0</v>
      </c>
      <c r="DH11" s="32">
        <v>0</v>
      </c>
      <c r="DI11" s="32">
        <v>0</v>
      </c>
      <c r="DJ11" s="32">
        <v>0</v>
      </c>
      <c r="DK11" s="32">
        <v>0</v>
      </c>
      <c r="DL11" s="32">
        <v>0</v>
      </c>
      <c r="DM11" s="32">
        <v>0</v>
      </c>
      <c r="DN11" s="32">
        <f>SUM(DB11:DM11)</f>
        <v>0</v>
      </c>
      <c r="DO11" s="32">
        <v>0</v>
      </c>
      <c r="DP11" s="32">
        <v>0</v>
      </c>
      <c r="DQ11" s="32">
        <v>0</v>
      </c>
      <c r="DR11" s="32">
        <v>0</v>
      </c>
      <c r="DS11" s="32">
        <v>0</v>
      </c>
      <c r="DT11" s="32">
        <v>0</v>
      </c>
      <c r="DU11" s="32">
        <v>0</v>
      </c>
      <c r="DV11" s="32">
        <v>0</v>
      </c>
      <c r="DW11" s="32">
        <v>0</v>
      </c>
      <c r="DX11" s="32">
        <v>0</v>
      </c>
      <c r="DY11" s="32">
        <v>0</v>
      </c>
      <c r="DZ11" s="32">
        <v>0</v>
      </c>
      <c r="EA11" s="32">
        <f>SUM(DO11:DZ11)</f>
        <v>0</v>
      </c>
      <c r="EB11" s="32">
        <v>0</v>
      </c>
      <c r="EC11" s="32">
        <v>0</v>
      </c>
      <c r="ED11" s="32">
        <v>0</v>
      </c>
      <c r="EE11" s="32">
        <v>0</v>
      </c>
      <c r="EF11" s="32">
        <v>0</v>
      </c>
      <c r="EG11" s="32">
        <v>0</v>
      </c>
      <c r="EH11" s="32">
        <v>0</v>
      </c>
      <c r="EI11" s="32">
        <v>0</v>
      </c>
      <c r="EJ11" s="32">
        <v>0</v>
      </c>
      <c r="EK11" s="32">
        <v>0</v>
      </c>
      <c r="EL11" s="32">
        <v>0</v>
      </c>
      <c r="EM11" s="32">
        <v>0</v>
      </c>
      <c r="EN11" s="32">
        <f>SUM(EB11:EM11)</f>
        <v>0</v>
      </c>
      <c r="EO11" s="32">
        <v>0</v>
      </c>
      <c r="EP11" s="32">
        <v>0</v>
      </c>
      <c r="EQ11" s="32">
        <v>0</v>
      </c>
      <c r="ER11" s="32">
        <v>0</v>
      </c>
      <c r="ES11" s="32">
        <v>0</v>
      </c>
      <c r="ET11" s="32">
        <v>0</v>
      </c>
      <c r="EU11" s="32">
        <v>0</v>
      </c>
      <c r="EV11" s="32">
        <v>0</v>
      </c>
      <c r="EW11" s="32">
        <v>0</v>
      </c>
      <c r="EX11" s="32">
        <v>0</v>
      </c>
      <c r="EY11" s="32">
        <v>0</v>
      </c>
      <c r="EZ11" s="32">
        <v>0</v>
      </c>
      <c r="FA11" s="32">
        <f>SUM(EO11:EZ11)</f>
        <v>0</v>
      </c>
      <c r="FB11" s="32">
        <v>0</v>
      </c>
      <c r="FC11" s="32">
        <v>0</v>
      </c>
      <c r="FD11" s="32">
        <v>0</v>
      </c>
      <c r="FE11" s="32">
        <v>0</v>
      </c>
      <c r="FF11" s="32">
        <v>0</v>
      </c>
      <c r="FG11" s="32">
        <v>0</v>
      </c>
      <c r="FH11" s="32">
        <v>0</v>
      </c>
      <c r="FI11" s="32">
        <v>0</v>
      </c>
      <c r="FJ11" s="32">
        <v>0</v>
      </c>
      <c r="FK11" s="32">
        <v>0</v>
      </c>
      <c r="FL11" s="32">
        <v>0</v>
      </c>
      <c r="FM11" s="32">
        <v>0</v>
      </c>
      <c r="FN11" s="32">
        <f>SUM(FB11:FM11)</f>
        <v>0</v>
      </c>
      <c r="FO11" s="32">
        <v>0</v>
      </c>
      <c r="FP11" s="32">
        <v>0</v>
      </c>
      <c r="FQ11" s="32">
        <v>0</v>
      </c>
      <c r="FR11" s="32">
        <v>0</v>
      </c>
      <c r="FS11" s="32"/>
      <c r="FT11" s="32"/>
      <c r="FU11" s="32"/>
      <c r="FV11" s="32"/>
      <c r="FW11" s="32"/>
      <c r="FX11" s="32"/>
      <c r="FY11" s="32"/>
      <c r="FZ11" s="32"/>
      <c r="GA11" s="32">
        <f>SUM(FO11:FZ11)</f>
        <v>0</v>
      </c>
      <c r="GB11" s="106">
        <f>N11+AA11+AN11+BA11+BN11+CA11+DA11+CN11+DN11+EA11+EN11+FA11+FN11+GA11</f>
        <v>50600462.51</v>
      </c>
      <c r="GD11" s="59"/>
    </row>
    <row r="12" spans="1:184" s="23" customFormat="1" ht="12.75" customHeight="1" hidden="1" outlineLevel="1">
      <c r="A12" s="154"/>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5"/>
      <c r="CA12" s="155"/>
      <c r="CB12" s="155"/>
      <c r="CC12" s="155"/>
      <c r="CD12" s="155"/>
      <c r="CE12" s="155"/>
      <c r="CF12" s="155"/>
      <c r="CG12" s="155"/>
      <c r="CH12" s="155"/>
      <c r="CI12" s="155"/>
      <c r="CJ12" s="155"/>
      <c r="CK12" s="155"/>
      <c r="CL12" s="155"/>
      <c r="CM12" s="155"/>
      <c r="CN12" s="155"/>
      <c r="CO12" s="155"/>
      <c r="CP12" s="155"/>
      <c r="CQ12" s="155"/>
      <c r="CR12" s="155"/>
      <c r="CS12" s="155"/>
      <c r="CT12" s="155"/>
      <c r="CU12" s="155"/>
      <c r="CV12" s="155"/>
      <c r="CW12" s="155"/>
      <c r="CX12" s="155"/>
      <c r="CY12" s="155"/>
      <c r="CZ12" s="155"/>
      <c r="DA12" s="155"/>
      <c r="DB12" s="155"/>
      <c r="DC12" s="155"/>
      <c r="DD12" s="155"/>
      <c r="DE12" s="155"/>
      <c r="DF12" s="155"/>
      <c r="DG12" s="155"/>
      <c r="DH12" s="155"/>
      <c r="DI12" s="155"/>
      <c r="DJ12" s="155"/>
      <c r="DK12" s="155"/>
      <c r="DL12" s="155"/>
      <c r="DM12" s="155"/>
      <c r="DN12" s="155"/>
      <c r="DO12" s="155"/>
      <c r="DP12" s="155"/>
      <c r="DQ12" s="155"/>
      <c r="DR12" s="155"/>
      <c r="DS12" s="155"/>
      <c r="DT12" s="155"/>
      <c r="DU12" s="155"/>
      <c r="DV12" s="155"/>
      <c r="DW12" s="155"/>
      <c r="DX12" s="155"/>
      <c r="DY12" s="155"/>
      <c r="DZ12" s="155"/>
      <c r="EA12" s="155"/>
      <c r="EB12" s="155"/>
      <c r="EC12" s="155"/>
      <c r="ED12" s="155"/>
      <c r="EE12" s="155"/>
      <c r="EF12" s="155"/>
      <c r="EG12" s="155"/>
      <c r="EH12" s="155"/>
      <c r="EI12" s="155"/>
      <c r="EJ12" s="155"/>
      <c r="EK12" s="155"/>
      <c r="EL12" s="155"/>
      <c r="EM12" s="155"/>
      <c r="EN12" s="155"/>
      <c r="EO12" s="155"/>
      <c r="EP12" s="155"/>
      <c r="EQ12" s="155"/>
      <c r="ER12" s="155"/>
      <c r="ES12" s="155"/>
      <c r="ET12" s="155"/>
      <c r="EU12" s="155"/>
      <c r="EV12" s="155"/>
      <c r="EW12" s="155"/>
      <c r="EX12" s="155"/>
      <c r="EY12" s="155"/>
      <c r="EZ12" s="155"/>
      <c r="FA12" s="155"/>
      <c r="FB12" s="155"/>
      <c r="FC12" s="155"/>
      <c r="FD12" s="155"/>
      <c r="FE12" s="155"/>
      <c r="FF12" s="155"/>
      <c r="FG12" s="155"/>
      <c r="FH12" s="155"/>
      <c r="FI12" s="155"/>
      <c r="FJ12" s="155"/>
      <c r="FK12" s="155"/>
      <c r="FL12" s="155"/>
      <c r="FM12" s="155"/>
      <c r="FN12" s="155"/>
      <c r="FO12" s="155"/>
      <c r="FP12" s="155"/>
      <c r="FQ12" s="155"/>
      <c r="FR12" s="155"/>
      <c r="FS12" s="155"/>
      <c r="FT12" s="155"/>
      <c r="FU12" s="155"/>
      <c r="FV12" s="155"/>
      <c r="FW12" s="155"/>
      <c r="FX12" s="155"/>
      <c r="FY12" s="155"/>
      <c r="FZ12" s="155"/>
      <c r="GA12" s="155"/>
      <c r="GB12" s="156"/>
    </row>
    <row r="13" spans="1:184" s="23" customFormat="1" ht="39" customHeight="1" hidden="1" outlineLevel="1">
      <c r="A13" s="35" t="s">
        <v>35</v>
      </c>
      <c r="B13" s="32"/>
      <c r="C13" s="32"/>
      <c r="D13" s="32"/>
      <c r="E13" s="32"/>
      <c r="F13" s="32"/>
      <c r="G13" s="32"/>
      <c r="H13" s="32"/>
      <c r="I13" s="32"/>
      <c r="J13" s="32"/>
      <c r="K13" s="32"/>
      <c r="L13" s="32">
        <v>0</v>
      </c>
      <c r="M13" s="32">
        <v>0</v>
      </c>
      <c r="N13" s="32">
        <f>SUM(B13:M13)</f>
        <v>0</v>
      </c>
      <c r="O13" s="32">
        <v>0</v>
      </c>
      <c r="P13" s="32">
        <v>0</v>
      </c>
      <c r="Q13" s="32">
        <v>0</v>
      </c>
      <c r="R13" s="32">
        <v>0</v>
      </c>
      <c r="S13" s="32">
        <v>0</v>
      </c>
      <c r="T13" s="32">
        <v>0</v>
      </c>
      <c r="U13" s="32">
        <v>0</v>
      </c>
      <c r="V13" s="32">
        <v>46624.87</v>
      </c>
      <c r="W13" s="32">
        <v>3086.51</v>
      </c>
      <c r="X13" s="32">
        <v>36383.19</v>
      </c>
      <c r="Y13" s="32">
        <v>60263.09</v>
      </c>
      <c r="Z13" s="32">
        <f>70013.06-5548.36</f>
        <v>64464.7</v>
      </c>
      <c r="AA13" s="32">
        <f>SUM(O13:Z13)</f>
        <v>210822.36</v>
      </c>
      <c r="AB13" s="32">
        <v>0</v>
      </c>
      <c r="AC13" s="32">
        <v>39653.22</v>
      </c>
      <c r="AD13" s="32">
        <v>172148.49</v>
      </c>
      <c r="AE13" s="32">
        <v>52006.9</v>
      </c>
      <c r="AF13" s="32">
        <v>57700.42</v>
      </c>
      <c r="AG13" s="32">
        <v>96027.72</v>
      </c>
      <c r="AH13" s="32">
        <v>96393.48</v>
      </c>
      <c r="AI13" s="32">
        <v>79818.97</v>
      </c>
      <c r="AJ13" s="32">
        <v>51245.22</v>
      </c>
      <c r="AK13" s="32">
        <v>69426.8</v>
      </c>
      <c r="AL13" s="32">
        <v>165277.04</v>
      </c>
      <c r="AM13" s="32">
        <v>654135.23</v>
      </c>
      <c r="AN13" s="32">
        <f>SUM(AB13:AM13)</f>
        <v>1533833.49</v>
      </c>
      <c r="AO13" s="32">
        <v>25576.26</v>
      </c>
      <c r="AP13" s="32">
        <v>218848.86</v>
      </c>
      <c r="AQ13" s="32">
        <v>629799.62</v>
      </c>
      <c r="AR13" s="32">
        <v>298545.29</v>
      </c>
      <c r="AS13" s="32">
        <v>675556.93</v>
      </c>
      <c r="AT13" s="32">
        <v>350509.11</v>
      </c>
      <c r="AU13" s="32">
        <v>431559.01</v>
      </c>
      <c r="AV13" s="32">
        <f>332697.77+295433.33+326049.95</f>
        <v>954181.05</v>
      </c>
      <c r="AW13" s="32">
        <v>490127.68</v>
      </c>
      <c r="AX13" s="32">
        <v>372307</v>
      </c>
      <c r="AY13" s="32">
        <v>573450.21</v>
      </c>
      <c r="AZ13" s="32">
        <v>473586.06</v>
      </c>
      <c r="BA13" s="32">
        <f>SUM(AO13:AZ13)</f>
        <v>5494047.08</v>
      </c>
      <c r="BB13" s="32">
        <v>417049.94</v>
      </c>
      <c r="BC13" s="32">
        <v>672914.38</v>
      </c>
      <c r="BD13" s="32">
        <v>465596.14</v>
      </c>
      <c r="BE13" s="32">
        <v>163823.32</v>
      </c>
      <c r="BF13" s="32">
        <v>671474.71</v>
      </c>
      <c r="BG13" s="32">
        <v>305611.79</v>
      </c>
      <c r="BH13" s="32">
        <v>364406.88</v>
      </c>
      <c r="BI13" s="32">
        <v>1127852.51</v>
      </c>
      <c r="BJ13" s="32">
        <v>355876.41</v>
      </c>
      <c r="BK13" s="32">
        <v>323480.98</v>
      </c>
      <c r="BL13" s="32">
        <v>579597.03</v>
      </c>
      <c r="BM13" s="32">
        <f>913901.47-519.38</f>
        <v>913382.09</v>
      </c>
      <c r="BN13" s="32">
        <f>SUM(BB13:BM13)</f>
        <v>6361066.180000001</v>
      </c>
      <c r="BO13" s="32">
        <f>131631.12+138691.37</f>
        <v>270322.49</v>
      </c>
      <c r="BP13" s="32">
        <v>523680.88</v>
      </c>
      <c r="BQ13" s="32">
        <v>504424.97</v>
      </c>
      <c r="BR13" s="32">
        <v>335328.72</v>
      </c>
      <c r="BS13" s="32">
        <v>497911.37</v>
      </c>
      <c r="BT13" s="32">
        <v>262699.33</v>
      </c>
      <c r="BU13" s="32">
        <v>178364.39</v>
      </c>
      <c r="BV13" s="32">
        <v>513232.14</v>
      </c>
      <c r="BW13" s="32">
        <v>181315.28</v>
      </c>
      <c r="BX13" s="32">
        <v>206850.25</v>
      </c>
      <c r="BY13" s="32">
        <v>305962.55</v>
      </c>
      <c r="BZ13" s="32">
        <v>381808.75</v>
      </c>
      <c r="CA13" s="32">
        <f>SUM(BO13:BZ13)</f>
        <v>4161901.1199999996</v>
      </c>
      <c r="CB13" s="32">
        <v>114957.06</v>
      </c>
      <c r="CC13" s="32">
        <v>596953.62</v>
      </c>
      <c r="CD13" s="32">
        <v>407877.94</v>
      </c>
      <c r="CE13" s="32">
        <v>89723.3</v>
      </c>
      <c r="CF13" s="32">
        <v>114617.04</v>
      </c>
      <c r="CG13" s="32">
        <v>223860.43</v>
      </c>
      <c r="CH13" s="32">
        <v>93121.66</v>
      </c>
      <c r="CI13" s="32">
        <v>169217.01</v>
      </c>
      <c r="CJ13" s="32">
        <v>153537.94</v>
      </c>
      <c r="CK13" s="32">
        <v>42111.05</v>
      </c>
      <c r="CL13" s="32">
        <v>207486.31</v>
      </c>
      <c r="CM13" s="32">
        <v>113885.31</v>
      </c>
      <c r="CN13" s="32">
        <f>SUM(CB13:CM13)</f>
        <v>2327348.67</v>
      </c>
      <c r="CO13" s="32">
        <v>83461.84</v>
      </c>
      <c r="CP13" s="32">
        <v>146688.5</v>
      </c>
      <c r="CQ13" s="32">
        <v>195257.15</v>
      </c>
      <c r="CR13" s="32">
        <v>84507.33</v>
      </c>
      <c r="CS13" s="32">
        <v>96185.16</v>
      </c>
      <c r="CT13" s="32">
        <v>99094.62</v>
      </c>
      <c r="CU13" s="32">
        <v>92131.48</v>
      </c>
      <c r="CV13" s="32">
        <v>217580.5</v>
      </c>
      <c r="CW13" s="32">
        <v>423837.29</v>
      </c>
      <c r="CX13" s="32">
        <v>13206.9</v>
      </c>
      <c r="CY13" s="32">
        <v>0</v>
      </c>
      <c r="CZ13" s="32">
        <v>268835.44</v>
      </c>
      <c r="DA13" s="32">
        <f>SUM(CO13:CZ13)</f>
        <v>1720786.2099999997</v>
      </c>
      <c r="DB13" s="32">
        <v>0</v>
      </c>
      <c r="DC13" s="32">
        <v>84416.36</v>
      </c>
      <c r="DD13" s="32">
        <v>-105</v>
      </c>
      <c r="DE13" s="32">
        <v>11186.99</v>
      </c>
      <c r="DF13" s="32">
        <v>-60</v>
      </c>
      <c r="DG13" s="32">
        <v>0</v>
      </c>
      <c r="DH13" s="32">
        <v>0</v>
      </c>
      <c r="DI13" s="32">
        <v>0</v>
      </c>
      <c r="DJ13" s="32">
        <v>0</v>
      </c>
      <c r="DK13" s="32">
        <v>0</v>
      </c>
      <c r="DL13" s="32">
        <v>0</v>
      </c>
      <c r="DM13" s="32">
        <v>0</v>
      </c>
      <c r="DN13" s="32">
        <f>SUM(DB13:DM13)</f>
        <v>95438.35</v>
      </c>
      <c r="DO13" s="32">
        <v>0</v>
      </c>
      <c r="DP13" s="32">
        <v>0</v>
      </c>
      <c r="DQ13" s="32">
        <v>-1065.71</v>
      </c>
      <c r="DR13" s="32">
        <v>0</v>
      </c>
      <c r="DS13" s="32">
        <v>0</v>
      </c>
      <c r="DT13" s="32">
        <v>0</v>
      </c>
      <c r="DU13" s="32">
        <v>0</v>
      </c>
      <c r="DV13" s="32">
        <v>0</v>
      </c>
      <c r="DW13" s="32">
        <v>0</v>
      </c>
      <c r="DX13" s="32">
        <v>0</v>
      </c>
      <c r="DY13" s="32">
        <v>0</v>
      </c>
      <c r="DZ13" s="32">
        <v>0</v>
      </c>
      <c r="EA13" s="32">
        <f>SUM(DO13:DZ13)</f>
        <v>-1065.71</v>
      </c>
      <c r="EB13" s="32">
        <v>0</v>
      </c>
      <c r="EC13" s="32">
        <v>0</v>
      </c>
      <c r="ED13" s="32">
        <v>0</v>
      </c>
      <c r="EE13" s="32">
        <v>0</v>
      </c>
      <c r="EF13" s="32">
        <v>0</v>
      </c>
      <c r="EG13" s="32">
        <v>0</v>
      </c>
      <c r="EH13" s="32">
        <v>0</v>
      </c>
      <c r="EI13" s="32">
        <v>0</v>
      </c>
      <c r="EJ13" s="32">
        <v>0</v>
      </c>
      <c r="EK13" s="32">
        <v>0</v>
      </c>
      <c r="EL13" s="32">
        <v>0</v>
      </c>
      <c r="EM13" s="32">
        <v>0</v>
      </c>
      <c r="EN13" s="32">
        <f>SUM(EB13:EM13)</f>
        <v>0</v>
      </c>
      <c r="EO13" s="32">
        <v>0</v>
      </c>
      <c r="EP13" s="32">
        <v>0</v>
      </c>
      <c r="EQ13" s="32">
        <v>0</v>
      </c>
      <c r="ER13" s="32">
        <v>0</v>
      </c>
      <c r="ES13" s="32">
        <v>0</v>
      </c>
      <c r="ET13" s="32">
        <v>0</v>
      </c>
      <c r="EU13" s="32">
        <v>0</v>
      </c>
      <c r="EV13" s="32">
        <v>0</v>
      </c>
      <c r="EW13" s="32">
        <v>0</v>
      </c>
      <c r="EX13" s="32">
        <v>0</v>
      </c>
      <c r="EY13" s="32">
        <v>0</v>
      </c>
      <c r="EZ13" s="32">
        <v>0</v>
      </c>
      <c r="FA13" s="32">
        <f>SUM(EO13:EZ13)</f>
        <v>0</v>
      </c>
      <c r="FB13" s="32">
        <v>0</v>
      </c>
      <c r="FC13" s="32">
        <v>0</v>
      </c>
      <c r="FD13" s="32">
        <v>0</v>
      </c>
      <c r="FE13" s="32">
        <v>0</v>
      </c>
      <c r="FF13" s="32">
        <v>0</v>
      </c>
      <c r="FG13" s="32">
        <v>0</v>
      </c>
      <c r="FH13" s="32">
        <v>0</v>
      </c>
      <c r="FI13" s="32">
        <v>0</v>
      </c>
      <c r="FJ13" s="32">
        <v>0</v>
      </c>
      <c r="FK13" s="32">
        <v>0</v>
      </c>
      <c r="FL13" s="32">
        <v>0</v>
      </c>
      <c r="FM13" s="32">
        <v>0</v>
      </c>
      <c r="FN13" s="32">
        <f>SUM(FB13:FM13)</f>
        <v>0</v>
      </c>
      <c r="FO13" s="32">
        <v>0</v>
      </c>
      <c r="FP13" s="32">
        <v>0</v>
      </c>
      <c r="FQ13" s="32">
        <v>0</v>
      </c>
      <c r="FR13" s="32">
        <v>0</v>
      </c>
      <c r="FS13" s="32"/>
      <c r="FT13" s="32"/>
      <c r="FU13" s="32"/>
      <c r="FV13" s="32"/>
      <c r="FW13" s="32"/>
      <c r="FX13" s="32"/>
      <c r="FY13" s="32"/>
      <c r="FZ13" s="32"/>
      <c r="GA13" s="32">
        <f>SUM(FO13:FZ13)</f>
        <v>0</v>
      </c>
      <c r="GB13" s="106">
        <f>N13+AA13+AN13+BA13+BN13+CA13+DA13+CN13+DN13+EA13+EN13+FA13+FN13+GA13</f>
        <v>21904177.75</v>
      </c>
    </row>
    <row r="14" spans="1:184" s="23" customFormat="1" ht="12.75" customHeight="1" hidden="1" outlineLevel="1">
      <c r="A14" s="154"/>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c r="DD14" s="155"/>
      <c r="DE14" s="155"/>
      <c r="DF14" s="155"/>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155"/>
      <c r="EM14" s="155"/>
      <c r="EN14" s="155"/>
      <c r="EO14" s="155"/>
      <c r="EP14" s="155"/>
      <c r="EQ14" s="155"/>
      <c r="ER14" s="155"/>
      <c r="ES14" s="155"/>
      <c r="ET14" s="155"/>
      <c r="EU14" s="155"/>
      <c r="EV14" s="155"/>
      <c r="EW14" s="155"/>
      <c r="EX14" s="155"/>
      <c r="EY14" s="155"/>
      <c r="EZ14" s="155"/>
      <c r="FA14" s="155"/>
      <c r="FB14" s="155"/>
      <c r="FC14" s="155"/>
      <c r="FD14" s="155"/>
      <c r="FE14" s="155"/>
      <c r="FF14" s="155"/>
      <c r="FG14" s="155"/>
      <c r="FH14" s="155"/>
      <c r="FI14" s="155"/>
      <c r="FJ14" s="155"/>
      <c r="FK14" s="155"/>
      <c r="FL14" s="155"/>
      <c r="FM14" s="155"/>
      <c r="FN14" s="155"/>
      <c r="FO14" s="155"/>
      <c r="FP14" s="155"/>
      <c r="FQ14" s="155"/>
      <c r="FR14" s="155"/>
      <c r="FS14" s="155"/>
      <c r="FT14" s="155"/>
      <c r="FU14" s="155"/>
      <c r="FV14" s="155"/>
      <c r="FW14" s="155"/>
      <c r="FX14" s="155"/>
      <c r="FY14" s="155"/>
      <c r="FZ14" s="155"/>
      <c r="GA14" s="155"/>
      <c r="GB14" s="156"/>
    </row>
    <row r="15" spans="1:184" s="23" customFormat="1" ht="27" customHeight="1" hidden="1" outlineLevel="1" thickBot="1">
      <c r="A15" s="34" t="s">
        <v>36</v>
      </c>
      <c r="B15" s="32"/>
      <c r="C15" s="32"/>
      <c r="D15" s="32"/>
      <c r="E15" s="32"/>
      <c r="F15" s="32"/>
      <c r="G15" s="32"/>
      <c r="H15" s="32"/>
      <c r="I15" s="32"/>
      <c r="J15" s="32"/>
      <c r="K15" s="32"/>
      <c r="L15" s="32">
        <v>0</v>
      </c>
      <c r="M15" s="32">
        <v>0</v>
      </c>
      <c r="N15" s="32">
        <f>SUM(B15:M15)</f>
        <v>0</v>
      </c>
      <c r="O15" s="32">
        <v>0</v>
      </c>
      <c r="P15" s="32">
        <v>0</v>
      </c>
      <c r="Q15" s="32">
        <v>454825.69</v>
      </c>
      <c r="R15" s="32">
        <v>235787.63</v>
      </c>
      <c r="S15" s="32">
        <v>107813.79</v>
      </c>
      <c r="T15" s="32">
        <v>59145.1</v>
      </c>
      <c r="U15" s="32">
        <v>261.93</v>
      </c>
      <c r="V15" s="32">
        <v>450508.45</v>
      </c>
      <c r="W15" s="32">
        <v>451793.76</v>
      </c>
      <c r="X15" s="32">
        <v>274507.18</v>
      </c>
      <c r="Y15" s="32">
        <v>199659.94</v>
      </c>
      <c r="Z15" s="32">
        <v>230927.42</v>
      </c>
      <c r="AA15" s="32">
        <f>SUM(O15:Z15)</f>
        <v>2465230.89</v>
      </c>
      <c r="AB15" s="32">
        <v>50001.76</v>
      </c>
      <c r="AC15" s="32">
        <v>280371.36</v>
      </c>
      <c r="AD15" s="32">
        <v>271753.03</v>
      </c>
      <c r="AE15" s="32">
        <v>6898.22</v>
      </c>
      <c r="AF15" s="32">
        <v>310727.8</v>
      </c>
      <c r="AG15" s="32">
        <v>549834.85</v>
      </c>
      <c r="AH15" s="32">
        <v>238095.76</v>
      </c>
      <c r="AI15" s="32">
        <v>486363.83</v>
      </c>
      <c r="AJ15" s="32">
        <v>119410.78</v>
      </c>
      <c r="AK15" s="32">
        <v>6423.7</v>
      </c>
      <c r="AL15" s="32">
        <v>386622.98</v>
      </c>
      <c r="AM15" s="32">
        <v>255120.15</v>
      </c>
      <c r="AN15" s="32">
        <f>SUM(AB15:AM15)</f>
        <v>2961624.2199999997</v>
      </c>
      <c r="AO15" s="32">
        <v>6413.81</v>
      </c>
      <c r="AP15" s="32">
        <v>592754.32</v>
      </c>
      <c r="AQ15" s="32">
        <v>120799.31</v>
      </c>
      <c r="AR15" s="32">
        <v>82994.19</v>
      </c>
      <c r="AS15" s="32">
        <v>374825.94</v>
      </c>
      <c r="AT15" s="32">
        <v>134086.2</v>
      </c>
      <c r="AU15" s="32">
        <v>121585.24</v>
      </c>
      <c r="AV15" s="32">
        <v>621463.16</v>
      </c>
      <c r="AW15" s="32">
        <v>190275.3</v>
      </c>
      <c r="AX15" s="32">
        <v>28314.86</v>
      </c>
      <c r="AY15" s="32">
        <v>551095.4</v>
      </c>
      <c r="AZ15" s="32">
        <v>280547.51</v>
      </c>
      <c r="BA15" s="32">
        <f>SUM(AO15:AZ15)</f>
        <v>3105155.2399999993</v>
      </c>
      <c r="BB15" s="32">
        <v>0</v>
      </c>
      <c r="BC15" s="32">
        <v>934933.47</v>
      </c>
      <c r="BD15" s="32">
        <v>119481.35</v>
      </c>
      <c r="BE15" s="32">
        <v>182082.43</v>
      </c>
      <c r="BF15" s="32">
        <v>205127.96</v>
      </c>
      <c r="BG15" s="32">
        <v>310661.27</v>
      </c>
      <c r="BH15" s="32">
        <v>46771.43</v>
      </c>
      <c r="BI15" s="32">
        <v>479988.88</v>
      </c>
      <c r="BJ15" s="32">
        <v>188745.08</v>
      </c>
      <c r="BK15" s="32">
        <v>6497.64</v>
      </c>
      <c r="BL15" s="32">
        <v>451344.06</v>
      </c>
      <c r="BM15" s="32">
        <v>185960.42</v>
      </c>
      <c r="BN15" s="32">
        <f>SUM(BB15:BM15)</f>
        <v>3111593.99</v>
      </c>
      <c r="BO15" s="32">
        <v>61.71</v>
      </c>
      <c r="BP15" s="32">
        <v>305764.52</v>
      </c>
      <c r="BQ15" s="32">
        <v>115575.08</v>
      </c>
      <c r="BR15" s="32">
        <v>0</v>
      </c>
      <c r="BS15" s="32">
        <v>191236.22</v>
      </c>
      <c r="BT15" s="32">
        <v>218057.7</v>
      </c>
      <c r="BU15" s="32">
        <v>4009.97</v>
      </c>
      <c r="BV15" s="32">
        <v>382806.55</v>
      </c>
      <c r="BW15" s="32">
        <v>169122.31</v>
      </c>
      <c r="BX15" s="32">
        <v>16013.47</v>
      </c>
      <c r="BY15" s="32">
        <v>178437.06</v>
      </c>
      <c r="BZ15" s="32">
        <v>330393.82</v>
      </c>
      <c r="CA15" s="32">
        <f>SUM(BO15:BZ15)</f>
        <v>1911478.4100000001</v>
      </c>
      <c r="CB15" s="32">
        <v>46.11</v>
      </c>
      <c r="CC15" s="32">
        <v>265859.01</v>
      </c>
      <c r="CD15" s="32">
        <v>319582.78</v>
      </c>
      <c r="CE15" s="32">
        <v>101273.57</v>
      </c>
      <c r="CF15" s="32">
        <v>139538.46</v>
      </c>
      <c r="CG15" s="32">
        <v>221318.61</v>
      </c>
      <c r="CH15" s="32">
        <v>10948.95</v>
      </c>
      <c r="CI15" s="32">
        <v>313629.08</v>
      </c>
      <c r="CJ15" s="32">
        <v>282034.07</v>
      </c>
      <c r="CK15" s="32">
        <v>41418.6</v>
      </c>
      <c r="CL15" s="32">
        <v>250361.04</v>
      </c>
      <c r="CM15" s="32">
        <v>217406.73</v>
      </c>
      <c r="CN15" s="32">
        <f>SUM(CB15:CM15)</f>
        <v>2163417.0100000002</v>
      </c>
      <c r="CO15" s="32">
        <v>5944.53</v>
      </c>
      <c r="CP15" s="32">
        <v>189916.67</v>
      </c>
      <c r="CQ15" s="32">
        <v>296783.93</v>
      </c>
      <c r="CR15" s="32">
        <v>2573.59</v>
      </c>
      <c r="CS15" s="32">
        <v>110603.37</v>
      </c>
      <c r="CT15" s="32">
        <v>232296.49</v>
      </c>
      <c r="CU15" s="32">
        <v>3364.11</v>
      </c>
      <c r="CV15" s="32">
        <v>160069.14</v>
      </c>
      <c r="CW15" s="32">
        <v>189663.48</v>
      </c>
      <c r="CX15" s="32">
        <v>60824.34</v>
      </c>
      <c r="CY15" s="32">
        <v>153682.15</v>
      </c>
      <c r="CZ15" s="32">
        <v>245984</v>
      </c>
      <c r="DA15" s="32">
        <f>SUM(CO15:CZ15)</f>
        <v>1651705.8</v>
      </c>
      <c r="DB15" s="32">
        <v>63.21</v>
      </c>
      <c r="DC15" s="32">
        <v>116737.51</v>
      </c>
      <c r="DD15" s="32">
        <v>416085.52</v>
      </c>
      <c r="DE15" s="32">
        <v>5176.89</v>
      </c>
      <c r="DF15" s="32">
        <v>0</v>
      </c>
      <c r="DG15" s="32">
        <v>0</v>
      </c>
      <c r="DH15" s="32">
        <v>0</v>
      </c>
      <c r="DI15" s="32">
        <v>0</v>
      </c>
      <c r="DJ15" s="32">
        <v>-716.48</v>
      </c>
      <c r="DK15" s="32">
        <v>0</v>
      </c>
      <c r="DL15" s="32">
        <v>0</v>
      </c>
      <c r="DM15" s="32">
        <v>0</v>
      </c>
      <c r="DN15" s="32">
        <f>SUM(DB15:DM15)</f>
        <v>537346.65</v>
      </c>
      <c r="DO15" s="32">
        <v>0</v>
      </c>
      <c r="DP15" s="32">
        <v>0</v>
      </c>
      <c r="DQ15" s="32">
        <v>0</v>
      </c>
      <c r="DR15" s="32">
        <v>0</v>
      </c>
      <c r="DS15" s="32">
        <v>0</v>
      </c>
      <c r="DT15" s="32">
        <v>0</v>
      </c>
      <c r="DU15" s="32">
        <v>0</v>
      </c>
      <c r="DV15" s="32">
        <v>0</v>
      </c>
      <c r="DW15" s="32">
        <v>0</v>
      </c>
      <c r="DX15" s="32">
        <v>0</v>
      </c>
      <c r="DY15" s="32">
        <v>0</v>
      </c>
      <c r="DZ15" s="32">
        <v>0</v>
      </c>
      <c r="EA15" s="32">
        <f>SUM(DO15:DZ15)</f>
        <v>0</v>
      </c>
      <c r="EB15" s="32">
        <v>0</v>
      </c>
      <c r="EC15" s="32">
        <v>0</v>
      </c>
      <c r="ED15" s="32">
        <v>0</v>
      </c>
      <c r="EE15" s="32">
        <v>0</v>
      </c>
      <c r="EF15" s="32">
        <v>0</v>
      </c>
      <c r="EG15" s="32">
        <v>0</v>
      </c>
      <c r="EH15" s="32">
        <v>0</v>
      </c>
      <c r="EI15" s="32">
        <v>0</v>
      </c>
      <c r="EJ15" s="32">
        <v>0</v>
      </c>
      <c r="EK15" s="32">
        <v>0</v>
      </c>
      <c r="EL15" s="32">
        <v>0</v>
      </c>
      <c r="EM15" s="32">
        <v>0</v>
      </c>
      <c r="EN15" s="32">
        <f>SUM(EB15:EM15)</f>
        <v>0</v>
      </c>
      <c r="EO15" s="32">
        <v>0</v>
      </c>
      <c r="EP15" s="32">
        <v>0</v>
      </c>
      <c r="EQ15" s="32">
        <v>0</v>
      </c>
      <c r="ER15" s="32">
        <v>0</v>
      </c>
      <c r="ES15" s="32">
        <v>0</v>
      </c>
      <c r="ET15" s="32">
        <v>0</v>
      </c>
      <c r="EU15" s="32">
        <v>0</v>
      </c>
      <c r="EV15" s="32">
        <v>0</v>
      </c>
      <c r="EW15" s="32">
        <v>0</v>
      </c>
      <c r="EX15" s="32">
        <v>0</v>
      </c>
      <c r="EY15" s="32">
        <v>0</v>
      </c>
      <c r="EZ15" s="32">
        <v>0</v>
      </c>
      <c r="FA15" s="32">
        <f>SUM(EO15:EZ15)</f>
        <v>0</v>
      </c>
      <c r="FB15" s="32">
        <v>0</v>
      </c>
      <c r="FC15" s="32">
        <v>0</v>
      </c>
      <c r="FD15" s="32">
        <v>0</v>
      </c>
      <c r="FE15" s="32">
        <v>0</v>
      </c>
      <c r="FF15" s="32">
        <v>0</v>
      </c>
      <c r="FG15" s="32">
        <v>0</v>
      </c>
      <c r="FH15" s="32">
        <v>0</v>
      </c>
      <c r="FI15" s="32">
        <v>0</v>
      </c>
      <c r="FJ15" s="32"/>
      <c r="FK15" s="32">
        <v>0</v>
      </c>
      <c r="FL15" s="32">
        <v>0</v>
      </c>
      <c r="FM15" s="32">
        <v>0</v>
      </c>
      <c r="FN15" s="32">
        <f>SUM(FB15:FM15)</f>
        <v>0</v>
      </c>
      <c r="FO15" s="32">
        <v>0</v>
      </c>
      <c r="FP15" s="32">
        <v>0</v>
      </c>
      <c r="FQ15" s="32">
        <v>0</v>
      </c>
      <c r="FR15" s="32">
        <v>0</v>
      </c>
      <c r="FS15" s="32"/>
      <c r="FT15" s="32"/>
      <c r="FU15" s="32"/>
      <c r="FV15" s="32"/>
      <c r="FW15" s="32"/>
      <c r="FX15" s="32"/>
      <c r="FY15" s="32"/>
      <c r="FZ15" s="32"/>
      <c r="GA15" s="32">
        <f>SUM(FO15:FZ15)</f>
        <v>0</v>
      </c>
      <c r="GB15" s="106">
        <f>N15+AA15+AN15+BA15+BN15+CA15+DA15+CN15+DN15+EA15+EN15+FA15+FN15+GA15</f>
        <v>17907552.209999997</v>
      </c>
    </row>
    <row r="16" spans="1:184" s="23" customFormat="1" ht="13.5" collapsed="1" thickBot="1">
      <c r="A16" s="36" t="s">
        <v>56</v>
      </c>
      <c r="B16" s="37">
        <f>B5+B7+B9+B11+B13+B15</f>
        <v>0</v>
      </c>
      <c r="C16" s="37">
        <f aca="true" t="shared" si="0" ref="C16:BN16">C5+C7+C9+C11+C13+C15</f>
        <v>0</v>
      </c>
      <c r="D16" s="37">
        <f t="shared" si="0"/>
        <v>0</v>
      </c>
      <c r="E16" s="37">
        <f t="shared" si="0"/>
        <v>0</v>
      </c>
      <c r="F16" s="37">
        <f t="shared" si="0"/>
        <v>0</v>
      </c>
      <c r="G16" s="37">
        <f t="shared" si="0"/>
        <v>0</v>
      </c>
      <c r="H16" s="37">
        <f t="shared" si="0"/>
        <v>0</v>
      </c>
      <c r="I16" s="37">
        <f t="shared" si="0"/>
        <v>0</v>
      </c>
      <c r="J16" s="37">
        <f t="shared" si="0"/>
        <v>0</v>
      </c>
      <c r="K16" s="37">
        <f t="shared" si="0"/>
        <v>0</v>
      </c>
      <c r="L16" s="37">
        <f t="shared" si="0"/>
        <v>0</v>
      </c>
      <c r="M16" s="37">
        <f>M5+M7+M9+M11+M13+M15</f>
        <v>235381.24</v>
      </c>
      <c r="N16" s="37">
        <f>N5+N7+N9+N11+N13+N15</f>
        <v>235381.24</v>
      </c>
      <c r="O16" s="37">
        <f>O5+O7+O9+O11+O13+O15</f>
        <v>0</v>
      </c>
      <c r="P16" s="37">
        <f>P5+P7+P9+P11+P13+P15</f>
        <v>27399.94</v>
      </c>
      <c r="Q16" s="37">
        <f>Q5+Q7+Q9+Q11+Q13+Q15</f>
        <v>2076229.7899999998</v>
      </c>
      <c r="R16" s="37">
        <f t="shared" si="0"/>
        <v>321954.85</v>
      </c>
      <c r="S16" s="37">
        <f t="shared" si="0"/>
        <v>2120361.78</v>
      </c>
      <c r="T16" s="37">
        <f>T5+T7+T9+T11+T13+T15</f>
        <v>1967367.7500000002</v>
      </c>
      <c r="U16" s="37">
        <f>U5+U7+U9+U11+U13+U15</f>
        <v>745372.9900000001</v>
      </c>
      <c r="V16" s="37">
        <f>V5+V7+V9+V11+V13+V15</f>
        <v>6359961.75</v>
      </c>
      <c r="W16" s="37">
        <f t="shared" si="0"/>
        <v>3280456.7299999995</v>
      </c>
      <c r="X16" s="37">
        <f t="shared" si="0"/>
        <v>2470925.61</v>
      </c>
      <c r="Y16" s="37">
        <f t="shared" si="0"/>
        <v>8224010.319999999</v>
      </c>
      <c r="Z16" s="37">
        <f t="shared" si="0"/>
        <v>30419575.860000003</v>
      </c>
      <c r="AA16" s="37">
        <f>AA5+AA7+AA9+AA11+AA13+AA15</f>
        <v>58013617.37</v>
      </c>
      <c r="AB16" s="37">
        <f t="shared" si="0"/>
        <v>1167580.59</v>
      </c>
      <c r="AC16" s="37">
        <f>AC5+AC7+AC9+AC11+AC13+AC15</f>
        <v>13100271.520000001</v>
      </c>
      <c r="AD16" s="37">
        <f t="shared" si="0"/>
        <v>5607945.910000001</v>
      </c>
      <c r="AE16" s="37">
        <f t="shared" si="0"/>
        <v>6971787.42</v>
      </c>
      <c r="AF16" s="37">
        <f t="shared" si="0"/>
        <v>10165931.780000001</v>
      </c>
      <c r="AG16" s="37">
        <f>AG5+AG7+AG9+AG11+AG13+AG15</f>
        <v>10607676.85</v>
      </c>
      <c r="AH16" s="37">
        <f t="shared" si="0"/>
        <v>5971807.04</v>
      </c>
      <c r="AI16" s="37">
        <f t="shared" si="0"/>
        <v>10265952.26</v>
      </c>
      <c r="AJ16" s="37">
        <f t="shared" si="0"/>
        <v>5168345.32</v>
      </c>
      <c r="AK16" s="37">
        <f t="shared" si="0"/>
        <v>16754147.59</v>
      </c>
      <c r="AL16" s="37">
        <f t="shared" si="0"/>
        <v>7381604.99</v>
      </c>
      <c r="AM16" s="37">
        <f t="shared" si="0"/>
        <v>16472046.33</v>
      </c>
      <c r="AN16" s="37">
        <f>AN5+AN7+AN9+AN11+AN13+AN15</f>
        <v>109635097.6</v>
      </c>
      <c r="AO16" s="37">
        <f>AO5+AO7+AO9+AO11+AO13+AO15</f>
        <v>7377184.2299999995</v>
      </c>
      <c r="AP16" s="37">
        <f t="shared" si="0"/>
        <v>12823584.43</v>
      </c>
      <c r="AQ16" s="37">
        <f>AQ5+AQ7+AQ9+AQ11+AQ13+AQ15</f>
        <v>11119276.059999999</v>
      </c>
      <c r="AR16" s="37">
        <f>AR5+AR7+AR9+AR11+AR13+AR15</f>
        <v>5713411.109999999</v>
      </c>
      <c r="AS16" s="37">
        <f t="shared" si="0"/>
        <v>15989630.52</v>
      </c>
      <c r="AT16" s="37">
        <f t="shared" si="0"/>
        <v>9182504.049999999</v>
      </c>
      <c r="AU16" s="37">
        <f t="shared" si="0"/>
        <v>10753363.220000003</v>
      </c>
      <c r="AV16" s="37">
        <f>AV5+AV7+AV9+AV11+AV13+AV15</f>
        <v>15291833.67</v>
      </c>
      <c r="AW16" s="37">
        <f t="shared" si="0"/>
        <v>8992779.05</v>
      </c>
      <c r="AX16" s="37">
        <f t="shared" si="0"/>
        <v>22522431.200000003</v>
      </c>
      <c r="AY16" s="37">
        <f t="shared" si="0"/>
        <v>9148388.06</v>
      </c>
      <c r="AZ16" s="37">
        <f t="shared" si="0"/>
        <v>21327522.34</v>
      </c>
      <c r="BA16" s="37">
        <f>BA5+BA7+BA9+BA11+BA13+BA15</f>
        <v>150241907.94</v>
      </c>
      <c r="BB16" s="37">
        <f t="shared" si="0"/>
        <v>7136439.600000001</v>
      </c>
      <c r="BC16" s="37">
        <f t="shared" si="0"/>
        <v>7915727.1899999995</v>
      </c>
      <c r="BD16" s="37">
        <f t="shared" si="0"/>
        <v>3383716.89</v>
      </c>
      <c r="BE16" s="37">
        <f t="shared" si="0"/>
        <v>10280158.48</v>
      </c>
      <c r="BF16" s="37">
        <f t="shared" si="0"/>
        <v>10152747.490000002</v>
      </c>
      <c r="BG16" s="37">
        <f t="shared" si="0"/>
        <v>8593056.83</v>
      </c>
      <c r="BH16" s="37">
        <f t="shared" si="0"/>
        <v>8289880.279999998</v>
      </c>
      <c r="BI16" s="37">
        <f t="shared" si="0"/>
        <v>15833608.88</v>
      </c>
      <c r="BJ16" s="37">
        <f t="shared" si="0"/>
        <v>9573713.21</v>
      </c>
      <c r="BK16" s="37">
        <f t="shared" si="0"/>
        <v>12666508.82</v>
      </c>
      <c r="BL16" s="37">
        <f t="shared" si="0"/>
        <v>11357175.79</v>
      </c>
      <c r="BM16" s="37">
        <f t="shared" si="0"/>
        <v>9512938.229999999</v>
      </c>
      <c r="BN16" s="37">
        <f t="shared" si="0"/>
        <v>114695671.69000001</v>
      </c>
      <c r="BO16" s="37">
        <f aca="true" t="shared" si="1" ref="BO16:CM16">BO5+BO7+BO9+BO11+BO13+BO15</f>
        <v>7678969.64</v>
      </c>
      <c r="BP16" s="37">
        <f t="shared" si="1"/>
        <v>11498669.3</v>
      </c>
      <c r="BQ16" s="37">
        <f t="shared" si="1"/>
        <v>5427574.609999999</v>
      </c>
      <c r="BR16" s="37">
        <f t="shared" si="1"/>
        <v>9852046.81</v>
      </c>
      <c r="BS16" s="37">
        <f t="shared" si="1"/>
        <v>8873555.43</v>
      </c>
      <c r="BT16" s="37">
        <f t="shared" si="1"/>
        <v>7392661.45</v>
      </c>
      <c r="BU16" s="37">
        <f t="shared" si="1"/>
        <v>7152890.549999999</v>
      </c>
      <c r="BV16" s="37">
        <f t="shared" si="1"/>
        <v>2316700.34</v>
      </c>
      <c r="BW16" s="37">
        <f t="shared" si="1"/>
        <v>5833515.379999999</v>
      </c>
      <c r="BX16" s="37">
        <f t="shared" si="1"/>
        <v>7517164.52</v>
      </c>
      <c r="BY16" s="37">
        <f t="shared" si="1"/>
        <v>9702494.330000002</v>
      </c>
      <c r="BZ16" s="37">
        <f>BZ5+BZ7+BZ9+BZ11+BZ13+BZ15</f>
        <v>8791208.98</v>
      </c>
      <c r="CA16" s="37">
        <f>CA5+CA7+CA9+CA11+CA13+CA15</f>
        <v>92037451.34</v>
      </c>
      <c r="CB16" s="37">
        <f t="shared" si="1"/>
        <v>1041741.7200000001</v>
      </c>
      <c r="CC16" s="37">
        <f t="shared" si="1"/>
        <v>7032085.62</v>
      </c>
      <c r="CD16" s="37">
        <f t="shared" si="1"/>
        <v>4977977.91</v>
      </c>
      <c r="CE16" s="37">
        <f t="shared" si="1"/>
        <v>7209319.55</v>
      </c>
      <c r="CF16" s="37">
        <f t="shared" si="1"/>
        <v>5133458.029999999</v>
      </c>
      <c r="CG16" s="37">
        <f t="shared" si="1"/>
        <v>7275000.84</v>
      </c>
      <c r="CH16" s="37">
        <f t="shared" si="1"/>
        <v>9066507.5</v>
      </c>
      <c r="CI16" s="37">
        <f t="shared" si="1"/>
        <v>4089776.9299999997</v>
      </c>
      <c r="CJ16" s="37">
        <f t="shared" si="1"/>
        <v>5703719.61</v>
      </c>
      <c r="CK16" s="37">
        <f t="shared" si="1"/>
        <v>4360644.68</v>
      </c>
      <c r="CL16" s="37">
        <f t="shared" si="1"/>
        <v>5680847.8</v>
      </c>
      <c r="CM16" s="37">
        <f t="shared" si="1"/>
        <v>5520291.069999999</v>
      </c>
      <c r="CN16" s="37">
        <f>CN5+CN7+CN9+CN11+CN13+CN15</f>
        <v>67091371.26</v>
      </c>
      <c r="CO16" s="37">
        <f>CO5+CO7+CO9+CO11+CO13+CO15</f>
        <v>2688104.5399999996</v>
      </c>
      <c r="CP16" s="37">
        <f>CP5+CP7+CP9+CP11+CP13+CP15</f>
        <v>3446359.78</v>
      </c>
      <c r="CQ16" s="37">
        <f aca="true" t="shared" si="2" ref="CQ16:CZ16">CQ5+CQ7+CQ9+CQ11+CQ13+CQ15</f>
        <v>3158488.7300000004</v>
      </c>
      <c r="CR16" s="37">
        <f t="shared" si="2"/>
        <v>3347775.71</v>
      </c>
      <c r="CS16" s="37">
        <f t="shared" si="2"/>
        <v>2749545.43</v>
      </c>
      <c r="CT16" s="37">
        <f t="shared" si="2"/>
        <v>5690586.100000001</v>
      </c>
      <c r="CU16" s="37">
        <f t="shared" si="2"/>
        <v>1534917.36</v>
      </c>
      <c r="CV16" s="37">
        <f t="shared" si="2"/>
        <v>2625699.15</v>
      </c>
      <c r="CW16" s="37">
        <f t="shared" si="2"/>
        <v>1436389.56</v>
      </c>
      <c r="CX16" s="37">
        <f t="shared" si="2"/>
        <v>1244117.0999999999</v>
      </c>
      <c r="CY16" s="37">
        <f t="shared" si="2"/>
        <v>1898260.02</v>
      </c>
      <c r="CZ16" s="37">
        <f t="shared" si="2"/>
        <v>2934755</v>
      </c>
      <c r="DA16" s="37">
        <f>DA5+DA7+DA9+DA11+DA13+DA15</f>
        <v>32754998.48</v>
      </c>
      <c r="DB16" s="37">
        <f>DB5+DB7+DB9+DB11+DB13+DB15</f>
        <v>500843.85</v>
      </c>
      <c r="DC16" s="37">
        <f>DC5+DC7+DC9+DC11+DC13+DC15</f>
        <v>1513069.7000000002</v>
      </c>
      <c r="DD16" s="37">
        <f aca="true" t="shared" si="3" ref="DD16:DM16">DD5+DD7+DD9+DD11+DD13+DD15</f>
        <v>6003919.43</v>
      </c>
      <c r="DE16" s="37">
        <f t="shared" si="3"/>
        <v>546980.83</v>
      </c>
      <c r="DF16" s="37">
        <f t="shared" si="3"/>
        <v>-60</v>
      </c>
      <c r="DG16" s="37">
        <f t="shared" si="3"/>
        <v>0</v>
      </c>
      <c r="DH16" s="37">
        <f t="shared" si="3"/>
        <v>0</v>
      </c>
      <c r="DI16" s="37">
        <f t="shared" si="3"/>
        <v>0</v>
      </c>
      <c r="DJ16" s="37">
        <f t="shared" si="3"/>
        <v>-716.48</v>
      </c>
      <c r="DK16" s="37">
        <f t="shared" si="3"/>
        <v>17514.12</v>
      </c>
      <c r="DL16" s="37">
        <f t="shared" si="3"/>
        <v>0</v>
      </c>
      <c r="DM16" s="37">
        <f t="shared" si="3"/>
        <v>0</v>
      </c>
      <c r="DN16" s="37">
        <f>DN5+DN7+DN9+DN11+DN13+DN15</f>
        <v>8581551.45</v>
      </c>
      <c r="DO16" s="37">
        <f>DO5+DO7+DO9+DO11+DO13+DO15</f>
        <v>-10.15</v>
      </c>
      <c r="DP16" s="37">
        <f>DP5+DP7+DP9+DP11+DP13+DP15</f>
        <v>0</v>
      </c>
      <c r="DQ16" s="37">
        <f aca="true" t="shared" si="4" ref="DQ16:DZ16">DQ5+DQ7+DQ9+DQ11+DQ13+DQ15</f>
        <v>-1065.71</v>
      </c>
      <c r="DR16" s="37">
        <f t="shared" si="4"/>
        <v>0</v>
      </c>
      <c r="DS16" s="37">
        <f t="shared" si="4"/>
        <v>0</v>
      </c>
      <c r="DT16" s="37">
        <f t="shared" si="4"/>
        <v>0</v>
      </c>
      <c r="DU16" s="37">
        <f t="shared" si="4"/>
        <v>-36.84</v>
      </c>
      <c r="DV16" s="37">
        <f t="shared" si="4"/>
        <v>0</v>
      </c>
      <c r="DW16" s="37">
        <f t="shared" si="4"/>
        <v>0</v>
      </c>
      <c r="DX16" s="37">
        <f t="shared" si="4"/>
        <v>0</v>
      </c>
      <c r="DY16" s="37">
        <f t="shared" si="4"/>
        <v>0</v>
      </c>
      <c r="DZ16" s="37">
        <f t="shared" si="4"/>
        <v>0</v>
      </c>
      <c r="EA16" s="37">
        <f>EA5+EA7+EA9+EA11+EA13+EA15</f>
        <v>-1112.7</v>
      </c>
      <c r="EB16" s="37">
        <f>EB5+EB7+EB9+EB11+EB13+EB15</f>
        <v>0</v>
      </c>
      <c r="EC16" s="37">
        <f>EC5+EC7+EC9+EC11+EC13+EC15</f>
        <v>0</v>
      </c>
      <c r="ED16" s="37">
        <f aca="true" t="shared" si="5" ref="ED16:EM16">ED5+ED7+ED9+ED11+ED13+ED15</f>
        <v>0</v>
      </c>
      <c r="EE16" s="37">
        <f t="shared" si="5"/>
        <v>0</v>
      </c>
      <c r="EF16" s="37">
        <f t="shared" si="5"/>
        <v>0</v>
      </c>
      <c r="EG16" s="37">
        <f t="shared" si="5"/>
        <v>0</v>
      </c>
      <c r="EH16" s="37">
        <f t="shared" si="5"/>
        <v>0</v>
      </c>
      <c r="EI16" s="37">
        <f t="shared" si="5"/>
        <v>0</v>
      </c>
      <c r="EJ16" s="37">
        <f t="shared" si="5"/>
        <v>0</v>
      </c>
      <c r="EK16" s="37">
        <f t="shared" si="5"/>
        <v>0</v>
      </c>
      <c r="EL16" s="37">
        <f t="shared" si="5"/>
        <v>0</v>
      </c>
      <c r="EM16" s="37">
        <f t="shared" si="5"/>
        <v>0</v>
      </c>
      <c r="EN16" s="37">
        <f>EN5+EN7+EN9+EN11+EN13+EN15</f>
        <v>0</v>
      </c>
      <c r="EO16" s="37">
        <f>EO5+EO7+EO9+EO11+EO13+EO15</f>
        <v>0</v>
      </c>
      <c r="EP16" s="37">
        <f>EP5+EP7+EP9+EP11+EP13+EP15</f>
        <v>0</v>
      </c>
      <c r="EQ16" s="37">
        <f aca="true" t="shared" si="6" ref="EQ16:FM16">EQ5+EQ7+EQ9+EQ11+EQ13+EQ15</f>
        <v>0</v>
      </c>
      <c r="ER16" s="37">
        <f t="shared" si="6"/>
        <v>0</v>
      </c>
      <c r="ES16" s="37">
        <f t="shared" si="6"/>
        <v>0</v>
      </c>
      <c r="ET16" s="37">
        <f t="shared" si="6"/>
        <v>0</v>
      </c>
      <c r="EU16" s="37">
        <f t="shared" si="6"/>
        <v>-2000</v>
      </c>
      <c r="EV16" s="37">
        <f t="shared" si="6"/>
        <v>-1000</v>
      </c>
      <c r="EW16" s="37">
        <f t="shared" si="6"/>
        <v>0</v>
      </c>
      <c r="EX16" s="37">
        <f t="shared" si="6"/>
        <v>-2000</v>
      </c>
      <c r="EY16" s="37">
        <f t="shared" si="6"/>
        <v>0</v>
      </c>
      <c r="EZ16" s="37">
        <f t="shared" si="6"/>
        <v>-567607.78</v>
      </c>
      <c r="FA16" s="37">
        <f>FA5+FA7+FA9+FA11+FA13+FA15</f>
        <v>-572607.78</v>
      </c>
      <c r="FB16" s="37">
        <f t="shared" si="6"/>
        <v>-1000</v>
      </c>
      <c r="FC16" s="37">
        <f t="shared" si="6"/>
        <v>-1000</v>
      </c>
      <c r="FD16" s="37">
        <f t="shared" si="6"/>
        <v>0</v>
      </c>
      <c r="FE16" s="37">
        <f t="shared" si="6"/>
        <v>-2000</v>
      </c>
      <c r="FF16" s="37">
        <f t="shared" si="6"/>
        <v>-1000</v>
      </c>
      <c r="FG16" s="37">
        <f t="shared" si="6"/>
        <v>-1000</v>
      </c>
      <c r="FH16" s="37">
        <f t="shared" si="6"/>
        <v>-1000</v>
      </c>
      <c r="FI16" s="37">
        <f t="shared" si="6"/>
        <v>-1000</v>
      </c>
      <c r="FJ16" s="37">
        <f t="shared" si="6"/>
        <v>0</v>
      </c>
      <c r="FK16" s="37">
        <f t="shared" si="6"/>
        <v>-3000</v>
      </c>
      <c r="FL16" s="37">
        <f t="shared" si="6"/>
        <v>0</v>
      </c>
      <c r="FM16" s="37">
        <f t="shared" si="6"/>
        <v>0</v>
      </c>
      <c r="FN16" s="37">
        <f>FN5+FN7+FN9+FN11+FN13+FN15</f>
        <v>-11000</v>
      </c>
      <c r="FO16" s="37">
        <f>FO5+FO7+FO9+FO11+FO13+FO15</f>
        <v>-3000</v>
      </c>
      <c r="FP16" s="37">
        <f aca="true" t="shared" si="7" ref="FP16:FZ16">FP5+FP7+FP9+FP11+FP13+FP15</f>
        <v>0</v>
      </c>
      <c r="FQ16" s="37">
        <f t="shared" si="7"/>
        <v>-1000</v>
      </c>
      <c r="FR16" s="37">
        <f t="shared" si="7"/>
        <v>-1000</v>
      </c>
      <c r="FS16" s="37">
        <f>FS5+FS7+FS9+FS11+FS13+FS15</f>
        <v>0</v>
      </c>
      <c r="FT16" s="37">
        <f t="shared" si="7"/>
        <v>0</v>
      </c>
      <c r="FU16" s="37">
        <f t="shared" si="7"/>
        <v>0</v>
      </c>
      <c r="FV16" s="37">
        <f t="shared" si="7"/>
        <v>0</v>
      </c>
      <c r="FW16" s="37">
        <f t="shared" si="7"/>
        <v>0</v>
      </c>
      <c r="FX16" s="37">
        <f t="shared" si="7"/>
        <v>0</v>
      </c>
      <c r="FY16" s="37">
        <f t="shared" si="7"/>
        <v>0</v>
      </c>
      <c r="FZ16" s="37">
        <f t="shared" si="7"/>
        <v>0</v>
      </c>
      <c r="GA16" s="37">
        <f>GA5+GA7+GA9+GA11+GA13+GA15</f>
        <v>-5000</v>
      </c>
      <c r="GB16" s="37">
        <f>GB5+GB7+GB9+GB11+GB13+GB15</f>
        <v>632697327.8900001</v>
      </c>
    </row>
    <row r="17" spans="1:184" s="23" customFormat="1" ht="28.5" customHeight="1" hidden="1" outlineLevel="1">
      <c r="A17" s="38" t="s">
        <v>37</v>
      </c>
      <c r="B17" s="148"/>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c r="DW17" s="149"/>
      <c r="DX17" s="149"/>
      <c r="DY17" s="149"/>
      <c r="DZ17" s="149"/>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c r="EZ17" s="149"/>
      <c r="FA17" s="149"/>
      <c r="FB17" s="149"/>
      <c r="FC17" s="149"/>
      <c r="FD17" s="149"/>
      <c r="FE17" s="149"/>
      <c r="FF17" s="149"/>
      <c r="FG17" s="149"/>
      <c r="FH17" s="149"/>
      <c r="FI17" s="149"/>
      <c r="FJ17" s="149"/>
      <c r="FK17" s="149"/>
      <c r="FL17" s="149"/>
      <c r="FM17" s="149"/>
      <c r="FN17" s="149"/>
      <c r="FO17" s="149"/>
      <c r="FP17" s="149"/>
      <c r="FQ17" s="149"/>
      <c r="FR17" s="149"/>
      <c r="FS17" s="149"/>
      <c r="FT17" s="149"/>
      <c r="FU17" s="149"/>
      <c r="FV17" s="149"/>
      <c r="FW17" s="149"/>
      <c r="FX17" s="149"/>
      <c r="FY17" s="149"/>
      <c r="FZ17" s="149"/>
      <c r="GA17" s="149"/>
      <c r="GB17" s="150"/>
    </row>
    <row r="18" spans="1:186" s="23" customFormat="1" ht="27" customHeight="1" hidden="1" outlineLevel="1">
      <c r="A18" s="34" t="s">
        <v>38</v>
      </c>
      <c r="B18" s="32"/>
      <c r="C18" s="32"/>
      <c r="D18" s="32"/>
      <c r="E18" s="32"/>
      <c r="F18" s="32"/>
      <c r="G18" s="32"/>
      <c r="H18" s="32"/>
      <c r="I18" s="32"/>
      <c r="J18" s="32"/>
      <c r="K18" s="32"/>
      <c r="L18" s="32">
        <v>0</v>
      </c>
      <c r="M18" s="32">
        <v>0</v>
      </c>
      <c r="N18" s="32">
        <f>SUM(B18:M18)</f>
        <v>0</v>
      </c>
      <c r="O18" s="32">
        <v>0</v>
      </c>
      <c r="P18" s="32">
        <v>0</v>
      </c>
      <c r="Q18" s="32">
        <v>0</v>
      </c>
      <c r="R18" s="32">
        <v>80288.19</v>
      </c>
      <c r="S18" s="32">
        <v>3807.06</v>
      </c>
      <c r="T18" s="32">
        <v>169168.19</v>
      </c>
      <c r="U18" s="32">
        <v>27275.79</v>
      </c>
      <c r="V18" s="32">
        <v>291506.72</v>
      </c>
      <c r="W18" s="32">
        <v>41368.45</v>
      </c>
      <c r="X18" s="32">
        <v>945531.57</v>
      </c>
      <c r="Y18" s="32">
        <v>932261.99</v>
      </c>
      <c r="Z18" s="32">
        <v>583967.09</v>
      </c>
      <c r="AA18" s="32">
        <f>SUM(O18:Z18)</f>
        <v>3075175.05</v>
      </c>
      <c r="AB18" s="32">
        <v>163466.83</v>
      </c>
      <c r="AC18" s="32">
        <v>466473.19</v>
      </c>
      <c r="AD18" s="32">
        <v>396347.8</v>
      </c>
      <c r="AE18" s="32">
        <v>4565748.28</v>
      </c>
      <c r="AF18" s="32">
        <v>2128496.79</v>
      </c>
      <c r="AG18" s="32">
        <v>12204312.64</v>
      </c>
      <c r="AH18" s="32">
        <v>5493366.86</v>
      </c>
      <c r="AI18" s="32">
        <v>2349675.69</v>
      </c>
      <c r="AJ18" s="32">
        <v>537568.3</v>
      </c>
      <c r="AK18" s="32">
        <v>2841023.01</v>
      </c>
      <c r="AL18" s="32">
        <f>1424907.51-397332.21</f>
        <v>1027575.3</v>
      </c>
      <c r="AM18" s="32">
        <f>1557112.88-146737.6</f>
        <v>1410375.2799999998</v>
      </c>
      <c r="AN18" s="32">
        <f>SUM(AB18:AM18)</f>
        <v>33584429.97</v>
      </c>
      <c r="AO18" s="32">
        <v>98578.16</v>
      </c>
      <c r="AP18" s="32">
        <v>811868.8</v>
      </c>
      <c r="AQ18" s="32">
        <v>-558698.64</v>
      </c>
      <c r="AR18" s="32">
        <v>1913215.58</v>
      </c>
      <c r="AS18" s="32">
        <v>3785026.86</v>
      </c>
      <c r="AT18" s="32">
        <v>1139846.75</v>
      </c>
      <c r="AU18" s="32">
        <v>13863342.35</v>
      </c>
      <c r="AV18" s="32">
        <f>2337030.66+1313054.6</f>
        <v>3650085.2600000002</v>
      </c>
      <c r="AW18" s="32">
        <v>1590729.63</v>
      </c>
      <c r="AX18" s="32">
        <v>7957380.11</v>
      </c>
      <c r="AY18" s="32">
        <v>3537739.71</v>
      </c>
      <c r="AZ18" s="32">
        <v>6795989</v>
      </c>
      <c r="BA18" s="59">
        <f>SUM(AO18:AZ18)</f>
        <v>44585103.57</v>
      </c>
      <c r="BB18" s="32">
        <v>719650.36</v>
      </c>
      <c r="BC18" s="32">
        <v>310233.37</v>
      </c>
      <c r="BD18" s="32">
        <v>2209655.17</v>
      </c>
      <c r="BE18" s="32">
        <v>7141005.58</v>
      </c>
      <c r="BF18" s="32">
        <v>3682111.88</v>
      </c>
      <c r="BG18" s="32">
        <v>3011004</v>
      </c>
      <c r="BH18" s="32">
        <v>2167181.43</v>
      </c>
      <c r="BI18" s="32">
        <v>5290764.29</v>
      </c>
      <c r="BJ18" s="32">
        <v>5278304.53</v>
      </c>
      <c r="BK18" s="32">
        <v>7753072.91</v>
      </c>
      <c r="BL18" s="32">
        <v>5443256.07</v>
      </c>
      <c r="BM18" s="32">
        <v>10426275.95</v>
      </c>
      <c r="BN18" s="32">
        <f>SUM(BB18:BM18)</f>
        <v>53432515.53999999</v>
      </c>
      <c r="BO18" s="32">
        <v>4564323.42</v>
      </c>
      <c r="BP18" s="32">
        <v>6384699.09</v>
      </c>
      <c r="BQ18" s="32">
        <v>4303953.34</v>
      </c>
      <c r="BR18" s="32">
        <v>4650784.8</v>
      </c>
      <c r="BS18" s="32">
        <v>5178085.91</v>
      </c>
      <c r="BT18" s="32">
        <v>8540363.59</v>
      </c>
      <c r="BU18" s="32">
        <v>7471861.43</v>
      </c>
      <c r="BV18" s="32">
        <v>7259815.62</v>
      </c>
      <c r="BW18" s="32">
        <v>4999414.94</v>
      </c>
      <c r="BX18" s="32">
        <v>5310012.67</v>
      </c>
      <c r="BY18" s="32">
        <v>3497711.6</v>
      </c>
      <c r="BZ18" s="32">
        <v>4081306.39</v>
      </c>
      <c r="CA18" s="32">
        <f>SUM(BO18:BZ18)</f>
        <v>66242332.8</v>
      </c>
      <c r="CB18" s="32">
        <v>388721.42</v>
      </c>
      <c r="CC18" s="32">
        <v>-4740422.81</v>
      </c>
      <c r="CD18" s="32">
        <v>6562015.86</v>
      </c>
      <c r="CE18" s="32">
        <v>5408320.37</v>
      </c>
      <c r="CF18" s="32">
        <v>2901212.91</v>
      </c>
      <c r="CG18" s="32">
        <v>6666997.14</v>
      </c>
      <c r="CH18" s="32">
        <v>2670325.32</v>
      </c>
      <c r="CI18" s="32">
        <v>6663116.72</v>
      </c>
      <c r="CJ18" s="32">
        <v>5482104.09</v>
      </c>
      <c r="CK18" s="32">
        <v>10517838.95</v>
      </c>
      <c r="CL18" s="32">
        <v>16876567.88</v>
      </c>
      <c r="CM18" s="32">
        <v>49836828.76</v>
      </c>
      <c r="CN18" s="32">
        <f>SUM(CB18:CM18)</f>
        <v>109233626.60999998</v>
      </c>
      <c r="CO18" s="32">
        <v>15712577.49</v>
      </c>
      <c r="CP18" s="32">
        <v>5167992.85</v>
      </c>
      <c r="CQ18" s="32">
        <v>5888544.43</v>
      </c>
      <c r="CR18" s="32">
        <v>5541945.23</v>
      </c>
      <c r="CS18" s="32">
        <v>1071475.88</v>
      </c>
      <c r="CT18" s="32">
        <v>7663183.23</v>
      </c>
      <c r="CU18" s="32">
        <v>11112568.61</v>
      </c>
      <c r="CV18" s="32">
        <v>5625175.97</v>
      </c>
      <c r="CW18" s="32">
        <v>5147324.41</v>
      </c>
      <c r="CX18" s="32">
        <v>6725859.85</v>
      </c>
      <c r="CY18" s="32">
        <v>7049192.61</v>
      </c>
      <c r="CZ18" s="32">
        <v>13658984.07</v>
      </c>
      <c r="DA18" s="32">
        <f>SUM(CO18:CZ18)</f>
        <v>90364824.63</v>
      </c>
      <c r="DB18" s="32">
        <v>4887942.94</v>
      </c>
      <c r="DC18" s="32">
        <v>6868982.56</v>
      </c>
      <c r="DD18" s="32">
        <f>11880381.74+7059770.22-6844.91</f>
        <v>18933307.05</v>
      </c>
      <c r="DE18" s="32">
        <f>23300805.04+8023393.38</f>
        <v>31324198.419999998</v>
      </c>
      <c r="DF18" s="32">
        <v>0</v>
      </c>
      <c r="DG18" s="32">
        <v>0</v>
      </c>
      <c r="DH18" s="32">
        <v>0</v>
      </c>
      <c r="DI18" s="32">
        <v>0</v>
      </c>
      <c r="DJ18" s="32">
        <v>-118.03</v>
      </c>
      <c r="DK18" s="32">
        <v>0</v>
      </c>
      <c r="DL18" s="32">
        <v>0</v>
      </c>
      <c r="DM18" s="32">
        <v>0</v>
      </c>
      <c r="DN18" s="32">
        <f>SUM(DB18:DM18)</f>
        <v>62014312.94</v>
      </c>
      <c r="DO18" s="32">
        <v>0</v>
      </c>
      <c r="DP18" s="32">
        <v>0</v>
      </c>
      <c r="DQ18" s="32">
        <v>0</v>
      </c>
      <c r="DR18" s="32">
        <v>0</v>
      </c>
      <c r="DS18" s="32">
        <v>0</v>
      </c>
      <c r="DT18" s="32">
        <v>0</v>
      </c>
      <c r="DU18" s="32">
        <v>0</v>
      </c>
      <c r="DV18" s="32">
        <v>0</v>
      </c>
      <c r="DW18" s="32">
        <v>0</v>
      </c>
      <c r="DX18" s="32">
        <v>0</v>
      </c>
      <c r="DY18" s="32">
        <v>0</v>
      </c>
      <c r="DZ18" s="32">
        <v>0</v>
      </c>
      <c r="EA18" s="32">
        <f>SUM(DO18:DZ18)</f>
        <v>0</v>
      </c>
      <c r="EB18" s="32">
        <v>0</v>
      </c>
      <c r="EC18" s="32">
        <v>0</v>
      </c>
      <c r="ED18" s="32">
        <v>0</v>
      </c>
      <c r="EE18" s="32">
        <v>0</v>
      </c>
      <c r="EF18" s="32">
        <v>0</v>
      </c>
      <c r="EG18" s="32">
        <v>0</v>
      </c>
      <c r="EH18" s="32">
        <v>0</v>
      </c>
      <c r="EI18" s="32">
        <v>0</v>
      </c>
      <c r="EJ18" s="32">
        <v>0</v>
      </c>
      <c r="EK18" s="32">
        <v>0</v>
      </c>
      <c r="EL18" s="32">
        <v>0</v>
      </c>
      <c r="EM18" s="32">
        <v>0</v>
      </c>
      <c r="EN18" s="32">
        <f>SUM(EB18:EM18)</f>
        <v>0</v>
      </c>
      <c r="EO18" s="32">
        <v>0</v>
      </c>
      <c r="EP18" s="32">
        <v>0</v>
      </c>
      <c r="EQ18" s="32">
        <v>0</v>
      </c>
      <c r="ER18" s="32">
        <v>-889.49</v>
      </c>
      <c r="ES18" s="32">
        <v>0</v>
      </c>
      <c r="ET18" s="32">
        <v>0</v>
      </c>
      <c r="EU18" s="32">
        <v>0</v>
      </c>
      <c r="EV18" s="32">
        <v>0</v>
      </c>
      <c r="EW18" s="32">
        <v>-632915.96</v>
      </c>
      <c r="EX18" s="32">
        <v>0</v>
      </c>
      <c r="EY18" s="32">
        <v>0</v>
      </c>
      <c r="EZ18" s="32">
        <v>0</v>
      </c>
      <c r="FA18" s="32">
        <f>SUM(EO18:EZ18)</f>
        <v>-633805.45</v>
      </c>
      <c r="FB18" s="32">
        <v>0</v>
      </c>
      <c r="FC18" s="32">
        <v>0</v>
      </c>
      <c r="FD18" s="32">
        <v>0</v>
      </c>
      <c r="FE18" s="32">
        <v>0</v>
      </c>
      <c r="FF18" s="32">
        <v>0</v>
      </c>
      <c r="FG18" s="32">
        <v>0</v>
      </c>
      <c r="FH18" s="32">
        <v>0</v>
      </c>
      <c r="FI18" s="32">
        <v>0</v>
      </c>
      <c r="FJ18" s="32">
        <v>0</v>
      </c>
      <c r="FK18" s="32">
        <v>0</v>
      </c>
      <c r="FL18" s="32">
        <v>0</v>
      </c>
      <c r="FM18" s="32">
        <v>0</v>
      </c>
      <c r="FN18" s="32">
        <f>SUM(FB18:FM18)</f>
        <v>0</v>
      </c>
      <c r="FO18" s="32">
        <v>0</v>
      </c>
      <c r="FP18" s="32">
        <v>0</v>
      </c>
      <c r="FQ18" s="32">
        <v>0</v>
      </c>
      <c r="FR18" s="32">
        <v>0</v>
      </c>
      <c r="FS18" s="32"/>
      <c r="FT18" s="32"/>
      <c r="FU18" s="32"/>
      <c r="FV18" s="32"/>
      <c r="FW18" s="32"/>
      <c r="FX18" s="32"/>
      <c r="FY18" s="32"/>
      <c r="FZ18" s="32"/>
      <c r="GA18" s="32">
        <f>SUM(FO18:FZ18)</f>
        <v>0</v>
      </c>
      <c r="GB18" s="106">
        <f>N18+AA18+AN18+BA18+BN18+CA18+DA18+CN18+DN18+EA18+EN18+FA18+FN18+GA18</f>
        <v>461898515.65999997</v>
      </c>
      <c r="GC18" s="105"/>
      <c r="GD18" s="59"/>
    </row>
    <row r="19" spans="1:185" s="23" customFormat="1" ht="14.25" customHeight="1" hidden="1" outlineLevel="1">
      <c r="A19" s="142"/>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c r="DX19" s="143"/>
      <c r="DY19" s="143"/>
      <c r="DZ19" s="143"/>
      <c r="EA19" s="143"/>
      <c r="EB19" s="143"/>
      <c r="EC19" s="143"/>
      <c r="ED19" s="143"/>
      <c r="EE19" s="143"/>
      <c r="EF19" s="143"/>
      <c r="EG19" s="143"/>
      <c r="EH19" s="143"/>
      <c r="EI19" s="143"/>
      <c r="EJ19" s="143"/>
      <c r="EK19" s="143"/>
      <c r="EL19" s="143"/>
      <c r="EM19" s="143"/>
      <c r="EN19" s="143"/>
      <c r="EO19" s="143"/>
      <c r="EP19" s="143"/>
      <c r="EQ19" s="143"/>
      <c r="ER19" s="143"/>
      <c r="ES19" s="143"/>
      <c r="ET19" s="143"/>
      <c r="EU19" s="143"/>
      <c r="EV19" s="143"/>
      <c r="EW19" s="143"/>
      <c r="EX19" s="143"/>
      <c r="EY19" s="143"/>
      <c r="EZ19" s="143"/>
      <c r="FA19" s="143"/>
      <c r="FB19" s="143"/>
      <c r="FC19" s="143"/>
      <c r="FD19" s="143"/>
      <c r="FE19" s="143"/>
      <c r="FF19" s="143"/>
      <c r="FG19" s="143"/>
      <c r="FH19" s="143"/>
      <c r="FI19" s="143"/>
      <c r="FJ19" s="143"/>
      <c r="FK19" s="143"/>
      <c r="FL19" s="143"/>
      <c r="FM19" s="143"/>
      <c r="FN19" s="143"/>
      <c r="FO19" s="143"/>
      <c r="FP19" s="143"/>
      <c r="FQ19" s="143"/>
      <c r="FR19" s="143"/>
      <c r="FS19" s="143"/>
      <c r="FT19" s="143"/>
      <c r="FU19" s="143"/>
      <c r="FV19" s="143"/>
      <c r="FW19" s="143"/>
      <c r="FX19" s="143"/>
      <c r="FY19" s="143"/>
      <c r="FZ19" s="143"/>
      <c r="GA19" s="143"/>
      <c r="GB19" s="144"/>
      <c r="GC19" s="105"/>
    </row>
    <row r="20" spans="1:186" s="23" customFormat="1" ht="27" customHeight="1" hidden="1" outlineLevel="1">
      <c r="A20" s="34" t="s">
        <v>39</v>
      </c>
      <c r="B20" s="32"/>
      <c r="C20" s="32"/>
      <c r="D20" s="32"/>
      <c r="E20" s="32"/>
      <c r="F20" s="32"/>
      <c r="G20" s="32"/>
      <c r="H20" s="32"/>
      <c r="I20" s="32"/>
      <c r="J20" s="32"/>
      <c r="K20" s="32"/>
      <c r="L20" s="32">
        <v>83280403.49</v>
      </c>
      <c r="M20" s="32">
        <v>0</v>
      </c>
      <c r="N20" s="32">
        <f>SUM(B20:M20)</f>
        <v>83280403.49</v>
      </c>
      <c r="O20" s="32">
        <v>0</v>
      </c>
      <c r="P20" s="32">
        <v>0</v>
      </c>
      <c r="Q20" s="32">
        <v>0</v>
      </c>
      <c r="R20" s="32">
        <v>0</v>
      </c>
      <c r="S20" s="32">
        <v>28200789.62</v>
      </c>
      <c r="T20" s="32">
        <v>56085256.34</v>
      </c>
      <c r="U20" s="32">
        <v>0</v>
      </c>
      <c r="V20" s="32">
        <v>0</v>
      </c>
      <c r="W20" s="32">
        <v>14481786.78</v>
      </c>
      <c r="X20" s="32">
        <v>0</v>
      </c>
      <c r="Y20" s="32">
        <v>0</v>
      </c>
      <c r="Z20" s="32">
        <v>34126311.89</v>
      </c>
      <c r="AA20" s="32">
        <f>SUM(O20:Z20)</f>
        <v>132894144.63000001</v>
      </c>
      <c r="AB20" s="32">
        <v>0</v>
      </c>
      <c r="AC20" s="32">
        <v>0</v>
      </c>
      <c r="AD20" s="32">
        <v>0</v>
      </c>
      <c r="AE20" s="32">
        <v>0</v>
      </c>
      <c r="AF20" s="32">
        <v>0</v>
      </c>
      <c r="AG20" s="32">
        <v>0</v>
      </c>
      <c r="AH20" s="32">
        <v>0</v>
      </c>
      <c r="AI20" s="32">
        <v>0</v>
      </c>
      <c r="AJ20" s="32">
        <v>0</v>
      </c>
      <c r="AK20" s="32">
        <v>0</v>
      </c>
      <c r="AL20" s="32">
        <v>0</v>
      </c>
      <c r="AM20" s="32">
        <v>0</v>
      </c>
      <c r="AN20" s="32">
        <f>SUM(AB20:AM20)</f>
        <v>0</v>
      </c>
      <c r="AO20" s="32">
        <v>0</v>
      </c>
      <c r="AP20" s="32">
        <v>0</v>
      </c>
      <c r="AQ20" s="32">
        <v>0</v>
      </c>
      <c r="AR20" s="32">
        <v>0</v>
      </c>
      <c r="AS20" s="32">
        <v>0</v>
      </c>
      <c r="AT20" s="32">
        <v>0</v>
      </c>
      <c r="AU20" s="32">
        <v>0</v>
      </c>
      <c r="AV20" s="32">
        <v>0</v>
      </c>
      <c r="AW20" s="32">
        <v>0</v>
      </c>
      <c r="AX20" s="32">
        <v>0</v>
      </c>
      <c r="AY20" s="32">
        <v>0</v>
      </c>
      <c r="AZ20" s="32">
        <v>0</v>
      </c>
      <c r="BA20" s="59">
        <f>SUM(AO20:AZ20)</f>
        <v>0</v>
      </c>
      <c r="BB20" s="32">
        <v>-32166417.49</v>
      </c>
      <c r="BC20" s="32">
        <v>0</v>
      </c>
      <c r="BD20" s="32">
        <v>0</v>
      </c>
      <c r="BE20" s="32">
        <v>0</v>
      </c>
      <c r="BF20" s="32">
        <v>0</v>
      </c>
      <c r="BG20" s="32">
        <v>0</v>
      </c>
      <c r="BH20" s="32">
        <v>0</v>
      </c>
      <c r="BI20" s="32">
        <v>0</v>
      </c>
      <c r="BJ20" s="32">
        <v>0</v>
      </c>
      <c r="BK20" s="32">
        <v>0</v>
      </c>
      <c r="BL20" s="32">
        <v>0</v>
      </c>
      <c r="BM20" s="32">
        <v>0</v>
      </c>
      <c r="BN20" s="32">
        <f>SUM(BB20:BM20)</f>
        <v>-32166417.49</v>
      </c>
      <c r="BO20" s="32">
        <v>0</v>
      </c>
      <c r="BP20" s="32">
        <v>0</v>
      </c>
      <c r="BQ20" s="32">
        <v>-5736256.4</v>
      </c>
      <c r="BR20" s="32">
        <v>-12428849.53</v>
      </c>
      <c r="BS20" s="32">
        <v>-1727943.6</v>
      </c>
      <c r="BT20" s="32">
        <v>0</v>
      </c>
      <c r="BU20" s="32">
        <v>0</v>
      </c>
      <c r="BV20" s="32">
        <v>0</v>
      </c>
      <c r="BW20" s="32">
        <v>0</v>
      </c>
      <c r="BX20" s="32">
        <v>-16115138</v>
      </c>
      <c r="BY20" s="32">
        <v>0</v>
      </c>
      <c r="BZ20" s="32">
        <v>0</v>
      </c>
      <c r="CA20" s="32">
        <f>SUM(BO20:BZ20)</f>
        <v>-36008187.53</v>
      </c>
      <c r="CB20" s="32">
        <v>-587913.6</v>
      </c>
      <c r="CC20" s="32">
        <v>0</v>
      </c>
      <c r="CD20" s="32">
        <v>0</v>
      </c>
      <c r="CE20" s="32">
        <v>0</v>
      </c>
      <c r="CF20" s="32">
        <v>0</v>
      </c>
      <c r="CG20" s="32">
        <v>0</v>
      </c>
      <c r="CH20" s="32">
        <v>-3227515</v>
      </c>
      <c r="CI20" s="32">
        <v>-38168</v>
      </c>
      <c r="CJ20" s="32">
        <v>0</v>
      </c>
      <c r="CK20" s="32">
        <v>1620091.01</v>
      </c>
      <c r="CL20" s="32">
        <v>1645591.96</v>
      </c>
      <c r="CM20" s="32">
        <v>0</v>
      </c>
      <c r="CN20" s="32">
        <f>SUM(CB20:CM20)</f>
        <v>-587913.6299999999</v>
      </c>
      <c r="CO20" s="32">
        <v>0</v>
      </c>
      <c r="CP20" s="32">
        <v>0</v>
      </c>
      <c r="CQ20" s="32">
        <v>0</v>
      </c>
      <c r="CR20" s="32">
        <v>0</v>
      </c>
      <c r="CS20" s="32">
        <v>0</v>
      </c>
      <c r="CT20" s="32">
        <v>0</v>
      </c>
      <c r="CU20" s="32">
        <v>0</v>
      </c>
      <c r="CV20" s="32">
        <v>0</v>
      </c>
      <c r="CW20" s="32">
        <v>0</v>
      </c>
      <c r="CX20" s="32">
        <v>0</v>
      </c>
      <c r="CY20" s="32">
        <v>0</v>
      </c>
      <c r="CZ20" s="32">
        <v>-0.05</v>
      </c>
      <c r="DA20" s="32">
        <f>SUM(CO20:CZ20)</f>
        <v>-0.05</v>
      </c>
      <c r="DB20" s="32">
        <v>0</v>
      </c>
      <c r="DC20" s="32">
        <v>0</v>
      </c>
      <c r="DD20" s="32">
        <v>0</v>
      </c>
      <c r="DE20" s="32">
        <v>0.68</v>
      </c>
      <c r="DF20" s="32">
        <v>0</v>
      </c>
      <c r="DG20" s="32">
        <v>0</v>
      </c>
      <c r="DH20" s="32">
        <v>0</v>
      </c>
      <c r="DI20" s="32">
        <v>0</v>
      </c>
      <c r="DJ20" s="32">
        <v>0</v>
      </c>
      <c r="DK20" s="32">
        <v>0</v>
      </c>
      <c r="DL20" s="32">
        <v>0</v>
      </c>
      <c r="DM20" s="32">
        <v>0</v>
      </c>
      <c r="DN20" s="32">
        <f>SUM(DB20:DM20)</f>
        <v>0.68</v>
      </c>
      <c r="DO20" s="32">
        <v>0</v>
      </c>
      <c r="DP20" s="32">
        <v>0</v>
      </c>
      <c r="DQ20" s="32">
        <v>-508996.95</v>
      </c>
      <c r="DR20" s="32">
        <v>-45619.69</v>
      </c>
      <c r="DS20" s="32">
        <v>0</v>
      </c>
      <c r="DT20" s="32">
        <v>0</v>
      </c>
      <c r="DU20" s="32">
        <v>0</v>
      </c>
      <c r="DV20" s="32">
        <v>0</v>
      </c>
      <c r="DW20" s="32">
        <v>0</v>
      </c>
      <c r="DX20" s="32">
        <v>0</v>
      </c>
      <c r="DY20" s="32">
        <v>0</v>
      </c>
      <c r="DZ20" s="32">
        <v>0</v>
      </c>
      <c r="EA20" s="32">
        <f>SUM(DO20:DZ20)</f>
        <v>-554616.64</v>
      </c>
      <c r="EB20" s="32">
        <v>0</v>
      </c>
      <c r="EC20" s="32">
        <v>0</v>
      </c>
      <c r="ED20" s="32">
        <v>0</v>
      </c>
      <c r="EE20" s="32">
        <v>0</v>
      </c>
      <c r="EF20" s="32">
        <v>0</v>
      </c>
      <c r="EG20" s="32">
        <v>0</v>
      </c>
      <c r="EH20" s="32">
        <v>0</v>
      </c>
      <c r="EI20" s="32">
        <v>0</v>
      </c>
      <c r="EJ20" s="32">
        <v>0</v>
      </c>
      <c r="EK20" s="32">
        <v>0</v>
      </c>
      <c r="EL20" s="32">
        <v>0</v>
      </c>
      <c r="EM20" s="32">
        <v>0</v>
      </c>
      <c r="EN20" s="32">
        <f>SUM(EB20:EM20)</f>
        <v>0</v>
      </c>
      <c r="EO20" s="32">
        <v>0</v>
      </c>
      <c r="EP20" s="32">
        <v>0</v>
      </c>
      <c r="EQ20" s="32">
        <v>0</v>
      </c>
      <c r="ER20" s="32">
        <v>0</v>
      </c>
      <c r="ES20" s="32">
        <v>0</v>
      </c>
      <c r="ET20" s="32">
        <v>0</v>
      </c>
      <c r="EU20" s="32">
        <v>0</v>
      </c>
      <c r="EV20" s="32">
        <v>0</v>
      </c>
      <c r="EW20" s="32">
        <v>0</v>
      </c>
      <c r="EX20" s="32">
        <v>0</v>
      </c>
      <c r="EY20" s="32">
        <v>0</v>
      </c>
      <c r="EZ20" s="32">
        <v>0</v>
      </c>
      <c r="FA20" s="32">
        <f>SUM(EO20:EZ20)</f>
        <v>0</v>
      </c>
      <c r="FB20" s="32">
        <v>0</v>
      </c>
      <c r="FC20" s="32">
        <v>0</v>
      </c>
      <c r="FD20" s="32">
        <v>0</v>
      </c>
      <c r="FE20" s="32">
        <v>0</v>
      </c>
      <c r="FF20" s="32">
        <v>0</v>
      </c>
      <c r="FG20" s="32">
        <v>0</v>
      </c>
      <c r="FH20" s="32">
        <v>0</v>
      </c>
      <c r="FI20" s="32">
        <v>0</v>
      </c>
      <c r="FJ20" s="32">
        <v>0</v>
      </c>
      <c r="FK20" s="32">
        <v>0</v>
      </c>
      <c r="FL20" s="32">
        <v>0</v>
      </c>
      <c r="FM20" s="32">
        <v>0</v>
      </c>
      <c r="FN20" s="32">
        <f>SUM(FB20:FM20)</f>
        <v>0</v>
      </c>
      <c r="FO20" s="32">
        <v>0</v>
      </c>
      <c r="FP20" s="32">
        <v>0</v>
      </c>
      <c r="FQ20" s="32">
        <v>0</v>
      </c>
      <c r="FR20" s="32">
        <v>0</v>
      </c>
      <c r="FS20" s="32"/>
      <c r="FT20" s="32"/>
      <c r="FU20" s="32"/>
      <c r="FV20" s="32"/>
      <c r="FW20" s="32"/>
      <c r="FX20" s="32"/>
      <c r="FY20" s="32"/>
      <c r="FZ20" s="32"/>
      <c r="GA20" s="32">
        <f>SUM(FO20:FZ20)</f>
        <v>0</v>
      </c>
      <c r="GB20" s="106">
        <f>N20+AA20+AN20+BA20+BN20+CA20+DA20+CN20+DN20+EA20+EN20+FA20+FN20+GA20</f>
        <v>146857413.46</v>
      </c>
      <c r="GC20" s="105"/>
      <c r="GD20" s="59"/>
    </row>
    <row r="21" spans="1:185" s="23" customFormat="1" ht="14.25" customHeight="1" hidden="1" outlineLevel="1">
      <c r="A21" s="142"/>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c r="DX21" s="143"/>
      <c r="DY21" s="143"/>
      <c r="DZ21" s="143"/>
      <c r="EA21" s="143"/>
      <c r="EB21" s="143"/>
      <c r="EC21" s="143"/>
      <c r="ED21" s="143"/>
      <c r="EE21" s="143"/>
      <c r="EF21" s="143"/>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3"/>
      <c r="FD21" s="143"/>
      <c r="FE21" s="143"/>
      <c r="FF21" s="143"/>
      <c r="FG21" s="143"/>
      <c r="FH21" s="143"/>
      <c r="FI21" s="143"/>
      <c r="FJ21" s="143"/>
      <c r="FK21" s="143"/>
      <c r="FL21" s="143"/>
      <c r="FM21" s="143"/>
      <c r="FN21" s="143"/>
      <c r="FO21" s="143"/>
      <c r="FP21" s="143"/>
      <c r="FQ21" s="143"/>
      <c r="FR21" s="143"/>
      <c r="FS21" s="143"/>
      <c r="FT21" s="143"/>
      <c r="FU21" s="143"/>
      <c r="FV21" s="143"/>
      <c r="FW21" s="143"/>
      <c r="FX21" s="143"/>
      <c r="FY21" s="143"/>
      <c r="FZ21" s="143"/>
      <c r="GA21" s="143"/>
      <c r="GB21" s="144"/>
      <c r="GC21" s="105"/>
    </row>
    <row r="22" spans="1:186" s="23" customFormat="1" ht="27" customHeight="1" hidden="1" outlineLevel="1">
      <c r="A22" s="34" t="s">
        <v>40</v>
      </c>
      <c r="B22" s="32"/>
      <c r="C22" s="32"/>
      <c r="D22" s="32"/>
      <c r="E22" s="32"/>
      <c r="F22" s="32"/>
      <c r="G22" s="32"/>
      <c r="H22" s="32"/>
      <c r="I22" s="32"/>
      <c r="J22" s="32"/>
      <c r="K22" s="32"/>
      <c r="L22" s="32">
        <v>109012.5</v>
      </c>
      <c r="M22" s="32">
        <v>142763.78</v>
      </c>
      <c r="N22" s="32">
        <f>SUM(B22:M22)</f>
        <v>251776.28</v>
      </c>
      <c r="O22" s="32">
        <v>80341.15</v>
      </c>
      <c r="P22" s="32">
        <v>139174.39</v>
      </c>
      <c r="Q22" s="32">
        <v>222334.49</v>
      </c>
      <c r="R22" s="32">
        <v>286808.23</v>
      </c>
      <c r="S22" s="32">
        <v>33643.29</v>
      </c>
      <c r="T22" s="32">
        <v>116035.68</v>
      </c>
      <c r="U22" s="32">
        <v>308345.63</v>
      </c>
      <c r="V22" s="32">
        <v>210448.24</v>
      </c>
      <c r="W22" s="32">
        <v>38583.78</v>
      </c>
      <c r="X22" s="32">
        <v>177649.09</v>
      </c>
      <c r="Y22" s="32">
        <v>2026328.53</v>
      </c>
      <c r="Z22" s="32">
        <v>251598.35</v>
      </c>
      <c r="AA22" s="32">
        <f>SUM(O22:Z22)</f>
        <v>3891290.85</v>
      </c>
      <c r="AB22" s="32">
        <v>67983.68</v>
      </c>
      <c r="AC22" s="32">
        <v>37471.6</v>
      </c>
      <c r="AD22" s="32">
        <v>555609.09</v>
      </c>
      <c r="AE22" s="32">
        <v>88699.27</v>
      </c>
      <c r="AF22" s="32">
        <v>123048.77</v>
      </c>
      <c r="AG22" s="32">
        <v>1692406.58</v>
      </c>
      <c r="AH22" s="32">
        <v>934942.95</v>
      </c>
      <c r="AI22" s="32">
        <v>724178.5</v>
      </c>
      <c r="AJ22" s="32">
        <v>575659.91</v>
      </c>
      <c r="AK22" s="32">
        <v>285508.03</v>
      </c>
      <c r="AL22" s="32">
        <v>220576.3</v>
      </c>
      <c r="AM22" s="32">
        <v>1683972.59</v>
      </c>
      <c r="AN22" s="32">
        <f>SUM(AB22:AM22)</f>
        <v>6990057.2700000005</v>
      </c>
      <c r="AO22" s="32">
        <v>121696.71</v>
      </c>
      <c r="AP22" s="32">
        <v>68815.05</v>
      </c>
      <c r="AQ22" s="32">
        <v>1472069.42</v>
      </c>
      <c r="AR22" s="32">
        <v>493032.45</v>
      </c>
      <c r="AS22" s="32">
        <v>460291.43</v>
      </c>
      <c r="AT22" s="32">
        <v>779449.43</v>
      </c>
      <c r="AU22" s="32">
        <v>84490.88</v>
      </c>
      <c r="AV22" s="32">
        <v>1299673.77</v>
      </c>
      <c r="AW22" s="32">
        <v>231188.34</v>
      </c>
      <c r="AX22" s="32">
        <v>393513.54</v>
      </c>
      <c r="AY22" s="32">
        <v>286994.09</v>
      </c>
      <c r="AZ22" s="32">
        <v>1592945.88</v>
      </c>
      <c r="BA22" s="59">
        <f>SUM(AO22:AZ22)</f>
        <v>7284160.99</v>
      </c>
      <c r="BB22" s="32">
        <v>76291.71</v>
      </c>
      <c r="BC22" s="32">
        <v>353706.16</v>
      </c>
      <c r="BD22" s="32">
        <v>1886585.29</v>
      </c>
      <c r="BE22" s="32">
        <v>245803.85</v>
      </c>
      <c r="BF22" s="32">
        <v>1138652.12</v>
      </c>
      <c r="BG22" s="32">
        <v>313937.29</v>
      </c>
      <c r="BH22" s="32">
        <v>91767.15</v>
      </c>
      <c r="BI22" s="32">
        <v>442799.8</v>
      </c>
      <c r="BJ22" s="32">
        <v>172148.67</v>
      </c>
      <c r="BK22" s="32">
        <v>1093642.54</v>
      </c>
      <c r="BL22" s="32">
        <v>1073354.52</v>
      </c>
      <c r="BM22" s="32">
        <v>403460.14</v>
      </c>
      <c r="BN22" s="32">
        <f>SUM(BB22:BM22)</f>
        <v>7292149.239999999</v>
      </c>
      <c r="BO22" s="32">
        <v>401484.93</v>
      </c>
      <c r="BP22" s="32">
        <v>205516.69</v>
      </c>
      <c r="BQ22" s="32">
        <v>448181.17</v>
      </c>
      <c r="BR22" s="32">
        <v>197499.43</v>
      </c>
      <c r="BS22" s="32">
        <v>924555.05</v>
      </c>
      <c r="BT22" s="32">
        <v>332052.94</v>
      </c>
      <c r="BU22" s="32">
        <v>693324.69</v>
      </c>
      <c r="BV22" s="32">
        <v>658222.47</v>
      </c>
      <c r="BW22" s="32">
        <v>712449.96</v>
      </c>
      <c r="BX22" s="32">
        <v>718961.63</v>
      </c>
      <c r="BY22" s="32">
        <v>308016.21</v>
      </c>
      <c r="BZ22" s="32">
        <v>927493.3</v>
      </c>
      <c r="CA22" s="32">
        <f>SUM(BO22:BZ22)</f>
        <v>6527758.47</v>
      </c>
      <c r="CB22" s="32">
        <v>289923.64</v>
      </c>
      <c r="CC22" s="32">
        <v>239365.22</v>
      </c>
      <c r="CD22" s="32">
        <v>486187.63</v>
      </c>
      <c r="CE22" s="32">
        <v>1081233.92</v>
      </c>
      <c r="CF22" s="32">
        <v>245470.46</v>
      </c>
      <c r="CG22" s="32">
        <v>378717.14</v>
      </c>
      <c r="CH22" s="32">
        <v>1248409.49</v>
      </c>
      <c r="CI22" s="32">
        <v>282511.05</v>
      </c>
      <c r="CJ22" s="32">
        <v>319815.37</v>
      </c>
      <c r="CK22" s="32">
        <v>1425716.31</v>
      </c>
      <c r="CL22" s="32">
        <v>494552.48</v>
      </c>
      <c r="CM22" s="32">
        <f>394025.98+52493119.73</f>
        <v>52887145.70999999</v>
      </c>
      <c r="CN22" s="32">
        <f>SUM(CB22:CM22)</f>
        <v>59379048.419999994</v>
      </c>
      <c r="CO22" s="32">
        <f>1545904.05+140871.36</f>
        <v>1686775.4100000001</v>
      </c>
      <c r="CP22" s="32">
        <f>734827.59+1124854.03</f>
        <v>1859681.62</v>
      </c>
      <c r="CQ22" s="32">
        <v>566370.74</v>
      </c>
      <c r="CR22" s="32">
        <v>1942580.93</v>
      </c>
      <c r="CS22" s="32">
        <f>1012381.05+51045.71</f>
        <v>1063426.76</v>
      </c>
      <c r="CT22" s="32">
        <v>2056300.5</v>
      </c>
      <c r="CU22" s="32">
        <f>539625.93+2429189.69</f>
        <v>2968815.62</v>
      </c>
      <c r="CV22" s="32">
        <v>1237222.55</v>
      </c>
      <c r="CW22" s="32">
        <v>1627618.01</v>
      </c>
      <c r="CX22" s="32">
        <v>2555449.33</v>
      </c>
      <c r="CY22" s="32">
        <v>1651769.88</v>
      </c>
      <c r="CZ22" s="32">
        <v>4432716.35</v>
      </c>
      <c r="DA22" s="32">
        <f>SUM(CO22:CZ22)</f>
        <v>23648727.700000003</v>
      </c>
      <c r="DB22" s="32">
        <f>3205998.23+919014.52</f>
        <v>4125012.75</v>
      </c>
      <c r="DC22" s="32">
        <v>2027766.77</v>
      </c>
      <c r="DD22" s="32">
        <f>8797289.53+763108.84</f>
        <v>9560398.37</v>
      </c>
      <c r="DE22" s="32">
        <f>4900935.36+2135773.89-903906.41</f>
        <v>6132802.84</v>
      </c>
      <c r="DF22" s="32">
        <v>0</v>
      </c>
      <c r="DG22" s="32">
        <v>-1875933.29</v>
      </c>
      <c r="DH22" s="32">
        <v>0</v>
      </c>
      <c r="DI22" s="32">
        <v>0</v>
      </c>
      <c r="DJ22" s="32">
        <v>-10</v>
      </c>
      <c r="DK22" s="32">
        <f>10-206242.62</f>
        <v>-206232.62</v>
      </c>
      <c r="DL22" s="32">
        <v>0</v>
      </c>
      <c r="DM22" s="32">
        <v>0</v>
      </c>
      <c r="DN22" s="32">
        <f>SUM(DB22:DM22)</f>
        <v>19763804.819999997</v>
      </c>
      <c r="DO22" s="32">
        <v>0</v>
      </c>
      <c r="DP22" s="32">
        <v>0</v>
      </c>
      <c r="DQ22" s="32">
        <v>0</v>
      </c>
      <c r="DR22" s="32">
        <v>0</v>
      </c>
      <c r="DS22" s="32">
        <v>0</v>
      </c>
      <c r="DT22" s="32">
        <v>-7511.15</v>
      </c>
      <c r="DU22" s="32">
        <f>7511.15-7511.15</f>
        <v>0</v>
      </c>
      <c r="DV22" s="32">
        <v>0</v>
      </c>
      <c r="DW22" s="32">
        <v>0</v>
      </c>
      <c r="DX22" s="32">
        <v>0</v>
      </c>
      <c r="DY22" s="32">
        <v>0</v>
      </c>
      <c r="DZ22" s="32">
        <v>0</v>
      </c>
      <c r="EA22" s="32">
        <f>SUM(DO22:DZ22)</f>
        <v>-7511.15</v>
      </c>
      <c r="EB22" s="32">
        <v>0</v>
      </c>
      <c r="EC22" s="32">
        <v>0</v>
      </c>
      <c r="ED22" s="32">
        <v>0</v>
      </c>
      <c r="EE22" s="32">
        <v>0</v>
      </c>
      <c r="EF22" s="32">
        <v>0</v>
      </c>
      <c r="EG22" s="32">
        <v>0</v>
      </c>
      <c r="EH22" s="32">
        <f>7511.15-7511.15</f>
        <v>0</v>
      </c>
      <c r="EI22" s="32">
        <v>0</v>
      </c>
      <c r="EJ22" s="32">
        <v>-400.73</v>
      </c>
      <c r="EK22" s="32">
        <v>0</v>
      </c>
      <c r="EL22" s="32">
        <v>0</v>
      </c>
      <c r="EM22" s="32">
        <v>-15.91</v>
      </c>
      <c r="EN22" s="32">
        <f>SUM(EB22:EM22)</f>
        <v>-416.64000000000004</v>
      </c>
      <c r="EO22" s="32">
        <v>0</v>
      </c>
      <c r="EP22" s="32">
        <v>0</v>
      </c>
      <c r="EQ22" s="32">
        <v>0</v>
      </c>
      <c r="ER22" s="32">
        <v>-26953.4</v>
      </c>
      <c r="ES22" s="32">
        <v>0</v>
      </c>
      <c r="ET22" s="32">
        <v>0</v>
      </c>
      <c r="EU22" s="32">
        <v>-8.16</v>
      </c>
      <c r="EV22" s="32">
        <v>0</v>
      </c>
      <c r="EW22" s="32">
        <v>0</v>
      </c>
      <c r="EX22" s="32">
        <v>0</v>
      </c>
      <c r="EY22" s="32">
        <v>0</v>
      </c>
      <c r="EZ22" s="32">
        <v>0</v>
      </c>
      <c r="FA22" s="32">
        <f>SUM(EO22:EZ22)</f>
        <v>-26961.56</v>
      </c>
      <c r="FB22" s="32">
        <v>0</v>
      </c>
      <c r="FC22" s="32">
        <v>0</v>
      </c>
      <c r="FD22" s="32">
        <v>0</v>
      </c>
      <c r="FE22" s="32">
        <v>0</v>
      </c>
      <c r="FF22" s="32">
        <v>0</v>
      </c>
      <c r="FG22" s="32">
        <v>0</v>
      </c>
      <c r="FH22" s="32">
        <v>0</v>
      </c>
      <c r="FI22" s="32">
        <v>0</v>
      </c>
      <c r="FJ22" s="32">
        <v>0</v>
      </c>
      <c r="FK22" s="32">
        <v>0</v>
      </c>
      <c r="FL22" s="32">
        <v>0</v>
      </c>
      <c r="FM22" s="32">
        <v>0</v>
      </c>
      <c r="FN22" s="32">
        <f>SUM(FB22:FM22)</f>
        <v>0</v>
      </c>
      <c r="FO22" s="32">
        <v>0</v>
      </c>
      <c r="FP22" s="32">
        <v>0</v>
      </c>
      <c r="FQ22" s="32">
        <v>0</v>
      </c>
      <c r="FR22" s="32">
        <v>0</v>
      </c>
      <c r="FS22" s="32"/>
      <c r="FT22" s="32"/>
      <c r="FU22" s="32"/>
      <c r="FV22" s="32"/>
      <c r="FW22" s="32"/>
      <c r="FX22" s="32"/>
      <c r="FY22" s="32"/>
      <c r="FZ22" s="32"/>
      <c r="GA22" s="32">
        <f>SUM(FO22:FZ22)</f>
        <v>0</v>
      </c>
      <c r="GB22" s="106">
        <f>N22+AA22+AN22+BA22+BN22+CA22+DA22+CN22+DN22+EA22+EN22+FA22+FN22+GA22</f>
        <v>134993884.69</v>
      </c>
      <c r="GC22" s="105"/>
      <c r="GD22" s="59"/>
    </row>
    <row r="23" spans="1:185" s="23" customFormat="1" ht="14.25" customHeight="1" hidden="1" outlineLevel="1">
      <c r="A23" s="142"/>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143"/>
      <c r="FS23" s="143"/>
      <c r="FT23" s="143"/>
      <c r="FU23" s="143"/>
      <c r="FV23" s="143"/>
      <c r="FW23" s="143"/>
      <c r="FX23" s="143"/>
      <c r="FY23" s="143"/>
      <c r="FZ23" s="143"/>
      <c r="GA23" s="143"/>
      <c r="GB23" s="144"/>
      <c r="GC23" s="105"/>
    </row>
    <row r="24" spans="1:185" s="23" customFormat="1" ht="27" customHeight="1" hidden="1" outlineLevel="1" thickBot="1">
      <c r="A24" s="34" t="s">
        <v>58</v>
      </c>
      <c r="B24" s="32"/>
      <c r="C24" s="32"/>
      <c r="D24" s="32"/>
      <c r="E24" s="32"/>
      <c r="F24" s="32"/>
      <c r="G24" s="32"/>
      <c r="H24" s="32"/>
      <c r="I24" s="32"/>
      <c r="J24" s="32"/>
      <c r="K24" s="32"/>
      <c r="L24" s="32">
        <v>0</v>
      </c>
      <c r="M24" s="32">
        <v>0</v>
      </c>
      <c r="N24" s="32">
        <f>SUM(B24:M24)</f>
        <v>0</v>
      </c>
      <c r="O24" s="32">
        <v>0</v>
      </c>
      <c r="P24" s="32">
        <v>0</v>
      </c>
      <c r="Q24" s="32">
        <v>388470.1</v>
      </c>
      <c r="R24" s="32">
        <v>358313.93</v>
      </c>
      <c r="S24" s="32">
        <v>193263.68</v>
      </c>
      <c r="T24" s="32">
        <v>102765.35</v>
      </c>
      <c r="U24" s="32">
        <v>351.52</v>
      </c>
      <c r="V24" s="32">
        <v>40268.53</v>
      </c>
      <c r="W24" s="32">
        <v>419176.52</v>
      </c>
      <c r="X24" s="32">
        <v>561707.89</v>
      </c>
      <c r="Y24" s="32">
        <v>28266.35</v>
      </c>
      <c r="Z24" s="32">
        <v>403851.03</v>
      </c>
      <c r="AA24" s="32">
        <f>SUM(O24:Z24)</f>
        <v>2496434.9000000004</v>
      </c>
      <c r="AB24" s="32">
        <v>68984.41</v>
      </c>
      <c r="AC24" s="32">
        <v>208522.12</v>
      </c>
      <c r="AD24" s="32">
        <v>275638.56</v>
      </c>
      <c r="AE24" s="32">
        <v>79960.5</v>
      </c>
      <c r="AF24" s="32">
        <v>227650.2</v>
      </c>
      <c r="AG24" s="32">
        <v>539635.23</v>
      </c>
      <c r="AH24" s="32">
        <v>309215.01</v>
      </c>
      <c r="AI24" s="32">
        <v>304654.93</v>
      </c>
      <c r="AJ24" s="32">
        <v>176072.66</v>
      </c>
      <c r="AK24" s="32">
        <v>86246.1</v>
      </c>
      <c r="AL24" s="32">
        <v>248292.19</v>
      </c>
      <c r="AM24" s="32">
        <v>324543.28</v>
      </c>
      <c r="AN24" s="32">
        <f>SUM(AB24:AM24)</f>
        <v>2849415.1900000004</v>
      </c>
      <c r="AO24" s="32">
        <v>9450.01</v>
      </c>
      <c r="AP24" s="32">
        <v>447940.1</v>
      </c>
      <c r="AQ24" s="32">
        <v>180992.98</v>
      </c>
      <c r="AR24" s="32">
        <v>11874.76</v>
      </c>
      <c r="AS24" s="32">
        <v>404096.8</v>
      </c>
      <c r="AT24" s="32">
        <v>278304.17</v>
      </c>
      <c r="AU24" s="32">
        <v>4889.84</v>
      </c>
      <c r="AV24" s="32">
        <f>177172.64</f>
        <v>177172.64</v>
      </c>
      <c r="AW24" s="32">
        <v>524071.47</v>
      </c>
      <c r="AX24" s="32">
        <v>20379.95</v>
      </c>
      <c r="AY24" s="32">
        <v>48123.73</v>
      </c>
      <c r="AZ24" s="32">
        <v>700739.62</v>
      </c>
      <c r="BA24" s="59">
        <f>SUM(AO24:AZ24)</f>
        <v>2808036.07</v>
      </c>
      <c r="BB24" s="32">
        <v>0</v>
      </c>
      <c r="BC24" s="32">
        <v>335862.59</v>
      </c>
      <c r="BD24" s="32">
        <v>462159.47</v>
      </c>
      <c r="BE24" s="32">
        <v>230693.57</v>
      </c>
      <c r="BF24" s="32">
        <v>165224.82</v>
      </c>
      <c r="BG24" s="32">
        <v>450237.48</v>
      </c>
      <c r="BH24" s="32">
        <v>68746.53</v>
      </c>
      <c r="BI24" s="32">
        <v>84729.54</v>
      </c>
      <c r="BJ24" s="32">
        <v>576652.62</v>
      </c>
      <c r="BK24" s="32">
        <v>190655.49</v>
      </c>
      <c r="BL24" s="32">
        <v>125438.01</v>
      </c>
      <c r="BM24" s="32">
        <v>652213.41</v>
      </c>
      <c r="BN24" s="32">
        <f>SUM(BB24:BM24)</f>
        <v>3342613.5300000003</v>
      </c>
      <c r="BO24" s="32">
        <v>0</v>
      </c>
      <c r="BP24" s="32">
        <v>119285.92</v>
      </c>
      <c r="BQ24" s="32">
        <v>422967.89</v>
      </c>
      <c r="BR24" s="32">
        <v>0</v>
      </c>
      <c r="BS24" s="32">
        <v>135424.95</v>
      </c>
      <c r="BT24" s="32">
        <v>567031.98</v>
      </c>
      <c r="BU24" s="32">
        <v>135069.41</v>
      </c>
      <c r="BV24" s="32">
        <v>82930.22</v>
      </c>
      <c r="BW24" s="32">
        <v>424522.03</v>
      </c>
      <c r="BX24" s="32">
        <v>273555.56</v>
      </c>
      <c r="BY24" s="32">
        <v>53512.23</v>
      </c>
      <c r="BZ24" s="32">
        <v>687849.3</v>
      </c>
      <c r="CA24" s="32">
        <f>SUM(BO24:BZ24)</f>
        <v>2902149.49</v>
      </c>
      <c r="CB24" s="32">
        <v>143.63</v>
      </c>
      <c r="CC24" s="32">
        <v>133576.83</v>
      </c>
      <c r="CD24" s="32">
        <v>626902.59</v>
      </c>
      <c r="CE24" s="32">
        <v>248091.37</v>
      </c>
      <c r="CF24" s="32">
        <v>45305.33</v>
      </c>
      <c r="CG24" s="32">
        <v>391101.2</v>
      </c>
      <c r="CH24" s="32">
        <v>48561.13</v>
      </c>
      <c r="CI24" s="32">
        <v>53041.93</v>
      </c>
      <c r="CJ24" s="32">
        <v>1012138.1</v>
      </c>
      <c r="CK24" s="32">
        <v>184362.69</v>
      </c>
      <c r="CL24" s="32">
        <v>43906.78</v>
      </c>
      <c r="CM24" s="32">
        <v>856407.92</v>
      </c>
      <c r="CN24" s="32">
        <f>SUM(CB24:CM24)</f>
        <v>3643539.4999999995</v>
      </c>
      <c r="CO24" s="32">
        <v>12917.53</v>
      </c>
      <c r="CP24" s="32">
        <v>75529.16</v>
      </c>
      <c r="CQ24" s="32">
        <v>510537.29</v>
      </c>
      <c r="CR24" s="32">
        <v>2888.16</v>
      </c>
      <c r="CS24" s="32">
        <v>45400.96</v>
      </c>
      <c r="CT24" s="32">
        <v>607230.49</v>
      </c>
      <c r="CU24" s="32">
        <v>6302.11</v>
      </c>
      <c r="CV24" s="32">
        <v>55519.25</v>
      </c>
      <c r="CW24" s="32">
        <v>644216.61</v>
      </c>
      <c r="CX24" s="32">
        <v>5247.85</v>
      </c>
      <c r="CY24" s="32">
        <v>55697.45</v>
      </c>
      <c r="CZ24" s="32">
        <v>609197.2</v>
      </c>
      <c r="DA24" s="32">
        <f>SUM(CO24:CZ24)</f>
        <v>2630684.06</v>
      </c>
      <c r="DB24" s="32">
        <v>5.45</v>
      </c>
      <c r="DC24" s="32">
        <v>35513.94</v>
      </c>
      <c r="DD24" s="32">
        <v>1036829.73</v>
      </c>
      <c r="DE24" s="32">
        <v>0</v>
      </c>
      <c r="DF24" s="32">
        <v>0</v>
      </c>
      <c r="DG24" s="32">
        <v>0</v>
      </c>
      <c r="DH24" s="32">
        <v>0</v>
      </c>
      <c r="DI24" s="32">
        <v>0</v>
      </c>
      <c r="DJ24" s="32">
        <v>-1055.66</v>
      </c>
      <c r="DK24" s="32">
        <v>0</v>
      </c>
      <c r="DL24" s="32">
        <v>0</v>
      </c>
      <c r="DM24" s="32">
        <v>0</v>
      </c>
      <c r="DN24" s="32">
        <f>SUM(DB24:DM24)</f>
        <v>1071293.46</v>
      </c>
      <c r="DO24" s="32">
        <v>0</v>
      </c>
      <c r="DP24" s="32">
        <v>0</v>
      </c>
      <c r="DQ24" s="32">
        <v>0</v>
      </c>
      <c r="DR24" s="32">
        <v>0</v>
      </c>
      <c r="DS24" s="32">
        <v>0</v>
      </c>
      <c r="DT24" s="32">
        <v>0</v>
      </c>
      <c r="DU24" s="32">
        <v>0</v>
      </c>
      <c r="DV24" s="32">
        <v>0</v>
      </c>
      <c r="DW24" s="32">
        <v>0</v>
      </c>
      <c r="DX24" s="32">
        <v>0</v>
      </c>
      <c r="DY24" s="32">
        <v>0</v>
      </c>
      <c r="DZ24" s="32">
        <v>0</v>
      </c>
      <c r="EA24" s="32">
        <f>SUM(DO24:DZ24)</f>
        <v>0</v>
      </c>
      <c r="EB24" s="32">
        <v>0</v>
      </c>
      <c r="EC24" s="32">
        <v>0</v>
      </c>
      <c r="ED24" s="32">
        <v>0</v>
      </c>
      <c r="EE24" s="32">
        <v>0</v>
      </c>
      <c r="EF24" s="32">
        <v>0</v>
      </c>
      <c r="EG24" s="32">
        <v>0</v>
      </c>
      <c r="EH24" s="32">
        <v>0</v>
      </c>
      <c r="EI24" s="32">
        <v>0</v>
      </c>
      <c r="EJ24" s="32">
        <v>0</v>
      </c>
      <c r="EK24" s="32">
        <v>0</v>
      </c>
      <c r="EL24" s="32">
        <v>0</v>
      </c>
      <c r="EM24" s="32">
        <v>0</v>
      </c>
      <c r="EN24" s="32">
        <f>SUM(EB24:EM24)</f>
        <v>0</v>
      </c>
      <c r="EO24" s="32">
        <v>0</v>
      </c>
      <c r="EP24" s="32">
        <v>0</v>
      </c>
      <c r="EQ24" s="32">
        <v>0</v>
      </c>
      <c r="ER24" s="32">
        <v>0</v>
      </c>
      <c r="ES24" s="32">
        <v>0</v>
      </c>
      <c r="ET24" s="32">
        <v>0</v>
      </c>
      <c r="EU24" s="32">
        <v>0</v>
      </c>
      <c r="EV24" s="32">
        <v>0</v>
      </c>
      <c r="EW24" s="32">
        <v>0</v>
      </c>
      <c r="EX24" s="32">
        <v>0</v>
      </c>
      <c r="EY24" s="32">
        <v>0</v>
      </c>
      <c r="EZ24" s="32">
        <v>0</v>
      </c>
      <c r="FA24" s="32">
        <f>SUM(EO24:EZ24)</f>
        <v>0</v>
      </c>
      <c r="FB24" s="32">
        <v>0</v>
      </c>
      <c r="FC24" s="32">
        <v>0</v>
      </c>
      <c r="FD24" s="32">
        <v>0</v>
      </c>
      <c r="FE24" s="32">
        <v>0</v>
      </c>
      <c r="FF24" s="32">
        <v>0</v>
      </c>
      <c r="FG24" s="32">
        <v>0</v>
      </c>
      <c r="FH24" s="32">
        <v>0</v>
      </c>
      <c r="FI24" s="32">
        <v>0</v>
      </c>
      <c r="FJ24" s="32">
        <v>0</v>
      </c>
      <c r="FK24" s="32">
        <v>0</v>
      </c>
      <c r="FL24" s="32">
        <v>0</v>
      </c>
      <c r="FM24" s="32">
        <v>0</v>
      </c>
      <c r="FN24" s="32">
        <f>SUM(FB24:FM24)</f>
        <v>0</v>
      </c>
      <c r="FO24" s="32">
        <v>0</v>
      </c>
      <c r="FP24" s="32">
        <v>0</v>
      </c>
      <c r="FQ24" s="32">
        <v>0</v>
      </c>
      <c r="FR24" s="32">
        <v>0</v>
      </c>
      <c r="FS24" s="32"/>
      <c r="FT24" s="32"/>
      <c r="FU24" s="32"/>
      <c r="FV24" s="32"/>
      <c r="FW24" s="32"/>
      <c r="FX24" s="32"/>
      <c r="FY24" s="32"/>
      <c r="FZ24" s="32"/>
      <c r="GA24" s="32">
        <f>SUM(FO24:FZ24)</f>
        <v>0</v>
      </c>
      <c r="GB24" s="106">
        <f>N24+AA24+AN24+BA24+BN24+CA24+DA24+CN24+DN24+EA24+EN24+FA24+FN24+GA24</f>
        <v>21744166.200000003</v>
      </c>
      <c r="GC24" s="105"/>
    </row>
    <row r="25" spans="1:184" s="23" customFormat="1" ht="13.5" collapsed="1" thickBot="1">
      <c r="A25" s="36" t="s">
        <v>57</v>
      </c>
      <c r="B25" s="37">
        <f>B18+B20+B22</f>
        <v>0</v>
      </c>
      <c r="C25" s="37">
        <f aca="true" t="shared" si="8" ref="C25:K25">C18+C20+C22</f>
        <v>0</v>
      </c>
      <c r="D25" s="37">
        <f t="shared" si="8"/>
        <v>0</v>
      </c>
      <c r="E25" s="37">
        <f t="shared" si="8"/>
        <v>0</v>
      </c>
      <c r="F25" s="37">
        <f t="shared" si="8"/>
        <v>0</v>
      </c>
      <c r="G25" s="37">
        <f t="shared" si="8"/>
        <v>0</v>
      </c>
      <c r="H25" s="37">
        <f t="shared" si="8"/>
        <v>0</v>
      </c>
      <c r="I25" s="37">
        <f t="shared" si="8"/>
        <v>0</v>
      </c>
      <c r="J25" s="37">
        <f t="shared" si="8"/>
        <v>0</v>
      </c>
      <c r="K25" s="37">
        <f t="shared" si="8"/>
        <v>0</v>
      </c>
      <c r="L25" s="37">
        <f>L18+L20+L22</f>
        <v>83389415.99</v>
      </c>
      <c r="M25" s="37">
        <f>M18+M20+M22</f>
        <v>142763.78</v>
      </c>
      <c r="N25" s="37">
        <f>N18+N20+N22</f>
        <v>83532179.77</v>
      </c>
      <c r="O25" s="37">
        <f>O18+O20+O22+O24</f>
        <v>80341.15</v>
      </c>
      <c r="P25" s="37">
        <f>P18+P20+P22+P24</f>
        <v>139174.39</v>
      </c>
      <c r="Q25" s="37">
        <f>Q18+Q20+Q22+Q24</f>
        <v>610804.59</v>
      </c>
      <c r="R25" s="37">
        <f>R18+R20+R22+R24</f>
        <v>725410.35</v>
      </c>
      <c r="S25" s="37">
        <f aca="true" t="shared" si="9" ref="S25:Z25">S18+S20+S22+S24</f>
        <v>28431503.65</v>
      </c>
      <c r="T25" s="37">
        <f>T18+T20+T22+T24</f>
        <v>56473225.56</v>
      </c>
      <c r="U25" s="37">
        <f t="shared" si="9"/>
        <v>335972.94</v>
      </c>
      <c r="V25" s="37">
        <f>V18+V20+V22+V24</f>
        <v>542223.49</v>
      </c>
      <c r="W25" s="37">
        <f t="shared" si="9"/>
        <v>14980915.529999997</v>
      </c>
      <c r="X25" s="37">
        <f t="shared" si="9"/>
        <v>1684888.5499999998</v>
      </c>
      <c r="Y25" s="37">
        <f t="shared" si="9"/>
        <v>2986856.87</v>
      </c>
      <c r="Z25" s="37">
        <f t="shared" si="9"/>
        <v>35365728.36000001</v>
      </c>
      <c r="AA25" s="37">
        <f>AA18+AA20+AA22+AA24</f>
        <v>142357045.43</v>
      </c>
      <c r="AB25" s="37">
        <f>AB18+AB20+AB22+AB24</f>
        <v>300434.92</v>
      </c>
      <c r="AC25" s="37">
        <f>AC18+AC20+AC22+AC24</f>
        <v>712466.9099999999</v>
      </c>
      <c r="AD25" s="37">
        <f aca="true" t="shared" si="10" ref="AD25:AM25">AD18+AD20+AD22+AD24</f>
        <v>1227595.45</v>
      </c>
      <c r="AE25" s="37">
        <f t="shared" si="10"/>
        <v>4734408.05</v>
      </c>
      <c r="AF25" s="37">
        <f t="shared" si="10"/>
        <v>2479195.7600000002</v>
      </c>
      <c r="AG25" s="37">
        <f t="shared" si="10"/>
        <v>14436354.450000001</v>
      </c>
      <c r="AH25" s="37">
        <f t="shared" si="10"/>
        <v>6737524.82</v>
      </c>
      <c r="AI25" s="37">
        <f t="shared" si="10"/>
        <v>3378509.12</v>
      </c>
      <c r="AJ25" s="37">
        <f t="shared" si="10"/>
        <v>1289300.8699999999</v>
      </c>
      <c r="AK25" s="37">
        <f t="shared" si="10"/>
        <v>3212777.14</v>
      </c>
      <c r="AL25" s="37">
        <f t="shared" si="10"/>
        <v>1496443.79</v>
      </c>
      <c r="AM25" s="37">
        <f t="shared" si="10"/>
        <v>3418891.1500000004</v>
      </c>
      <c r="AN25" s="37">
        <f>AN18+AN20+AN22+AN24</f>
        <v>43423902.43</v>
      </c>
      <c r="AO25" s="37">
        <f>AO18+AO20+AO22+AO24</f>
        <v>229724.88</v>
      </c>
      <c r="AP25" s="37">
        <f aca="true" t="shared" si="11" ref="AP25:BA25">AP18+AP20+AP22+AP24</f>
        <v>1328623.9500000002</v>
      </c>
      <c r="AQ25" s="37">
        <f t="shared" si="11"/>
        <v>1094363.76</v>
      </c>
      <c r="AR25" s="37">
        <f>AR18+AR20+AR22+AR24</f>
        <v>2418122.79</v>
      </c>
      <c r="AS25" s="37">
        <f>AS18+AS20+AS22+AS24</f>
        <v>4649415.09</v>
      </c>
      <c r="AT25" s="37">
        <f>AT18+AT20+AT22+AT24</f>
        <v>2197600.35</v>
      </c>
      <c r="AU25" s="37">
        <f>AU18+AU20+AU22+AU24</f>
        <v>13952723.07</v>
      </c>
      <c r="AV25" s="37">
        <f>AV18+AV20+AV22+AV24</f>
        <v>5126931.67</v>
      </c>
      <c r="AW25" s="37">
        <f t="shared" si="11"/>
        <v>2345989.44</v>
      </c>
      <c r="AX25" s="37">
        <f t="shared" si="11"/>
        <v>8371273.600000001</v>
      </c>
      <c r="AY25" s="37">
        <f t="shared" si="11"/>
        <v>3872857.53</v>
      </c>
      <c r="AZ25" s="37">
        <f t="shared" si="11"/>
        <v>9089674.499999998</v>
      </c>
      <c r="BA25" s="37">
        <f t="shared" si="11"/>
        <v>54677300.63</v>
      </c>
      <c r="BB25" s="37">
        <f>BB18+BB20+BB22+BB24</f>
        <v>-31370475.419999998</v>
      </c>
      <c r="BC25" s="37">
        <f aca="true" t="shared" si="12" ref="BC25:BZ25">BC18+BC20+BC22+BC24</f>
        <v>999802.1200000001</v>
      </c>
      <c r="BD25" s="37">
        <f t="shared" si="12"/>
        <v>4558399.93</v>
      </c>
      <c r="BE25" s="37">
        <f t="shared" si="12"/>
        <v>7617503</v>
      </c>
      <c r="BF25" s="37">
        <f t="shared" si="12"/>
        <v>4985988.82</v>
      </c>
      <c r="BG25" s="37">
        <f t="shared" si="12"/>
        <v>3775178.77</v>
      </c>
      <c r="BH25" s="37">
        <f t="shared" si="12"/>
        <v>2327695.11</v>
      </c>
      <c r="BI25" s="37">
        <f t="shared" si="12"/>
        <v>5818293.63</v>
      </c>
      <c r="BJ25" s="37">
        <f t="shared" si="12"/>
        <v>6027105.82</v>
      </c>
      <c r="BK25" s="37">
        <f t="shared" si="12"/>
        <v>9037370.94</v>
      </c>
      <c r="BL25" s="37">
        <f t="shared" si="12"/>
        <v>6642048.6</v>
      </c>
      <c r="BM25" s="37">
        <f t="shared" si="12"/>
        <v>11481949.5</v>
      </c>
      <c r="BN25" s="37">
        <f>BN18+BN20+BN22+BN24</f>
        <v>31900860.819999993</v>
      </c>
      <c r="BO25" s="37">
        <f t="shared" si="12"/>
        <v>4965808.35</v>
      </c>
      <c r="BP25" s="37">
        <f t="shared" si="12"/>
        <v>6709501.7</v>
      </c>
      <c r="BQ25" s="37">
        <f t="shared" si="12"/>
        <v>-561154.0000000006</v>
      </c>
      <c r="BR25" s="37">
        <f t="shared" si="12"/>
        <v>-7580565.3</v>
      </c>
      <c r="BS25" s="37">
        <f t="shared" si="12"/>
        <v>4510122.3100000005</v>
      </c>
      <c r="BT25" s="37">
        <f t="shared" si="12"/>
        <v>9439448.51</v>
      </c>
      <c r="BU25" s="37">
        <f t="shared" si="12"/>
        <v>8300255.529999999</v>
      </c>
      <c r="BV25" s="37">
        <f t="shared" si="12"/>
        <v>8000968.31</v>
      </c>
      <c r="BW25" s="37">
        <f t="shared" si="12"/>
        <v>6136386.930000001</v>
      </c>
      <c r="BX25" s="37">
        <f t="shared" si="12"/>
        <v>-9812608.139999999</v>
      </c>
      <c r="BY25" s="37">
        <f t="shared" si="12"/>
        <v>3859240.04</v>
      </c>
      <c r="BZ25" s="37">
        <f t="shared" si="12"/>
        <v>5696648.99</v>
      </c>
      <c r="CA25" s="37">
        <f>CA18+CA20+CA22+CA24</f>
        <v>39664053.23</v>
      </c>
      <c r="CB25" s="37">
        <f>CB18+CB20+CB22+CB24</f>
        <v>90875.09000000003</v>
      </c>
      <c r="CC25" s="37">
        <f aca="true" t="shared" si="13" ref="CC25:CM25">CC18+CC20+CC22+CC24</f>
        <v>-4367480.76</v>
      </c>
      <c r="CD25" s="37">
        <f t="shared" si="13"/>
        <v>7675106.08</v>
      </c>
      <c r="CE25" s="37">
        <f t="shared" si="13"/>
        <v>6737645.66</v>
      </c>
      <c r="CF25" s="37">
        <f t="shared" si="13"/>
        <v>3191988.7</v>
      </c>
      <c r="CG25" s="37">
        <f t="shared" si="13"/>
        <v>7436815.4799999995</v>
      </c>
      <c r="CH25" s="37">
        <f t="shared" si="13"/>
        <v>739780.9399999998</v>
      </c>
      <c r="CI25" s="37">
        <f t="shared" si="13"/>
        <v>6960501.699999999</v>
      </c>
      <c r="CJ25" s="37">
        <f t="shared" si="13"/>
        <v>6814057.56</v>
      </c>
      <c r="CK25" s="37">
        <f t="shared" si="13"/>
        <v>13748008.959999999</v>
      </c>
      <c r="CL25" s="37">
        <f t="shared" si="13"/>
        <v>19060619.1</v>
      </c>
      <c r="CM25" s="37">
        <f t="shared" si="13"/>
        <v>103580382.39</v>
      </c>
      <c r="CN25" s="37">
        <f aca="true" t="shared" si="14" ref="CN25:DM25">CN18+CN20+CN22+CN24</f>
        <v>171668300.89999998</v>
      </c>
      <c r="CO25" s="37">
        <f t="shared" si="14"/>
        <v>17412270.43</v>
      </c>
      <c r="CP25" s="37">
        <f t="shared" si="14"/>
        <v>7103203.63</v>
      </c>
      <c r="CQ25" s="37">
        <f t="shared" si="14"/>
        <v>6965452.46</v>
      </c>
      <c r="CR25" s="37">
        <f t="shared" si="14"/>
        <v>7487414.32</v>
      </c>
      <c r="CS25" s="37">
        <f t="shared" si="14"/>
        <v>2180303.5999999996</v>
      </c>
      <c r="CT25" s="37">
        <f>CT18+CT20+CT22+CT24</f>
        <v>10326714.22</v>
      </c>
      <c r="CU25" s="37">
        <f t="shared" si="14"/>
        <v>14087686.34</v>
      </c>
      <c r="CV25" s="37">
        <f t="shared" si="14"/>
        <v>6917917.77</v>
      </c>
      <c r="CW25" s="37">
        <f t="shared" si="14"/>
        <v>7419159.03</v>
      </c>
      <c r="CX25" s="37">
        <f t="shared" si="14"/>
        <v>9286557.03</v>
      </c>
      <c r="CY25" s="37">
        <f t="shared" si="14"/>
        <v>8756659.94</v>
      </c>
      <c r="CZ25" s="37">
        <f t="shared" si="14"/>
        <v>18700897.569999997</v>
      </c>
      <c r="DA25" s="37">
        <f>DA18+DA20+DA22+DA24</f>
        <v>116644236.34</v>
      </c>
      <c r="DB25" s="37">
        <f>DB18+DB20+DB22+DB24</f>
        <v>9012961.14</v>
      </c>
      <c r="DC25" s="37">
        <f t="shared" si="14"/>
        <v>8932263.27</v>
      </c>
      <c r="DD25" s="37">
        <f t="shared" si="14"/>
        <v>29530535.150000002</v>
      </c>
      <c r="DE25" s="37">
        <f t="shared" si="14"/>
        <v>37457001.94</v>
      </c>
      <c r="DF25" s="37">
        <f t="shared" si="14"/>
        <v>0</v>
      </c>
      <c r="DG25" s="37">
        <f>DG18+DG20+DG22+DG24</f>
        <v>-1875933.29</v>
      </c>
      <c r="DH25" s="37">
        <f t="shared" si="14"/>
        <v>0</v>
      </c>
      <c r="DI25" s="37">
        <f t="shared" si="14"/>
        <v>0</v>
      </c>
      <c r="DJ25" s="37">
        <f t="shared" si="14"/>
        <v>-1183.69</v>
      </c>
      <c r="DK25" s="37">
        <f t="shared" si="14"/>
        <v>-206232.62</v>
      </c>
      <c r="DL25" s="37">
        <f t="shared" si="14"/>
        <v>0</v>
      </c>
      <c r="DM25" s="37">
        <f t="shared" si="14"/>
        <v>0</v>
      </c>
      <c r="DN25" s="37">
        <f aca="true" t="shared" si="15" ref="DN25:DT25">DN18+DN20+DN22+DN24</f>
        <v>82849411.89999999</v>
      </c>
      <c r="DO25" s="37">
        <f t="shared" si="15"/>
        <v>0</v>
      </c>
      <c r="DP25" s="37">
        <f t="shared" si="15"/>
        <v>0</v>
      </c>
      <c r="DQ25" s="37">
        <f t="shared" si="15"/>
        <v>-508996.95</v>
      </c>
      <c r="DR25" s="37">
        <f t="shared" si="15"/>
        <v>-45619.69</v>
      </c>
      <c r="DS25" s="37">
        <f t="shared" si="15"/>
        <v>0</v>
      </c>
      <c r="DT25" s="37">
        <f t="shared" si="15"/>
        <v>-7511.15</v>
      </c>
      <c r="DU25" s="37">
        <f aca="true" t="shared" si="16" ref="DU25:DZ25">DU18+DU20+DU22+DU24</f>
        <v>0</v>
      </c>
      <c r="DV25" s="37">
        <f t="shared" si="16"/>
        <v>0</v>
      </c>
      <c r="DW25" s="37">
        <f t="shared" si="16"/>
        <v>0</v>
      </c>
      <c r="DX25" s="37">
        <f t="shared" si="16"/>
        <v>0</v>
      </c>
      <c r="DY25" s="37">
        <f t="shared" si="16"/>
        <v>0</v>
      </c>
      <c r="DZ25" s="37">
        <f t="shared" si="16"/>
        <v>0</v>
      </c>
      <c r="EA25" s="37">
        <f>EA18+EA20+EA22+EA24</f>
        <v>-562127.79</v>
      </c>
      <c r="EB25" s="37">
        <f aca="true" t="shared" si="17" ref="EB25:EM25">EB18+EB20+EB22+EB24</f>
        <v>0</v>
      </c>
      <c r="EC25" s="37">
        <f t="shared" si="17"/>
        <v>0</v>
      </c>
      <c r="ED25" s="37">
        <f t="shared" si="17"/>
        <v>0</v>
      </c>
      <c r="EE25" s="37">
        <f t="shared" si="17"/>
        <v>0</v>
      </c>
      <c r="EF25" s="37">
        <f t="shared" si="17"/>
        <v>0</v>
      </c>
      <c r="EG25" s="37">
        <f t="shared" si="17"/>
        <v>0</v>
      </c>
      <c r="EH25" s="37">
        <f t="shared" si="17"/>
        <v>0</v>
      </c>
      <c r="EI25" s="37">
        <f t="shared" si="17"/>
        <v>0</v>
      </c>
      <c r="EJ25" s="37">
        <f t="shared" si="17"/>
        <v>-400.73</v>
      </c>
      <c r="EK25" s="37">
        <f t="shared" si="17"/>
        <v>0</v>
      </c>
      <c r="EL25" s="37">
        <f t="shared" si="17"/>
        <v>0</v>
      </c>
      <c r="EM25" s="37">
        <f t="shared" si="17"/>
        <v>-15.91</v>
      </c>
      <c r="EN25" s="37">
        <f>EN18+EN20+EN22+EN24</f>
        <v>-416.64000000000004</v>
      </c>
      <c r="EO25" s="37">
        <f aca="true" t="shared" si="18" ref="EO25:FM25">EO18+EO20+EO22+EO24</f>
        <v>0</v>
      </c>
      <c r="EP25" s="37">
        <f t="shared" si="18"/>
        <v>0</v>
      </c>
      <c r="EQ25" s="37">
        <f t="shared" si="18"/>
        <v>0</v>
      </c>
      <c r="ER25" s="37">
        <f t="shared" si="18"/>
        <v>-27842.890000000003</v>
      </c>
      <c r="ES25" s="37">
        <f t="shared" si="18"/>
        <v>0</v>
      </c>
      <c r="ET25" s="37">
        <f t="shared" si="18"/>
        <v>0</v>
      </c>
      <c r="EU25" s="37">
        <f t="shared" si="18"/>
        <v>-8.16</v>
      </c>
      <c r="EV25" s="37">
        <f t="shared" si="18"/>
        <v>0</v>
      </c>
      <c r="EW25" s="37">
        <f t="shared" si="18"/>
        <v>-632915.96</v>
      </c>
      <c r="EX25" s="37">
        <f t="shared" si="18"/>
        <v>0</v>
      </c>
      <c r="EY25" s="37">
        <f t="shared" si="18"/>
        <v>0</v>
      </c>
      <c r="EZ25" s="37">
        <f t="shared" si="18"/>
        <v>0</v>
      </c>
      <c r="FA25" s="37">
        <f>FA18+FA20+FA22+FA24</f>
        <v>-660767.01</v>
      </c>
      <c r="FB25" s="37">
        <f t="shared" si="18"/>
        <v>0</v>
      </c>
      <c r="FC25" s="37">
        <f t="shared" si="18"/>
        <v>0</v>
      </c>
      <c r="FD25" s="37">
        <f t="shared" si="18"/>
        <v>0</v>
      </c>
      <c r="FE25" s="37">
        <f t="shared" si="18"/>
        <v>0</v>
      </c>
      <c r="FF25" s="37">
        <f t="shared" si="18"/>
        <v>0</v>
      </c>
      <c r="FG25" s="37">
        <f t="shared" si="18"/>
        <v>0</v>
      </c>
      <c r="FH25" s="37">
        <f t="shared" si="18"/>
        <v>0</v>
      </c>
      <c r="FI25" s="37">
        <f t="shared" si="18"/>
        <v>0</v>
      </c>
      <c r="FJ25" s="37">
        <f t="shared" si="18"/>
        <v>0</v>
      </c>
      <c r="FK25" s="37">
        <f t="shared" si="18"/>
        <v>0</v>
      </c>
      <c r="FL25" s="37">
        <f t="shared" si="18"/>
        <v>0</v>
      </c>
      <c r="FM25" s="37">
        <f t="shared" si="18"/>
        <v>0</v>
      </c>
      <c r="FN25" s="37">
        <f aca="true" t="shared" si="19" ref="FN25:FS25">FN18+FN20+FN22+FN24</f>
        <v>0</v>
      </c>
      <c r="FO25" s="37">
        <f t="shared" si="19"/>
        <v>0</v>
      </c>
      <c r="FP25" s="37">
        <f t="shared" si="19"/>
        <v>0</v>
      </c>
      <c r="FQ25" s="37">
        <f t="shared" si="19"/>
        <v>0</v>
      </c>
      <c r="FR25" s="37">
        <f t="shared" si="19"/>
        <v>0</v>
      </c>
      <c r="FS25" s="37">
        <f t="shared" si="19"/>
        <v>0</v>
      </c>
      <c r="FT25" s="37">
        <f aca="true" t="shared" si="20" ref="FT25:FZ25">FT18+FT20+FT22+FT24</f>
        <v>0</v>
      </c>
      <c r="FU25" s="37">
        <f t="shared" si="20"/>
        <v>0</v>
      </c>
      <c r="FV25" s="37">
        <f t="shared" si="20"/>
        <v>0</v>
      </c>
      <c r="FW25" s="37">
        <f t="shared" si="20"/>
        <v>0</v>
      </c>
      <c r="FX25" s="37">
        <f t="shared" si="20"/>
        <v>0</v>
      </c>
      <c r="FY25" s="37">
        <f t="shared" si="20"/>
        <v>0</v>
      </c>
      <c r="FZ25" s="37">
        <f t="shared" si="20"/>
        <v>0</v>
      </c>
      <c r="GA25" s="37">
        <f>GA18+GA20+GA22+GA24</f>
        <v>0</v>
      </c>
      <c r="GB25" s="37">
        <f>GB18+GB20+GB22+GB24</f>
        <v>765493980.01</v>
      </c>
    </row>
    <row r="26" spans="1:184" s="23" customFormat="1" ht="28.5" customHeight="1" hidden="1" outlineLevel="1">
      <c r="A26" s="30" t="s">
        <v>41</v>
      </c>
      <c r="B26" s="145"/>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c r="DU26" s="146"/>
      <c r="DV26" s="146"/>
      <c r="DW26" s="146"/>
      <c r="DX26" s="146"/>
      <c r="DY26" s="146"/>
      <c r="DZ26" s="146"/>
      <c r="EA26" s="146"/>
      <c r="EB26" s="146"/>
      <c r="EC26" s="146"/>
      <c r="ED26" s="146"/>
      <c r="EE26" s="146"/>
      <c r="EF26" s="146"/>
      <c r="EG26" s="146"/>
      <c r="EH26" s="146"/>
      <c r="EI26" s="146"/>
      <c r="EJ26" s="146"/>
      <c r="EK26" s="146"/>
      <c r="EL26" s="146"/>
      <c r="EM26" s="146"/>
      <c r="EN26" s="146"/>
      <c r="EO26" s="146"/>
      <c r="EP26" s="146"/>
      <c r="EQ26" s="146"/>
      <c r="ER26" s="146"/>
      <c r="ES26" s="146"/>
      <c r="ET26" s="146"/>
      <c r="EU26" s="146"/>
      <c r="EV26" s="146"/>
      <c r="EW26" s="146"/>
      <c r="EX26" s="146"/>
      <c r="EY26" s="146"/>
      <c r="EZ26" s="146"/>
      <c r="FA26" s="146"/>
      <c r="FB26" s="146"/>
      <c r="FC26" s="146"/>
      <c r="FD26" s="146"/>
      <c r="FE26" s="146"/>
      <c r="FF26" s="146"/>
      <c r="FG26" s="146"/>
      <c r="FH26" s="146"/>
      <c r="FI26" s="146"/>
      <c r="FJ26" s="146"/>
      <c r="FK26" s="146"/>
      <c r="FL26" s="146"/>
      <c r="FM26" s="146"/>
      <c r="FN26" s="146"/>
      <c r="FO26" s="146"/>
      <c r="FP26" s="146"/>
      <c r="FQ26" s="146"/>
      <c r="FR26" s="146"/>
      <c r="FS26" s="146"/>
      <c r="FT26" s="146"/>
      <c r="FU26" s="146"/>
      <c r="FV26" s="146"/>
      <c r="FW26" s="146"/>
      <c r="FX26" s="146"/>
      <c r="FY26" s="146"/>
      <c r="FZ26" s="146"/>
      <c r="GA26" s="146"/>
      <c r="GB26" s="147"/>
    </row>
    <row r="27" spans="1:187" s="23" customFormat="1" ht="36.75" customHeight="1" hidden="1" outlineLevel="1">
      <c r="A27" s="30" t="s">
        <v>42</v>
      </c>
      <c r="B27" s="32"/>
      <c r="C27" s="32"/>
      <c r="D27" s="32"/>
      <c r="E27" s="32"/>
      <c r="F27" s="32"/>
      <c r="G27" s="32"/>
      <c r="H27" s="32"/>
      <c r="I27" s="32"/>
      <c r="J27" s="32"/>
      <c r="K27" s="32"/>
      <c r="L27" s="32">
        <v>359509.36</v>
      </c>
      <c r="M27" s="32">
        <v>0</v>
      </c>
      <c r="N27" s="32">
        <f>SUM(B27:M27)</f>
        <v>359509.36</v>
      </c>
      <c r="O27" s="32">
        <v>364896.02</v>
      </c>
      <c r="P27" s="32">
        <v>1216370.65</v>
      </c>
      <c r="Q27" s="32">
        <v>2082055.75</v>
      </c>
      <c r="R27" s="32">
        <v>83837.36</v>
      </c>
      <c r="S27" s="32">
        <v>966419.69</v>
      </c>
      <c r="T27" s="32">
        <v>3049720.84</v>
      </c>
      <c r="U27" s="32">
        <v>1250982.89</v>
      </c>
      <c r="V27" s="32">
        <v>1095812.41</v>
      </c>
      <c r="W27" s="32">
        <v>5203630.16</v>
      </c>
      <c r="X27" s="32">
        <v>3051267.19</v>
      </c>
      <c r="Y27" s="32">
        <v>2379669.01</v>
      </c>
      <c r="Z27" s="32">
        <v>14967875.11</v>
      </c>
      <c r="AA27" s="32">
        <f>SUM(O27:Z27)</f>
        <v>35712537.08</v>
      </c>
      <c r="AB27" s="32">
        <v>482411.51</v>
      </c>
      <c r="AC27" s="32">
        <v>2631306.18</v>
      </c>
      <c r="AD27" s="32">
        <v>2540617.2</v>
      </c>
      <c r="AE27" s="32">
        <v>1579950.53</v>
      </c>
      <c r="AF27" s="32">
        <v>1577773.36</v>
      </c>
      <c r="AG27" s="32">
        <v>1868079.82</v>
      </c>
      <c r="AH27" s="32">
        <v>1766350.1</v>
      </c>
      <c r="AI27" s="32">
        <v>4029141.76</v>
      </c>
      <c r="AJ27" s="32">
        <v>1441406.59</v>
      </c>
      <c r="AK27" s="32">
        <v>6850639.23</v>
      </c>
      <c r="AL27" s="32">
        <v>3248883.35</v>
      </c>
      <c r="AM27" s="32">
        <v>15838947.05</v>
      </c>
      <c r="AN27" s="32">
        <f>SUM(AB27:AM27)</f>
        <v>43855506.68000001</v>
      </c>
      <c r="AO27" s="32">
        <v>739284.05</v>
      </c>
      <c r="AP27" s="32">
        <v>5502244.79</v>
      </c>
      <c r="AQ27" s="32">
        <v>9483442.7</v>
      </c>
      <c r="AR27" s="32">
        <v>6459787.84</v>
      </c>
      <c r="AS27" s="32">
        <v>7004630.65</v>
      </c>
      <c r="AT27" s="32">
        <v>4253896.9</v>
      </c>
      <c r="AU27" s="32">
        <v>8699372.79</v>
      </c>
      <c r="AV27" s="32">
        <f>5185092.98+255286.88+662067.66+678511.83</f>
        <v>6780959.350000001</v>
      </c>
      <c r="AW27" s="32">
        <v>1990133.49</v>
      </c>
      <c r="AX27" s="32">
        <v>11394158.74</v>
      </c>
      <c r="AY27" s="32">
        <v>5232786.23</v>
      </c>
      <c r="AZ27" s="32">
        <v>14614770.87</v>
      </c>
      <c r="BA27" s="59">
        <f>SUM(AO27:AZ27)</f>
        <v>82155468.4</v>
      </c>
      <c r="BB27" s="32">
        <v>1305482.39</v>
      </c>
      <c r="BC27" s="32">
        <v>1659023.94</v>
      </c>
      <c r="BD27" s="32">
        <v>6145565.26</v>
      </c>
      <c r="BE27" s="32">
        <v>12378440.48</v>
      </c>
      <c r="BF27" s="32">
        <v>5961985.88</v>
      </c>
      <c r="BG27" s="32">
        <v>8568073.59</v>
      </c>
      <c r="BH27" s="32">
        <v>6226120.46</v>
      </c>
      <c r="BI27" s="32">
        <v>9755843.13</v>
      </c>
      <c r="BJ27" s="32">
        <v>6575703.93</v>
      </c>
      <c r="BK27" s="32">
        <v>7674851.43</v>
      </c>
      <c r="BL27" s="32">
        <v>7876348.92</v>
      </c>
      <c r="BM27" s="32">
        <v>14649354.38</v>
      </c>
      <c r="BN27" s="32">
        <f>SUM(BB27:BM27)</f>
        <v>88776793.78999999</v>
      </c>
      <c r="BO27" s="32">
        <v>5173283.81</v>
      </c>
      <c r="BP27" s="32">
        <v>7847198.59</v>
      </c>
      <c r="BQ27" s="32">
        <v>4725752.3</v>
      </c>
      <c r="BR27" s="32">
        <v>3971911.94</v>
      </c>
      <c r="BS27" s="32">
        <v>7760959.74</v>
      </c>
      <c r="BT27" s="32">
        <v>2953586.61</v>
      </c>
      <c r="BU27" s="32">
        <v>6600448.39</v>
      </c>
      <c r="BV27" s="32">
        <v>1346055.93</v>
      </c>
      <c r="BW27" s="32">
        <v>4863704.67</v>
      </c>
      <c r="BX27" s="32">
        <v>6146397.41</v>
      </c>
      <c r="BY27" s="32">
        <v>6037067.39</v>
      </c>
      <c r="BZ27" s="32">
        <v>11286300.09</v>
      </c>
      <c r="CA27" s="32">
        <f>SUM(BO27:BZ27)</f>
        <v>68712666.87</v>
      </c>
      <c r="CB27" s="32">
        <f>1935263.17+79063.43</f>
        <v>2014326.5999999999</v>
      </c>
      <c r="CC27" s="32">
        <f>4767507.21+58371.94+287002.98</f>
        <v>5112882.130000001</v>
      </c>
      <c r="CD27" s="32">
        <f>6512641.46+981621.8+83963.49</f>
        <v>7578226.75</v>
      </c>
      <c r="CE27" s="32">
        <f>6658249.01+124949.92+164474.02</f>
        <v>6947672.949999999</v>
      </c>
      <c r="CF27" s="32">
        <f>4727431.54+83581.22+194098.27+42214.25</f>
        <v>5047325.279999999</v>
      </c>
      <c r="CG27" s="32">
        <f>10164063.34+270645.08+25429.56+249184.14</f>
        <v>10709322.120000001</v>
      </c>
      <c r="CH27" s="32">
        <f>7995043.53+452915.86</f>
        <v>8447959.39</v>
      </c>
      <c r="CI27" s="32">
        <f>13451739.18+405088.46+15949.18-34037.3-6893.58-1386.03-1669.03</f>
        <v>13828790.88</v>
      </c>
      <c r="CJ27" s="32">
        <f>6410088.04+1215586.98+351195.37+776879.33</f>
        <v>8753749.719999999</v>
      </c>
      <c r="CK27" s="32">
        <f>6250610.96+503886</f>
        <v>6754496.96</v>
      </c>
      <c r="CL27" s="32">
        <f>8326464.27+410052.55</f>
        <v>8736516.82</v>
      </c>
      <c r="CM27" s="32">
        <f>17795676.87+1116267.34</f>
        <v>18911944.21</v>
      </c>
      <c r="CN27" s="32">
        <f>SUM(CB27:CM27)</f>
        <v>102843213.81</v>
      </c>
      <c r="CO27" s="32">
        <f>1624639.73+44072.69</f>
        <v>1668712.42</v>
      </c>
      <c r="CP27" s="32">
        <f>4250894.24+34314.24</f>
        <v>4285208.48</v>
      </c>
      <c r="CQ27" s="32">
        <v>9635098.64</v>
      </c>
      <c r="CR27" s="32">
        <v>4865969.15</v>
      </c>
      <c r="CS27" s="32">
        <f>2802923.76+79970.35</f>
        <v>2882894.11</v>
      </c>
      <c r="CT27" s="32">
        <v>10773095.12</v>
      </c>
      <c r="CU27" s="32">
        <v>10634065.96</v>
      </c>
      <c r="CV27" s="32">
        <f>3492208.43+220790.8</f>
        <v>3712999.23</v>
      </c>
      <c r="CW27" s="32">
        <v>5309228.62</v>
      </c>
      <c r="CX27" s="32">
        <f>11399578.61+459410.06</f>
        <v>11858988.67</v>
      </c>
      <c r="CY27" s="32">
        <v>8361898.47</v>
      </c>
      <c r="CZ27" s="32">
        <v>8022602.43</v>
      </c>
      <c r="DA27" s="32">
        <f>SUM(CO27:CZ27)</f>
        <v>82010761.30000001</v>
      </c>
      <c r="DB27" s="32">
        <v>8267391.93</v>
      </c>
      <c r="DC27" s="32">
        <v>12035651.06</v>
      </c>
      <c r="DD27" s="32">
        <f>19176581.74+640813.13+3085192.69+4097536.3</f>
        <v>27000123.86</v>
      </c>
      <c r="DE27" s="32">
        <f>1710122.44+12805424.56+2640132.42</f>
        <v>17155679.42</v>
      </c>
      <c r="DF27" s="32">
        <v>-500</v>
      </c>
      <c r="DG27" s="32">
        <v>-1000</v>
      </c>
      <c r="DH27" s="32">
        <v>-500</v>
      </c>
      <c r="DI27" s="32">
        <v>0</v>
      </c>
      <c r="DJ27" s="32">
        <v>-3872037.6</v>
      </c>
      <c r="DK27" s="32">
        <v>0</v>
      </c>
      <c r="DL27" s="32">
        <v>-3182.55</v>
      </c>
      <c r="DM27" s="32">
        <f>1985-3182.55</f>
        <v>-1197.5500000000002</v>
      </c>
      <c r="DN27" s="32">
        <f>SUM(DB27:DM27)</f>
        <v>60580428.57000001</v>
      </c>
      <c r="DO27" s="32">
        <f>-114.86-301885.22</f>
        <v>-302000.07999999996</v>
      </c>
      <c r="DP27" s="32">
        <f>-500-3499.2</f>
        <v>-3999.2</v>
      </c>
      <c r="DQ27" s="32">
        <f>-500</f>
        <v>-500</v>
      </c>
      <c r="DR27" s="32">
        <f>-1000-3500</f>
        <v>-4500</v>
      </c>
      <c r="DS27" s="32">
        <f>-500</f>
        <v>-500</v>
      </c>
      <c r="DT27" s="32">
        <f>-500</f>
        <v>-500</v>
      </c>
      <c r="DU27" s="32">
        <f>-3500-98.86-500</f>
        <v>-4098.860000000001</v>
      </c>
      <c r="DV27" s="32">
        <f>-4098.86+4098.86</f>
        <v>0</v>
      </c>
      <c r="DW27" s="32">
        <v>0</v>
      </c>
      <c r="DX27" s="32">
        <v>-3586.59</v>
      </c>
      <c r="DY27" s="32">
        <v>-19.45</v>
      </c>
      <c r="DZ27" s="32">
        <v>-20.37</v>
      </c>
      <c r="EA27" s="32">
        <f>SUM(DO27:DZ27)</f>
        <v>-319724.55</v>
      </c>
      <c r="EB27" s="32">
        <f>-3500-64.58</f>
        <v>-3564.58</v>
      </c>
      <c r="EC27" s="32">
        <v>0</v>
      </c>
      <c r="ED27" s="32">
        <v>-125661.8</v>
      </c>
      <c r="EE27" s="32">
        <v>-3500</v>
      </c>
      <c r="EF27" s="32">
        <v>0</v>
      </c>
      <c r="EG27" s="32">
        <v>0</v>
      </c>
      <c r="EH27" s="32">
        <v>-3500</v>
      </c>
      <c r="EI27" s="32">
        <v>0</v>
      </c>
      <c r="EJ27" s="32">
        <v>0</v>
      </c>
      <c r="EK27" s="32">
        <v>-3500</v>
      </c>
      <c r="EL27" s="32">
        <v>0</v>
      </c>
      <c r="EM27" s="32">
        <v>-20.18</v>
      </c>
      <c r="EN27" s="32">
        <f>SUM(EB27:EM27)</f>
        <v>-139746.56</v>
      </c>
      <c r="EO27" s="32">
        <v>-3705</v>
      </c>
      <c r="EP27" s="32">
        <v>-229.71</v>
      </c>
      <c r="EQ27" s="32">
        <v>-97.73</v>
      </c>
      <c r="ER27" s="32">
        <v>-36412</v>
      </c>
      <c r="ES27" s="32">
        <v>0</v>
      </c>
      <c r="ET27" s="32">
        <v>0</v>
      </c>
      <c r="EU27" s="32">
        <v>-3500</v>
      </c>
      <c r="EV27" s="32">
        <v>-404.23</v>
      </c>
      <c r="EW27" s="32">
        <v>-642.56</v>
      </c>
      <c r="EX27" s="32">
        <v>-5727.44</v>
      </c>
      <c r="EY27" s="32">
        <f>-730.4-443.88</f>
        <v>-1174.28</v>
      </c>
      <c r="EZ27" s="32">
        <v>-150.32</v>
      </c>
      <c r="FA27" s="32">
        <f>SUM(EO27:EZ27)</f>
        <v>-52043.270000000004</v>
      </c>
      <c r="FB27" s="32">
        <v>-3500</v>
      </c>
      <c r="FC27" s="32">
        <v>0</v>
      </c>
      <c r="FD27" s="32">
        <v>-301.69</v>
      </c>
      <c r="FE27" s="32">
        <v>-4929.4</v>
      </c>
      <c r="FF27" s="32">
        <v>-1705.65</v>
      </c>
      <c r="FG27" s="32">
        <v>-3747.37</v>
      </c>
      <c r="FH27" s="32">
        <v>-3900.68</v>
      </c>
      <c r="FI27" s="32">
        <v>-633.96</v>
      </c>
      <c r="FJ27" s="32">
        <v>-27.71</v>
      </c>
      <c r="FK27" s="32">
        <v>-3500</v>
      </c>
      <c r="FL27" s="32">
        <v>0</v>
      </c>
      <c r="FM27" s="32">
        <v>0</v>
      </c>
      <c r="FN27" s="32">
        <f>SUM(FB27:FM27)</f>
        <v>-22246.46</v>
      </c>
      <c r="FO27" s="32">
        <v>-3500</v>
      </c>
      <c r="FP27" s="32">
        <v>0</v>
      </c>
      <c r="FQ27" s="32">
        <v>0</v>
      </c>
      <c r="FR27" s="32">
        <v>-3500</v>
      </c>
      <c r="FS27" s="32"/>
      <c r="FT27" s="32"/>
      <c r="FU27" s="32"/>
      <c r="FV27" s="32"/>
      <c r="FW27" s="32"/>
      <c r="FX27" s="32"/>
      <c r="FY27" s="32"/>
      <c r="FZ27" s="32"/>
      <c r="GA27" s="32">
        <f>SUM(FO27:FZ27)</f>
        <v>-7000</v>
      </c>
      <c r="GB27" s="106">
        <f>N27+AA27+AN27+BA27+BN27+CA27+DA27+CN27+DN27+EA27+EN27+FA27+FN27+GA27</f>
        <v>564466125.0200001</v>
      </c>
      <c r="GC27" s="104"/>
      <c r="GD27" s="59"/>
      <c r="GE27" s="59"/>
    </row>
    <row r="28" spans="1:184" s="23" customFormat="1" ht="14.25" customHeight="1" hidden="1" outlineLevel="1">
      <c r="A28" s="142"/>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c r="CV28" s="143"/>
      <c r="CW28" s="143"/>
      <c r="CX28" s="143"/>
      <c r="CY28" s="143"/>
      <c r="CZ28" s="143"/>
      <c r="DA28" s="143"/>
      <c r="DB28" s="143"/>
      <c r="DC28" s="143"/>
      <c r="DD28" s="143"/>
      <c r="DE28" s="143"/>
      <c r="DF28" s="143"/>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c r="ED28" s="143"/>
      <c r="EE28" s="143"/>
      <c r="EF28" s="143"/>
      <c r="EG28" s="143"/>
      <c r="EH28" s="143"/>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c r="FF28" s="143"/>
      <c r="FG28" s="143"/>
      <c r="FH28" s="143"/>
      <c r="FI28" s="143"/>
      <c r="FJ28" s="143"/>
      <c r="FK28" s="143"/>
      <c r="FL28" s="143"/>
      <c r="FM28" s="143"/>
      <c r="FN28" s="143"/>
      <c r="FO28" s="143"/>
      <c r="FP28" s="143"/>
      <c r="FQ28" s="143"/>
      <c r="FR28" s="143"/>
      <c r="FS28" s="143"/>
      <c r="FT28" s="143"/>
      <c r="FU28" s="143"/>
      <c r="FV28" s="143"/>
      <c r="FW28" s="143"/>
      <c r="FX28" s="143"/>
      <c r="FY28" s="143"/>
      <c r="FZ28" s="143"/>
      <c r="GA28" s="143"/>
      <c r="GB28" s="144"/>
    </row>
    <row r="29" spans="1:187" s="23" customFormat="1" ht="36.75" customHeight="1" hidden="1" outlineLevel="1">
      <c r="A29" s="30" t="s">
        <v>43</v>
      </c>
      <c r="B29" s="32"/>
      <c r="C29" s="32"/>
      <c r="D29" s="32"/>
      <c r="E29" s="32"/>
      <c r="F29" s="32"/>
      <c r="G29" s="32"/>
      <c r="H29" s="32"/>
      <c r="I29" s="32"/>
      <c r="J29" s="32"/>
      <c r="K29" s="32"/>
      <c r="L29" s="32">
        <v>0</v>
      </c>
      <c r="M29" s="32">
        <v>0</v>
      </c>
      <c r="N29" s="32">
        <f>SUM(B29:M29)</f>
        <v>0</v>
      </c>
      <c r="O29" s="32">
        <v>0</v>
      </c>
      <c r="P29" s="32">
        <v>0</v>
      </c>
      <c r="Q29" s="32">
        <v>0</v>
      </c>
      <c r="R29" s="32">
        <v>0</v>
      </c>
      <c r="S29" s="32">
        <v>3898183.46</v>
      </c>
      <c r="T29" s="32">
        <v>0</v>
      </c>
      <c r="U29" s="32">
        <v>0</v>
      </c>
      <c r="V29" s="32">
        <v>0</v>
      </c>
      <c r="W29" s="32">
        <v>242376.14</v>
      </c>
      <c r="X29" s="32">
        <v>672118.93</v>
      </c>
      <c r="Y29" s="32">
        <v>477618.51</v>
      </c>
      <c r="Z29" s="32">
        <v>3550984.21</v>
      </c>
      <c r="AA29" s="32">
        <f>SUM(O29:Z29)</f>
        <v>8841281.25</v>
      </c>
      <c r="AB29" s="32">
        <v>886834.61</v>
      </c>
      <c r="AC29" s="32">
        <v>2092418.9</v>
      </c>
      <c r="AD29" s="32">
        <v>1240110.9</v>
      </c>
      <c r="AE29" s="32">
        <v>467632.03</v>
      </c>
      <c r="AF29" s="32">
        <v>2215942.19</v>
      </c>
      <c r="AG29" s="32">
        <v>205147.5</v>
      </c>
      <c r="AH29" s="32">
        <v>4221944.56</v>
      </c>
      <c r="AI29" s="32">
        <v>3860309.16</v>
      </c>
      <c r="AJ29" s="32">
        <v>1380418.67</v>
      </c>
      <c r="AK29" s="32">
        <v>3833173.47</v>
      </c>
      <c r="AL29" s="32">
        <v>2768409.42</v>
      </c>
      <c r="AM29" s="32">
        <v>5192561.96</v>
      </c>
      <c r="AN29" s="32">
        <f>SUM(AB29:AM29)</f>
        <v>28364903.370000005</v>
      </c>
      <c r="AO29" s="32">
        <v>1862857.07</v>
      </c>
      <c r="AP29" s="32">
        <v>1326492.59</v>
      </c>
      <c r="AQ29" s="32">
        <v>3598058.03</v>
      </c>
      <c r="AR29" s="32">
        <v>1718483.87</v>
      </c>
      <c r="AS29" s="32">
        <v>4729614.33</v>
      </c>
      <c r="AT29" s="32">
        <v>12539463.76</v>
      </c>
      <c r="AU29" s="32">
        <v>6704873.25</v>
      </c>
      <c r="AV29" s="32">
        <f>6403.3+2805971.11+2825457.87</f>
        <v>5637832.279999999</v>
      </c>
      <c r="AW29" s="32">
        <v>5772929.42</v>
      </c>
      <c r="AX29" s="32">
        <v>11248162.87</v>
      </c>
      <c r="AY29" s="32">
        <v>9506414.38</v>
      </c>
      <c r="AZ29" s="32">
        <v>30107607.96</v>
      </c>
      <c r="BA29" s="59">
        <f>SUM(AO29:AZ29)</f>
        <v>94752789.81</v>
      </c>
      <c r="BB29" s="32">
        <v>4404799.3</v>
      </c>
      <c r="BC29" s="32">
        <v>5334061.16</v>
      </c>
      <c r="BD29" s="32">
        <v>5903305.65</v>
      </c>
      <c r="BE29" s="32">
        <v>4389399.48</v>
      </c>
      <c r="BF29" s="32">
        <v>11975810.63</v>
      </c>
      <c r="BG29" s="32">
        <v>3065006.5</v>
      </c>
      <c r="BH29" s="32">
        <v>3535917.92</v>
      </c>
      <c r="BI29" s="32">
        <v>4860466.58</v>
      </c>
      <c r="BJ29" s="32">
        <v>3022728.99</v>
      </c>
      <c r="BK29" s="32">
        <v>5222745.04</v>
      </c>
      <c r="BL29" s="32">
        <v>4640343.86</v>
      </c>
      <c r="BM29" s="32">
        <v>21310081</v>
      </c>
      <c r="BN29" s="32">
        <f>SUM(BB29:BM29)</f>
        <v>77664666.11000001</v>
      </c>
      <c r="BO29" s="32">
        <v>2474137.36</v>
      </c>
      <c r="BP29" s="32">
        <v>3878862.6</v>
      </c>
      <c r="BQ29" s="32">
        <v>13665850.2</v>
      </c>
      <c r="BR29" s="32">
        <v>11054963.23</v>
      </c>
      <c r="BS29" s="32">
        <v>14666377.15</v>
      </c>
      <c r="BT29" s="32">
        <v>8420229.23</v>
      </c>
      <c r="BU29" s="32">
        <v>6234728.01</v>
      </c>
      <c r="BV29" s="32">
        <v>3613203.8</v>
      </c>
      <c r="BW29" s="32">
        <v>8169412.34</v>
      </c>
      <c r="BX29" s="32">
        <v>10621804.29</v>
      </c>
      <c r="BY29" s="32">
        <v>10024852.44</v>
      </c>
      <c r="BZ29" s="32">
        <v>15574005.85</v>
      </c>
      <c r="CA29" s="32">
        <f>SUM(BO29:BZ29)</f>
        <v>108398426.49999997</v>
      </c>
      <c r="CB29" s="32">
        <v>1283762.5</v>
      </c>
      <c r="CC29" s="32">
        <v>16723441.91</v>
      </c>
      <c r="CD29" s="32">
        <v>13536621.66</v>
      </c>
      <c r="CE29" s="32">
        <v>6149898.96</v>
      </c>
      <c r="CF29" s="32">
        <v>5353556.05</v>
      </c>
      <c r="CG29" s="32">
        <f>7269405.8-68663.49</f>
        <v>7200742.31</v>
      </c>
      <c r="CH29" s="32">
        <v>5175305.73</v>
      </c>
      <c r="CI29" s="32">
        <v>6024354.59</v>
      </c>
      <c r="CJ29" s="32">
        <v>9648752.11</v>
      </c>
      <c r="CK29" s="32">
        <v>5921642.71</v>
      </c>
      <c r="CL29" s="32">
        <v>7343741.28</v>
      </c>
      <c r="CM29" s="32">
        <v>25738638.14</v>
      </c>
      <c r="CN29" s="32">
        <f>SUM(CB29:CM29)</f>
        <v>110100457.95</v>
      </c>
      <c r="CO29" s="32">
        <v>2401059.01</v>
      </c>
      <c r="CP29" s="32">
        <v>4552721.47</v>
      </c>
      <c r="CQ29" s="32">
        <v>7280707.71</v>
      </c>
      <c r="CR29" s="32">
        <v>8659546.8</v>
      </c>
      <c r="CS29" s="32">
        <v>8230987.51</v>
      </c>
      <c r="CT29" s="32">
        <v>3149914.82</v>
      </c>
      <c r="CU29" s="32">
        <v>4263009.63</v>
      </c>
      <c r="CV29" s="32">
        <v>4581955.54</v>
      </c>
      <c r="CW29" s="32">
        <v>2020875.43</v>
      </c>
      <c r="CX29" s="32">
        <v>6293385.77</v>
      </c>
      <c r="CY29" s="32">
        <v>5153636.51</v>
      </c>
      <c r="CZ29" s="32">
        <v>8803777.49</v>
      </c>
      <c r="DA29" s="32">
        <f>SUM(CO29:CZ29)</f>
        <v>65391577.69</v>
      </c>
      <c r="DB29" s="32">
        <f>1231529.79+959503.49</f>
        <v>2191033.2800000003</v>
      </c>
      <c r="DC29" s="32">
        <v>879707.43</v>
      </c>
      <c r="DD29" s="32">
        <f>3306927.63+5651250.99</f>
        <v>8958178.620000001</v>
      </c>
      <c r="DE29" s="32">
        <f>6847695.41-3010882.56</f>
        <v>3836812.85</v>
      </c>
      <c r="DF29" s="32">
        <v>0</v>
      </c>
      <c r="DG29" s="32">
        <v>0</v>
      </c>
      <c r="DH29" s="32">
        <v>0</v>
      </c>
      <c r="DI29" s="32">
        <v>0</v>
      </c>
      <c r="DJ29" s="32">
        <v>-4904870.07</v>
      </c>
      <c r="DK29" s="32">
        <f>4251618.15-4251618.15</f>
        <v>0</v>
      </c>
      <c r="DL29" s="32">
        <v>-903.58</v>
      </c>
      <c r="DM29" s="32">
        <v>0</v>
      </c>
      <c r="DN29" s="32">
        <f>SUM(DB29:DM29)</f>
        <v>10959958.530000001</v>
      </c>
      <c r="DO29" s="32">
        <v>0</v>
      </c>
      <c r="DP29" s="32">
        <v>0</v>
      </c>
      <c r="DQ29" s="32">
        <f>-576002.01-177.18</f>
        <v>-576179.1900000001</v>
      </c>
      <c r="DR29" s="32">
        <v>0</v>
      </c>
      <c r="DS29" s="32">
        <v>0</v>
      </c>
      <c r="DT29" s="32">
        <v>0</v>
      </c>
      <c r="DU29" s="32">
        <v>0</v>
      </c>
      <c r="DV29" s="32">
        <v>0</v>
      </c>
      <c r="DW29" s="32">
        <v>-663449.01</v>
      </c>
      <c r="DX29" s="32">
        <v>0</v>
      </c>
      <c r="DY29" s="32">
        <v>0</v>
      </c>
      <c r="DZ29" s="32">
        <v>0</v>
      </c>
      <c r="EA29" s="32">
        <f>SUM(DO29:DZ29)</f>
        <v>-1239628.2000000002</v>
      </c>
      <c r="EB29" s="32">
        <v>0</v>
      </c>
      <c r="EC29" s="32">
        <v>0</v>
      </c>
      <c r="ED29" s="32">
        <v>0</v>
      </c>
      <c r="EE29" s="32">
        <v>0</v>
      </c>
      <c r="EF29" s="32">
        <v>0</v>
      </c>
      <c r="EG29" s="32">
        <v>0</v>
      </c>
      <c r="EH29" s="32">
        <v>0</v>
      </c>
      <c r="EI29" s="32">
        <v>0</v>
      </c>
      <c r="EJ29" s="32">
        <v>0</v>
      </c>
      <c r="EK29" s="32">
        <v>0</v>
      </c>
      <c r="EL29" s="32">
        <v>0</v>
      </c>
      <c r="EM29" s="32">
        <v>0</v>
      </c>
      <c r="EN29" s="32">
        <f>SUM(EB29:EM29)</f>
        <v>0</v>
      </c>
      <c r="EO29" s="32">
        <v>0</v>
      </c>
      <c r="EP29" s="32">
        <v>0</v>
      </c>
      <c r="EQ29" s="32">
        <v>0</v>
      </c>
      <c r="ER29" s="32">
        <v>0</v>
      </c>
      <c r="ES29" s="32">
        <v>0</v>
      </c>
      <c r="ET29" s="32">
        <v>0</v>
      </c>
      <c r="EU29" s="32">
        <v>0</v>
      </c>
      <c r="EV29" s="32">
        <v>0</v>
      </c>
      <c r="EW29" s="32">
        <v>0</v>
      </c>
      <c r="EX29" s="32">
        <v>0</v>
      </c>
      <c r="EY29" s="32">
        <v>0</v>
      </c>
      <c r="EZ29" s="32">
        <v>0</v>
      </c>
      <c r="FA29" s="32">
        <f>SUM(EO29:EZ29)</f>
        <v>0</v>
      </c>
      <c r="FB29" s="32">
        <v>0</v>
      </c>
      <c r="FC29" s="32">
        <v>0</v>
      </c>
      <c r="FD29" s="32">
        <v>0</v>
      </c>
      <c r="FE29" s="32">
        <v>0</v>
      </c>
      <c r="FF29" s="32">
        <v>0</v>
      </c>
      <c r="FG29" s="32">
        <v>0</v>
      </c>
      <c r="FI29" s="32">
        <v>0</v>
      </c>
      <c r="FJ29" s="32">
        <v>0</v>
      </c>
      <c r="FK29" s="32">
        <v>0</v>
      </c>
      <c r="FL29" s="32">
        <v>0</v>
      </c>
      <c r="FM29" s="32">
        <v>0</v>
      </c>
      <c r="FN29" s="32">
        <f>SUM(FB29:FM29)</f>
        <v>0</v>
      </c>
      <c r="FO29" s="32">
        <v>0</v>
      </c>
      <c r="FP29" s="32">
        <v>0</v>
      </c>
      <c r="FQ29" s="32">
        <v>0</v>
      </c>
      <c r="FR29" s="32">
        <v>0</v>
      </c>
      <c r="FS29" s="32"/>
      <c r="FT29" s="32"/>
      <c r="FU29" s="32"/>
      <c r="FV29" s="32"/>
      <c r="FW29" s="32"/>
      <c r="FX29" s="32"/>
      <c r="FY29" s="32"/>
      <c r="FZ29" s="32"/>
      <c r="GA29" s="32">
        <f>SUM(FO29:FZ29)</f>
        <v>0</v>
      </c>
      <c r="GB29" s="106">
        <f>N29+AA29+AN29+BA29+BN29+CA29+DA29+CN29+DN29+EA29+EN29+FA29+FN29+GA29</f>
        <v>503234433.00999993</v>
      </c>
      <c r="GC29" s="59"/>
      <c r="GE29" s="59"/>
    </row>
    <row r="30" spans="1:184" s="23" customFormat="1" ht="14.25" customHeight="1" hidden="1" outlineLevel="1">
      <c r="A30" s="142"/>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c r="CU30" s="143"/>
      <c r="CV30" s="143"/>
      <c r="CW30" s="143"/>
      <c r="CX30" s="143"/>
      <c r="CY30" s="143"/>
      <c r="CZ30" s="143"/>
      <c r="DA30" s="143"/>
      <c r="DB30" s="143"/>
      <c r="DC30" s="143"/>
      <c r="DD30" s="143"/>
      <c r="DE30" s="143"/>
      <c r="DF30" s="143"/>
      <c r="DG30" s="143"/>
      <c r="DH30" s="143"/>
      <c r="DI30" s="143"/>
      <c r="DJ30" s="143"/>
      <c r="DK30" s="143"/>
      <c r="DL30" s="143"/>
      <c r="DM30" s="143"/>
      <c r="DN30" s="143"/>
      <c r="DO30" s="143"/>
      <c r="DP30" s="143"/>
      <c r="DQ30" s="143"/>
      <c r="DR30" s="143"/>
      <c r="DS30" s="143"/>
      <c r="DT30" s="143"/>
      <c r="DU30" s="143"/>
      <c r="DV30" s="143"/>
      <c r="DW30" s="143"/>
      <c r="DX30" s="143"/>
      <c r="DY30" s="143"/>
      <c r="DZ30" s="143"/>
      <c r="EA30" s="143"/>
      <c r="EB30" s="143"/>
      <c r="EC30" s="143"/>
      <c r="ED30" s="143"/>
      <c r="EE30" s="143"/>
      <c r="EF30" s="143"/>
      <c r="EG30" s="143"/>
      <c r="EH30" s="143"/>
      <c r="EI30" s="143"/>
      <c r="EJ30" s="143"/>
      <c r="EK30" s="143"/>
      <c r="EL30" s="143"/>
      <c r="EM30" s="143"/>
      <c r="EN30" s="143"/>
      <c r="EO30" s="143"/>
      <c r="EP30" s="143"/>
      <c r="EQ30" s="143"/>
      <c r="ER30" s="143"/>
      <c r="ES30" s="143"/>
      <c r="ET30" s="143"/>
      <c r="EU30" s="143"/>
      <c r="EV30" s="143"/>
      <c r="EW30" s="143"/>
      <c r="EX30" s="143"/>
      <c r="EY30" s="143"/>
      <c r="EZ30" s="143"/>
      <c r="FA30" s="143"/>
      <c r="FB30" s="143"/>
      <c r="FC30" s="143"/>
      <c r="FD30" s="143"/>
      <c r="FE30" s="143"/>
      <c r="FF30" s="143"/>
      <c r="FG30" s="143"/>
      <c r="FH30" s="143"/>
      <c r="FI30" s="143"/>
      <c r="FJ30" s="143"/>
      <c r="FK30" s="143"/>
      <c r="FL30" s="143"/>
      <c r="FM30" s="143"/>
      <c r="FN30" s="143"/>
      <c r="FO30" s="143"/>
      <c r="FP30" s="143"/>
      <c r="FQ30" s="143"/>
      <c r="FR30" s="143"/>
      <c r="FS30" s="143"/>
      <c r="FT30" s="143"/>
      <c r="FU30" s="143"/>
      <c r="FV30" s="143"/>
      <c r="FW30" s="143"/>
      <c r="FX30" s="143"/>
      <c r="FY30" s="143"/>
      <c r="FZ30" s="143"/>
      <c r="GA30" s="143"/>
      <c r="GB30" s="144"/>
    </row>
    <row r="31" spans="1:187" s="23" customFormat="1" ht="36.75" customHeight="1" hidden="1" outlineLevel="1">
      <c r="A31" s="30" t="s">
        <v>44</v>
      </c>
      <c r="B31" s="32"/>
      <c r="C31" s="32"/>
      <c r="D31" s="32"/>
      <c r="E31" s="32"/>
      <c r="F31" s="32"/>
      <c r="G31" s="32"/>
      <c r="H31" s="32"/>
      <c r="I31" s="32"/>
      <c r="J31" s="32"/>
      <c r="K31" s="32"/>
      <c r="L31" s="32">
        <v>0</v>
      </c>
      <c r="M31" s="32">
        <v>0</v>
      </c>
      <c r="N31" s="32">
        <f>SUM(B31:M31)</f>
        <v>0</v>
      </c>
      <c r="O31" s="32">
        <v>0</v>
      </c>
      <c r="P31" s="32">
        <v>0</v>
      </c>
      <c r="Q31" s="32">
        <v>0</v>
      </c>
      <c r="R31" s="32">
        <v>0</v>
      </c>
      <c r="S31" s="32">
        <v>0</v>
      </c>
      <c r="T31" s="32">
        <v>0</v>
      </c>
      <c r="U31" s="32">
        <v>0</v>
      </c>
      <c r="V31" s="32">
        <v>0</v>
      </c>
      <c r="W31" s="32">
        <v>86975</v>
      </c>
      <c r="X31" s="32">
        <v>30323.8</v>
      </c>
      <c r="Y31" s="32">
        <v>0</v>
      </c>
      <c r="Z31" s="32">
        <v>680614.25</v>
      </c>
      <c r="AA31" s="32">
        <f>SUM(O31:Z31)</f>
        <v>797913.05</v>
      </c>
      <c r="AB31" s="32">
        <v>129995.64</v>
      </c>
      <c r="AC31" s="32">
        <v>656078.64</v>
      </c>
      <c r="AD31" s="32">
        <v>1356385.34</v>
      </c>
      <c r="AE31" s="32">
        <v>711825.76</v>
      </c>
      <c r="AF31" s="32">
        <v>962743.35</v>
      </c>
      <c r="AG31" s="32">
        <v>809408.88</v>
      </c>
      <c r="AH31" s="32">
        <v>1010116.87</v>
      </c>
      <c r="AI31" s="32">
        <v>1261910.19</v>
      </c>
      <c r="AJ31" s="32">
        <v>892057.33</v>
      </c>
      <c r="AK31" s="32">
        <v>614242.88</v>
      </c>
      <c r="AL31" s="32">
        <v>1333475.34</v>
      </c>
      <c r="AM31" s="32">
        <v>5891846.42</v>
      </c>
      <c r="AN31" s="32">
        <f>SUM(AB31:AM31)</f>
        <v>15630086.64</v>
      </c>
      <c r="AO31" s="32">
        <v>1248115.39</v>
      </c>
      <c r="AP31" s="32">
        <v>1018739.12</v>
      </c>
      <c r="AQ31" s="32">
        <v>1513123.79</v>
      </c>
      <c r="AR31" s="32">
        <v>1147734.51</v>
      </c>
      <c r="AS31" s="32">
        <v>2370800.74</v>
      </c>
      <c r="AT31" s="32">
        <v>1691382.34</v>
      </c>
      <c r="AU31" s="32">
        <v>6791338.9</v>
      </c>
      <c r="AV31" s="32">
        <f>417983.42+2275869.89</f>
        <v>2693853.31</v>
      </c>
      <c r="AW31" s="32">
        <v>2584918.63</v>
      </c>
      <c r="AX31" s="32">
        <v>2920255.69</v>
      </c>
      <c r="AY31" s="32">
        <v>3236137.91</v>
      </c>
      <c r="AZ31" s="32">
        <v>7226324.87</v>
      </c>
      <c r="BA31" s="59">
        <f>SUM(AO31:AZ31)</f>
        <v>34442725.2</v>
      </c>
      <c r="BB31" s="32">
        <v>3575494.47</v>
      </c>
      <c r="BC31" s="32">
        <v>3076972.89</v>
      </c>
      <c r="BD31" s="32">
        <v>4212203.61</v>
      </c>
      <c r="BE31" s="32">
        <v>2778116.45</v>
      </c>
      <c r="BF31" s="32">
        <v>2546076.81</v>
      </c>
      <c r="BG31" s="32">
        <v>5029204.99</v>
      </c>
      <c r="BH31" s="32">
        <v>2845632.25</v>
      </c>
      <c r="BI31" s="32">
        <v>3851992.09</v>
      </c>
      <c r="BJ31" s="32">
        <v>4144681.49</v>
      </c>
      <c r="BK31" s="32">
        <v>4161781.43</v>
      </c>
      <c r="BL31" s="32">
        <v>5711718.09</v>
      </c>
      <c r="BM31" s="32">
        <v>7700001.71</v>
      </c>
      <c r="BN31" s="32">
        <f>SUM(BB31:BM31)</f>
        <v>49633876.28000001</v>
      </c>
      <c r="BO31" s="32">
        <v>2528412.76</v>
      </c>
      <c r="BP31" s="32">
        <v>5805698.15</v>
      </c>
      <c r="BQ31" s="32">
        <v>3541367.39</v>
      </c>
      <c r="BR31" s="32">
        <v>2892641.2</v>
      </c>
      <c r="BS31" s="32">
        <v>4235694.02</v>
      </c>
      <c r="BT31" s="32">
        <v>4481915.28</v>
      </c>
      <c r="BU31" s="32">
        <v>3308004.81</v>
      </c>
      <c r="BV31" s="32">
        <v>5220396.21</v>
      </c>
      <c r="BW31" s="32">
        <v>5305498.67</v>
      </c>
      <c r="BX31" s="32">
        <v>4608099.9</v>
      </c>
      <c r="BY31" s="32">
        <v>4969163.76</v>
      </c>
      <c r="BZ31" s="32">
        <v>10169756.7</v>
      </c>
      <c r="CA31" s="32">
        <f>SUM(BO31:BZ31)</f>
        <v>57066648.849999994</v>
      </c>
      <c r="CB31" s="32">
        <v>3190776.65</v>
      </c>
      <c r="CC31" s="32">
        <v>6091088.9</v>
      </c>
      <c r="CD31" s="32">
        <v>4452620.82</v>
      </c>
      <c r="CE31" s="32">
        <v>4409345.95</v>
      </c>
      <c r="CF31" s="32">
        <v>2764104.83</v>
      </c>
      <c r="CG31" s="32">
        <v>5588922.75</v>
      </c>
      <c r="CH31" s="32">
        <v>3811909.66</v>
      </c>
      <c r="CI31" s="32">
        <v>5605300.79</v>
      </c>
      <c r="CJ31" s="32">
        <v>6711543.19</v>
      </c>
      <c r="CK31" s="32">
        <v>5878744.34</v>
      </c>
      <c r="CL31" s="32">
        <v>6402868.38</v>
      </c>
      <c r="CM31" s="32">
        <v>8131073.78</v>
      </c>
      <c r="CN31" s="32">
        <f>SUM(CB31:CM31)</f>
        <v>63038300.04</v>
      </c>
      <c r="CO31" s="32">
        <v>5535709.04</v>
      </c>
      <c r="CP31" s="32">
        <v>7568354.67</v>
      </c>
      <c r="CQ31" s="32">
        <v>7531626.16</v>
      </c>
      <c r="CR31" s="32">
        <v>4671177.65</v>
      </c>
      <c r="CS31" s="32">
        <v>3736391.29</v>
      </c>
      <c r="CT31" s="32">
        <v>4645629.15</v>
      </c>
      <c r="CU31" s="32">
        <v>4446403.87</v>
      </c>
      <c r="CV31" s="32">
        <v>5626249.51</v>
      </c>
      <c r="CW31" s="32">
        <v>5881696.63</v>
      </c>
      <c r="CX31" s="32">
        <v>7087578.92</v>
      </c>
      <c r="CY31" s="32">
        <v>5422946.86</v>
      </c>
      <c r="CZ31" s="32">
        <v>7180026.66</v>
      </c>
      <c r="DA31" s="32">
        <f>SUM(CO31:CZ31)</f>
        <v>69333790.41</v>
      </c>
      <c r="DB31" s="32">
        <f>2397127.66-12370.76</f>
        <v>2384756.9000000004</v>
      </c>
      <c r="DC31" s="32">
        <v>3501485.73</v>
      </c>
      <c r="DD31" s="32">
        <v>2156882.07</v>
      </c>
      <c r="DE31" s="32">
        <v>3466596.94</v>
      </c>
      <c r="DF31" s="32">
        <v>0</v>
      </c>
      <c r="DG31" s="32">
        <v>0</v>
      </c>
      <c r="DH31" s="32">
        <v>0</v>
      </c>
      <c r="DI31" s="32">
        <v>0</v>
      </c>
      <c r="DJ31" s="32">
        <v>0</v>
      </c>
      <c r="DK31" s="32">
        <v>0</v>
      </c>
      <c r="DL31" s="32">
        <v>0</v>
      </c>
      <c r="DM31" s="32">
        <v>0</v>
      </c>
      <c r="DN31" s="32">
        <f>SUM(DB31:DM31)</f>
        <v>11509721.64</v>
      </c>
      <c r="DO31" s="32">
        <v>0</v>
      </c>
      <c r="DP31" s="32">
        <v>0</v>
      </c>
      <c r="DQ31" s="32">
        <v>-116.21</v>
      </c>
      <c r="DR31" s="32">
        <v>0</v>
      </c>
      <c r="DS31" s="32">
        <v>0</v>
      </c>
      <c r="DT31" s="32">
        <v>0</v>
      </c>
      <c r="DU31" s="32">
        <v>0</v>
      </c>
      <c r="DV31" s="32">
        <v>0</v>
      </c>
      <c r="DW31" s="32">
        <v>-40019.45</v>
      </c>
      <c r="DX31" s="32">
        <v>-492.86</v>
      </c>
      <c r="DY31" s="32">
        <v>-500</v>
      </c>
      <c r="DZ31" s="32">
        <v>-500</v>
      </c>
      <c r="EA31" s="32">
        <f>SUM(DO31:DZ31)</f>
        <v>-41628.52</v>
      </c>
      <c r="EB31" s="32">
        <v>-500</v>
      </c>
      <c r="EC31" s="32">
        <v>-500</v>
      </c>
      <c r="ED31" s="32">
        <v>-500</v>
      </c>
      <c r="EE31" s="32">
        <v>-500</v>
      </c>
      <c r="EF31" s="32">
        <v>-500</v>
      </c>
      <c r="EG31" s="32">
        <v>-500</v>
      </c>
      <c r="EH31" s="32">
        <v>-500</v>
      </c>
      <c r="EI31" s="32">
        <v>-500</v>
      </c>
      <c r="EJ31" s="32">
        <v>-500</v>
      </c>
      <c r="EK31" s="32">
        <v>-500</v>
      </c>
      <c r="EL31" s="32">
        <v>-500</v>
      </c>
      <c r="EM31" s="32">
        <v>-500</v>
      </c>
      <c r="EN31" s="32">
        <f>SUM(EB31:EM31)</f>
        <v>-6000</v>
      </c>
      <c r="EO31" s="32">
        <v>-500</v>
      </c>
      <c r="EP31" s="32">
        <v>-500</v>
      </c>
      <c r="EQ31" s="32">
        <v>-500</v>
      </c>
      <c r="ER31" s="32">
        <v>-900</v>
      </c>
      <c r="ES31" s="32">
        <v>-700</v>
      </c>
      <c r="ET31" s="32">
        <v>-700</v>
      </c>
      <c r="EU31" s="32">
        <v>-700</v>
      </c>
      <c r="EV31" s="32">
        <f>-200-500</f>
        <v>-700</v>
      </c>
      <c r="EW31" s="32">
        <v>-616.55</v>
      </c>
      <c r="EX31" s="32">
        <v>-500</v>
      </c>
      <c r="EY31" s="32">
        <f>-500-249.86</f>
        <v>-749.86</v>
      </c>
      <c r="EZ31" s="32">
        <v>-500</v>
      </c>
      <c r="FA31" s="32">
        <f>SUM(EO31:EZ31)</f>
        <v>-7566.41</v>
      </c>
      <c r="FB31" s="32">
        <v>-500</v>
      </c>
      <c r="FC31" s="32">
        <v>-500</v>
      </c>
      <c r="FD31" s="32">
        <v>-500</v>
      </c>
      <c r="FE31" s="32">
        <v>-500</v>
      </c>
      <c r="FF31" s="32">
        <v>-500</v>
      </c>
      <c r="FG31" s="32">
        <v>-500</v>
      </c>
      <c r="FH31" s="32">
        <v>-500</v>
      </c>
      <c r="FI31" s="32">
        <v>-1931.39</v>
      </c>
      <c r="FJ31" s="32">
        <v>-500</v>
      </c>
      <c r="FK31" s="32">
        <v>-500</v>
      </c>
      <c r="FL31" s="32">
        <v>-500</v>
      </c>
      <c r="FM31" s="32">
        <v>-500</v>
      </c>
      <c r="FN31" s="32">
        <f>SUM(FB31:FM31)</f>
        <v>-7431.39</v>
      </c>
      <c r="FO31" s="32">
        <v>-500</v>
      </c>
      <c r="FP31" s="32">
        <v>-500</v>
      </c>
      <c r="FQ31" s="32">
        <v>-500</v>
      </c>
      <c r="FR31" s="32">
        <v>-500</v>
      </c>
      <c r="FS31" s="32"/>
      <c r="FT31" s="32"/>
      <c r="FU31" s="32"/>
      <c r="FV31" s="32"/>
      <c r="FW31" s="32"/>
      <c r="FX31" s="32"/>
      <c r="FY31" s="32"/>
      <c r="FZ31" s="32"/>
      <c r="GA31" s="32">
        <f>SUM(FO31:FZ31)</f>
        <v>-2000</v>
      </c>
      <c r="GB31" s="106">
        <f>N31+AA31+AN31+BA31+BN31+CA31+DA31+CN31+DN31+EA31+EN31+FA31+FN31+GA31</f>
        <v>301388435.79</v>
      </c>
      <c r="GC31" s="59"/>
      <c r="GD31" s="59"/>
      <c r="GE31" s="59"/>
    </row>
    <row r="32" spans="1:184" s="23" customFormat="1" ht="14.25" customHeight="1" hidden="1" outlineLevel="1">
      <c r="A32" s="142"/>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c r="DX32" s="143"/>
      <c r="DY32" s="143"/>
      <c r="DZ32" s="143"/>
      <c r="EA32" s="143"/>
      <c r="EB32" s="143"/>
      <c r="EC32" s="143"/>
      <c r="ED32" s="143"/>
      <c r="EE32" s="143"/>
      <c r="EF32" s="143"/>
      <c r="EG32" s="143"/>
      <c r="EH32" s="143"/>
      <c r="EI32" s="143"/>
      <c r="EJ32" s="143"/>
      <c r="EK32" s="143"/>
      <c r="EL32" s="143"/>
      <c r="EM32" s="143"/>
      <c r="EN32" s="143"/>
      <c r="EO32" s="143"/>
      <c r="EP32" s="143"/>
      <c r="EQ32" s="143"/>
      <c r="ER32" s="143"/>
      <c r="ES32" s="143"/>
      <c r="ET32" s="143"/>
      <c r="EU32" s="143"/>
      <c r="EV32" s="143"/>
      <c r="EW32" s="143"/>
      <c r="EX32" s="143"/>
      <c r="EY32" s="143"/>
      <c r="EZ32" s="143"/>
      <c r="FA32" s="143"/>
      <c r="FB32" s="143"/>
      <c r="FC32" s="143"/>
      <c r="FD32" s="143"/>
      <c r="FE32" s="143"/>
      <c r="FF32" s="143"/>
      <c r="FG32" s="143"/>
      <c r="FH32" s="143"/>
      <c r="FI32" s="143"/>
      <c r="FJ32" s="143"/>
      <c r="FK32" s="143"/>
      <c r="FL32" s="143"/>
      <c r="FM32" s="143"/>
      <c r="FN32" s="143"/>
      <c r="FO32" s="143"/>
      <c r="FP32" s="143"/>
      <c r="FQ32" s="143"/>
      <c r="FR32" s="143"/>
      <c r="FS32" s="143"/>
      <c r="FT32" s="143"/>
      <c r="FU32" s="143"/>
      <c r="FV32" s="143"/>
      <c r="FW32" s="143"/>
      <c r="FX32" s="143"/>
      <c r="FY32" s="143"/>
      <c r="FZ32" s="143"/>
      <c r="GA32" s="143"/>
      <c r="GB32" s="144"/>
    </row>
    <row r="33" spans="1:184" s="23" customFormat="1" ht="36.75" customHeight="1" hidden="1" outlineLevel="1">
      <c r="A33" s="30" t="s">
        <v>45</v>
      </c>
      <c r="B33" s="32"/>
      <c r="C33" s="32"/>
      <c r="D33" s="32"/>
      <c r="E33" s="32"/>
      <c r="F33" s="32"/>
      <c r="G33" s="32"/>
      <c r="H33" s="32"/>
      <c r="I33" s="32"/>
      <c r="J33" s="32"/>
      <c r="K33" s="32"/>
      <c r="L33" s="32">
        <v>0</v>
      </c>
      <c r="M33" s="32">
        <v>0</v>
      </c>
      <c r="N33" s="32">
        <f>SUM(B33:M33)</f>
        <v>0</v>
      </c>
      <c r="O33" s="32">
        <v>0</v>
      </c>
      <c r="P33" s="32">
        <v>0</v>
      </c>
      <c r="Q33" s="32">
        <v>0</v>
      </c>
      <c r="R33" s="32">
        <v>0</v>
      </c>
      <c r="S33" s="32">
        <v>1144656.36</v>
      </c>
      <c r="T33" s="32">
        <v>205806.05</v>
      </c>
      <c r="U33" s="32">
        <v>0</v>
      </c>
      <c r="V33" s="32">
        <v>141889.79</v>
      </c>
      <c r="W33" s="32">
        <v>1965748.51</v>
      </c>
      <c r="X33" s="32">
        <v>3016129.72</v>
      </c>
      <c r="Y33" s="32">
        <v>3763821.53</v>
      </c>
      <c r="Z33" s="32">
        <v>5179543.74</v>
      </c>
      <c r="AA33" s="32">
        <f>SUM(O33:Z33)</f>
        <v>15417595.7</v>
      </c>
      <c r="AB33" s="32">
        <v>0</v>
      </c>
      <c r="AC33" s="32">
        <v>2838879.87</v>
      </c>
      <c r="AD33" s="32">
        <v>2314486.48</v>
      </c>
      <c r="AE33" s="32">
        <v>2042932.42</v>
      </c>
      <c r="AF33" s="32">
        <v>1545779.39</v>
      </c>
      <c r="AG33" s="32">
        <v>687961.74</v>
      </c>
      <c r="AH33" s="32">
        <v>3044579.16</v>
      </c>
      <c r="AI33" s="32">
        <v>1878830.92</v>
      </c>
      <c r="AJ33" s="32">
        <v>3005040.34</v>
      </c>
      <c r="AK33" s="32">
        <v>1458939.49</v>
      </c>
      <c r="AL33" s="32">
        <v>3902019.04</v>
      </c>
      <c r="AM33" s="32">
        <v>11071160.21</v>
      </c>
      <c r="AN33" s="32">
        <f>SUM(AB33:AM33)</f>
        <v>33790609.06</v>
      </c>
      <c r="AO33" s="32">
        <v>1257272.66</v>
      </c>
      <c r="AP33" s="32">
        <v>2333046.25</v>
      </c>
      <c r="AQ33" s="32">
        <v>2868631.72</v>
      </c>
      <c r="AR33" s="32">
        <v>3541531.54</v>
      </c>
      <c r="AS33" s="32">
        <v>1904208.78</v>
      </c>
      <c r="AT33" s="32">
        <v>6180289.37</v>
      </c>
      <c r="AU33" s="32">
        <v>2969105.24</v>
      </c>
      <c r="AV33" s="32">
        <f>7160383.6</f>
        <v>7160383.6</v>
      </c>
      <c r="AW33" s="32">
        <v>5313025.36</v>
      </c>
      <c r="AX33" s="32">
        <v>4801453.15</v>
      </c>
      <c r="AY33" s="32">
        <v>6834132</v>
      </c>
      <c r="AZ33" s="32">
        <v>4013810.38</v>
      </c>
      <c r="BA33" s="59">
        <f>SUM(AO33:AZ33)</f>
        <v>49176890.050000004</v>
      </c>
      <c r="BB33" s="32">
        <v>8503451.03</v>
      </c>
      <c r="BC33" s="32">
        <v>6039892.06</v>
      </c>
      <c r="BD33" s="32">
        <v>820067.98</v>
      </c>
      <c r="BE33" s="32">
        <v>9315674.52</v>
      </c>
      <c r="BF33" s="32">
        <v>4828805.7</v>
      </c>
      <c r="BG33" s="32">
        <v>1317628.22</v>
      </c>
      <c r="BH33" s="32">
        <v>901668.04</v>
      </c>
      <c r="BI33" s="32">
        <v>6593728.03</v>
      </c>
      <c r="BJ33" s="32">
        <v>2593073.19</v>
      </c>
      <c r="BK33" s="32">
        <v>5643332.12</v>
      </c>
      <c r="BL33" s="32">
        <v>6210970.17</v>
      </c>
      <c r="BM33" s="32">
        <v>8455171.27</v>
      </c>
      <c r="BN33" s="32">
        <f>SUM(BB33:BM33)</f>
        <v>61223462.33</v>
      </c>
      <c r="BO33" s="32">
        <v>549037.84</v>
      </c>
      <c r="BP33" s="32">
        <v>4675381.8</v>
      </c>
      <c r="BQ33" s="32">
        <v>1393881.8</v>
      </c>
      <c r="BR33" s="32">
        <v>2588196.02</v>
      </c>
      <c r="BS33" s="32">
        <v>11668061.69</v>
      </c>
      <c r="BT33" s="32">
        <v>2113560.65</v>
      </c>
      <c r="BU33" s="32">
        <v>3996887.62</v>
      </c>
      <c r="BV33" s="32">
        <v>5671164.93</v>
      </c>
      <c r="BW33" s="32">
        <v>3497025.41</v>
      </c>
      <c r="BX33" s="32">
        <v>4443907.5</v>
      </c>
      <c r="BY33" s="32">
        <v>4497891.59</v>
      </c>
      <c r="BZ33" s="32">
        <v>4775383.87</v>
      </c>
      <c r="CA33" s="32">
        <f>SUM(BO33:BZ33)</f>
        <v>49870380.71999999</v>
      </c>
      <c r="CB33" s="32">
        <v>2204786.36</v>
      </c>
      <c r="CC33" s="32">
        <v>4245647.63</v>
      </c>
      <c r="CD33" s="32">
        <v>4220155.35</v>
      </c>
      <c r="CE33" s="32">
        <v>715149.47</v>
      </c>
      <c r="CF33" s="32">
        <v>3272217.48</v>
      </c>
      <c r="CG33" s="32">
        <v>3056305.86</v>
      </c>
      <c r="CH33" s="32">
        <v>2936986.75</v>
      </c>
      <c r="CI33" s="32">
        <v>3543342.89</v>
      </c>
      <c r="CJ33" s="32">
        <v>4065597.78</v>
      </c>
      <c r="CK33" s="32">
        <v>2056114.84</v>
      </c>
      <c r="CL33" s="32">
        <v>4361658.59</v>
      </c>
      <c r="CM33" s="32">
        <v>-32263180.59</v>
      </c>
      <c r="CN33" s="32">
        <f>SUM(CB33:CM33)</f>
        <v>2414782.41</v>
      </c>
      <c r="CO33" s="32">
        <v>1566099.53</v>
      </c>
      <c r="CP33" s="32">
        <v>3823793.5</v>
      </c>
      <c r="CQ33" s="32">
        <v>3940294.59</v>
      </c>
      <c r="CR33" s="32">
        <v>2148691.24</v>
      </c>
      <c r="CS33" s="32">
        <v>3717774.24</v>
      </c>
      <c r="CT33" s="32">
        <v>907106.86</v>
      </c>
      <c r="CU33" s="32">
        <v>2301706.31</v>
      </c>
      <c r="CV33" s="32">
        <v>2176954.85</v>
      </c>
      <c r="CW33" s="32">
        <v>751328.48</v>
      </c>
      <c r="CX33" s="32">
        <v>2841677.36</v>
      </c>
      <c r="CY33" s="32">
        <v>4365392.62</v>
      </c>
      <c r="CZ33" s="32">
        <v>17935918.6</v>
      </c>
      <c r="DA33" s="32">
        <f>SUM(CO33:CZ33)</f>
        <v>46476738.18000001</v>
      </c>
      <c r="DB33" s="32">
        <v>562731.34</v>
      </c>
      <c r="DC33" s="32">
        <v>2806073.31</v>
      </c>
      <c r="DD33" s="32">
        <f>12136987.89+35098.59</f>
        <v>12172086.48</v>
      </c>
      <c r="DE33" s="32">
        <f>35098.59-35098.59</f>
        <v>0</v>
      </c>
      <c r="DF33" s="32">
        <v>0</v>
      </c>
      <c r="DG33" s="32">
        <v>0</v>
      </c>
      <c r="DH33" s="32">
        <v>0</v>
      </c>
      <c r="DI33" s="32">
        <v>0</v>
      </c>
      <c r="DJ33" s="32">
        <v>-375002.52</v>
      </c>
      <c r="DK33" s="32">
        <v>0</v>
      </c>
      <c r="DL33" s="32">
        <v>0</v>
      </c>
      <c r="DM33" s="32">
        <v>0</v>
      </c>
      <c r="DN33" s="32">
        <f>SUM(DB33:DM33)</f>
        <v>15165888.610000001</v>
      </c>
      <c r="DO33" s="32">
        <v>0</v>
      </c>
      <c r="DP33" s="32">
        <v>0</v>
      </c>
      <c r="DQ33" s="32">
        <v>0</v>
      </c>
      <c r="DR33" s="32">
        <v>0</v>
      </c>
      <c r="DS33" s="32">
        <v>0</v>
      </c>
      <c r="DT33" s="32">
        <v>0</v>
      </c>
      <c r="DU33" s="32">
        <v>0</v>
      </c>
      <c r="DV33" s="32">
        <v>0</v>
      </c>
      <c r="DW33" s="32">
        <v>0</v>
      </c>
      <c r="DX33" s="32">
        <v>0</v>
      </c>
      <c r="DY33" s="32">
        <v>0</v>
      </c>
      <c r="DZ33" s="32">
        <v>0</v>
      </c>
      <c r="EA33" s="32">
        <f>SUM(DO33:DZ33)</f>
        <v>0</v>
      </c>
      <c r="EB33" s="32">
        <v>0</v>
      </c>
      <c r="EC33" s="32">
        <v>0</v>
      </c>
      <c r="ED33" s="32">
        <v>0</v>
      </c>
      <c r="EE33" s="32">
        <v>0</v>
      </c>
      <c r="EF33" s="32">
        <v>0</v>
      </c>
      <c r="EG33" s="32">
        <v>0</v>
      </c>
      <c r="EH33" s="32">
        <v>0</v>
      </c>
      <c r="EI33" s="32">
        <v>0</v>
      </c>
      <c r="EJ33" s="32">
        <v>0</v>
      </c>
      <c r="EK33" s="32">
        <v>0</v>
      </c>
      <c r="EL33" s="32">
        <v>0</v>
      </c>
      <c r="EM33" s="32">
        <v>0</v>
      </c>
      <c r="EN33" s="32">
        <f>SUM(EB33:EM33)</f>
        <v>0</v>
      </c>
      <c r="EO33" s="32">
        <v>0</v>
      </c>
      <c r="EP33" s="32">
        <v>0</v>
      </c>
      <c r="EQ33" s="32">
        <v>0</v>
      </c>
      <c r="ER33" s="32">
        <v>0</v>
      </c>
      <c r="ES33" s="32">
        <v>0</v>
      </c>
      <c r="ET33" s="32">
        <v>0</v>
      </c>
      <c r="EU33" s="32">
        <v>0</v>
      </c>
      <c r="EV33" s="32">
        <v>0</v>
      </c>
      <c r="EW33" s="32">
        <v>0</v>
      </c>
      <c r="EX33" s="32">
        <v>0</v>
      </c>
      <c r="EY33" s="32">
        <v>0</v>
      </c>
      <c r="EZ33" s="32">
        <v>0</v>
      </c>
      <c r="FA33" s="32">
        <f>SUM(EO33:EZ33)</f>
        <v>0</v>
      </c>
      <c r="FB33" s="32">
        <v>0</v>
      </c>
      <c r="FC33" s="32">
        <v>0</v>
      </c>
      <c r="FD33" s="32">
        <v>0</v>
      </c>
      <c r="FE33" s="32">
        <v>0</v>
      </c>
      <c r="FF33" s="32">
        <v>0</v>
      </c>
      <c r="FG33" s="32">
        <v>0</v>
      </c>
      <c r="FH33" s="32">
        <v>0</v>
      </c>
      <c r="FI33" s="32">
        <v>0</v>
      </c>
      <c r="FJ33" s="32">
        <v>0</v>
      </c>
      <c r="FK33" s="32">
        <v>0</v>
      </c>
      <c r="FL33" s="32">
        <v>0</v>
      </c>
      <c r="FM33" s="32">
        <v>0</v>
      </c>
      <c r="FN33" s="32">
        <f>SUM(FB33:FM33)</f>
        <v>0</v>
      </c>
      <c r="FO33" s="32">
        <v>0</v>
      </c>
      <c r="FP33" s="32">
        <v>0</v>
      </c>
      <c r="FQ33" s="32">
        <v>0</v>
      </c>
      <c r="FR33" s="32">
        <v>0</v>
      </c>
      <c r="FS33" s="32"/>
      <c r="FT33" s="32"/>
      <c r="FU33" s="32"/>
      <c r="FV33" s="32"/>
      <c r="FW33" s="32"/>
      <c r="FX33" s="32"/>
      <c r="FY33" s="32"/>
      <c r="FZ33" s="32"/>
      <c r="GA33" s="32">
        <f>SUM(FO33:FZ33)</f>
        <v>0</v>
      </c>
      <c r="GB33" s="106">
        <f>N33+AA33+AN33+BA33+BN33+CA33+DA33+CN33+DN33+EA33+EN33+FA33+FN33+GA33</f>
        <v>273536347.06</v>
      </c>
    </row>
    <row r="34" spans="1:184" s="23" customFormat="1" ht="14.25" customHeight="1" hidden="1" outlineLevel="1">
      <c r="A34" s="142"/>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3"/>
      <c r="EA34" s="143"/>
      <c r="EB34" s="143"/>
      <c r="EC34" s="143"/>
      <c r="ED34" s="143"/>
      <c r="EE34" s="143"/>
      <c r="EF34" s="143"/>
      <c r="EG34" s="143"/>
      <c r="EH34" s="143"/>
      <c r="EI34" s="143"/>
      <c r="EJ34" s="143"/>
      <c r="EK34" s="143"/>
      <c r="EL34" s="143"/>
      <c r="EM34" s="143"/>
      <c r="EN34" s="143"/>
      <c r="EO34" s="143"/>
      <c r="EP34" s="143"/>
      <c r="EQ34" s="143"/>
      <c r="ER34" s="143"/>
      <c r="ES34" s="143"/>
      <c r="ET34" s="143"/>
      <c r="EU34" s="143"/>
      <c r="EV34" s="143"/>
      <c r="EW34" s="143"/>
      <c r="EX34" s="143"/>
      <c r="EY34" s="143"/>
      <c r="EZ34" s="143"/>
      <c r="FA34" s="143"/>
      <c r="FB34" s="143"/>
      <c r="FC34" s="143"/>
      <c r="FD34" s="143"/>
      <c r="FE34" s="143"/>
      <c r="FF34" s="143"/>
      <c r="FG34" s="143"/>
      <c r="FH34" s="143"/>
      <c r="FI34" s="143"/>
      <c r="FJ34" s="143"/>
      <c r="FK34" s="143"/>
      <c r="FL34" s="143"/>
      <c r="FM34" s="143"/>
      <c r="FN34" s="143"/>
      <c r="FO34" s="143"/>
      <c r="FP34" s="143"/>
      <c r="FQ34" s="143"/>
      <c r="FR34" s="143"/>
      <c r="FS34" s="143"/>
      <c r="FT34" s="143"/>
      <c r="FU34" s="143"/>
      <c r="FV34" s="143"/>
      <c r="FW34" s="143"/>
      <c r="FX34" s="143"/>
      <c r="FY34" s="143"/>
      <c r="FZ34" s="143"/>
      <c r="GA34" s="143"/>
      <c r="GB34" s="144"/>
    </row>
    <row r="35" spans="1:184" s="23" customFormat="1" ht="36.75" customHeight="1" hidden="1" outlineLevel="1" thickBot="1">
      <c r="A35" s="30" t="s">
        <v>46</v>
      </c>
      <c r="B35" s="32"/>
      <c r="C35" s="32"/>
      <c r="D35" s="32"/>
      <c r="E35" s="32"/>
      <c r="F35" s="32"/>
      <c r="G35" s="32"/>
      <c r="H35" s="32"/>
      <c r="I35" s="32"/>
      <c r="J35" s="32"/>
      <c r="K35" s="32"/>
      <c r="L35" s="32">
        <v>0</v>
      </c>
      <c r="M35" s="32">
        <v>0</v>
      </c>
      <c r="N35" s="32">
        <f>SUM(B35:M35)</f>
        <v>0</v>
      </c>
      <c r="O35" s="32">
        <v>0</v>
      </c>
      <c r="P35" s="32">
        <v>0</v>
      </c>
      <c r="Q35" s="32">
        <v>1322769.32</v>
      </c>
      <c r="R35" s="32">
        <v>401733.12</v>
      </c>
      <c r="S35" s="32">
        <v>380812.96</v>
      </c>
      <c r="T35" s="32">
        <v>109984.99</v>
      </c>
      <c r="U35" s="32">
        <v>1102.32</v>
      </c>
      <c r="V35" s="32">
        <v>247895.17</v>
      </c>
      <c r="W35" s="32">
        <v>869409</v>
      </c>
      <c r="X35" s="32">
        <v>1107573.47</v>
      </c>
      <c r="Y35" s="32">
        <v>459020.35</v>
      </c>
      <c r="Z35" s="32">
        <v>598443.91</v>
      </c>
      <c r="AA35" s="32">
        <f>SUM(O35:Z35)</f>
        <v>5498744.609999999</v>
      </c>
      <c r="AB35" s="32">
        <v>137431.9</v>
      </c>
      <c r="AC35" s="32">
        <v>341735.12</v>
      </c>
      <c r="AD35" s="32">
        <v>870660.94</v>
      </c>
      <c r="AE35" s="32">
        <v>18201.1</v>
      </c>
      <c r="AF35" s="32">
        <v>291624.6</v>
      </c>
      <c r="AG35" s="32">
        <v>1392168.31</v>
      </c>
      <c r="AH35" s="32">
        <v>515416.71</v>
      </c>
      <c r="AI35" s="32">
        <v>664064.63</v>
      </c>
      <c r="AJ35" s="32">
        <v>586038.92</v>
      </c>
      <c r="AK35" s="32">
        <v>40907.73</v>
      </c>
      <c r="AL35" s="32">
        <v>284483.84</v>
      </c>
      <c r="AM35" s="32">
        <v>947780.94</v>
      </c>
      <c r="AN35" s="32">
        <f>SUM(AB35:AM35)</f>
        <v>6090514.74</v>
      </c>
      <c r="AO35" s="32">
        <v>20212.62</v>
      </c>
      <c r="AP35" s="32">
        <v>942465.7</v>
      </c>
      <c r="AQ35" s="32">
        <v>881347.54</v>
      </c>
      <c r="AR35" s="32">
        <v>26786.66</v>
      </c>
      <c r="AS35" s="32">
        <v>455122.41</v>
      </c>
      <c r="AT35" s="32">
        <v>777435.22</v>
      </c>
      <c r="AU35" s="32">
        <v>10458.86</v>
      </c>
      <c r="AV35" s="32">
        <v>760781.28</v>
      </c>
      <c r="AW35" s="32">
        <v>857756.76</v>
      </c>
      <c r="AX35" s="32">
        <v>155402.99</v>
      </c>
      <c r="AY35" s="32">
        <v>509775.27</v>
      </c>
      <c r="AZ35" s="32">
        <v>1150921.27</v>
      </c>
      <c r="BA35" s="59">
        <f>SUM(AO35:AZ35)</f>
        <v>6548466.579999998</v>
      </c>
      <c r="BB35" s="32">
        <v>0</v>
      </c>
      <c r="BC35" s="32">
        <v>1026208.37</v>
      </c>
      <c r="BD35" s="32">
        <v>1058020.43</v>
      </c>
      <c r="BE35" s="32">
        <v>669565.73</v>
      </c>
      <c r="BF35" s="32">
        <v>259078.69</v>
      </c>
      <c r="BG35" s="32">
        <v>1127834.3</v>
      </c>
      <c r="BH35" s="32">
        <v>183699.83</v>
      </c>
      <c r="BI35" s="32">
        <v>897925.37</v>
      </c>
      <c r="BJ35" s="32">
        <v>891786.47</v>
      </c>
      <c r="BK35" s="32">
        <v>151270.13</v>
      </c>
      <c r="BL35" s="32">
        <v>351147.39</v>
      </c>
      <c r="BM35" s="32">
        <v>1411883.13</v>
      </c>
      <c r="BN35" s="32">
        <f>SUM(BB35:BM35)</f>
        <v>8028419.839999999</v>
      </c>
      <c r="BO35" s="32">
        <v>10016.92</v>
      </c>
      <c r="BP35" s="32">
        <v>510002.12</v>
      </c>
      <c r="BQ35" s="32">
        <v>1876531.64</v>
      </c>
      <c r="BR35" s="32">
        <v>0</v>
      </c>
      <c r="BS35" s="32">
        <v>385094.6</v>
      </c>
      <c r="BT35" s="32">
        <v>1443325.44</v>
      </c>
      <c r="BU35" s="32">
        <v>26372.98</v>
      </c>
      <c r="BV35" s="32">
        <v>956758.47</v>
      </c>
      <c r="BW35" s="32">
        <v>909351.59</v>
      </c>
      <c r="BX35" s="32">
        <v>277456.98</v>
      </c>
      <c r="BY35" s="32">
        <v>233823.43</v>
      </c>
      <c r="BZ35" s="32">
        <v>1722981.7</v>
      </c>
      <c r="CA35" s="32">
        <f>SUM(BO35:BZ35)</f>
        <v>8351715.87</v>
      </c>
      <c r="CB35" s="32">
        <v>274.8</v>
      </c>
      <c r="CC35" s="32">
        <v>631628.87</v>
      </c>
      <c r="CD35" s="32">
        <v>1148655.24</v>
      </c>
      <c r="CE35" s="32">
        <v>385633.58</v>
      </c>
      <c r="CF35" s="32">
        <v>128184.74</v>
      </c>
      <c r="CG35" s="32">
        <v>1438430.71</v>
      </c>
      <c r="CH35" s="32">
        <v>73541.78</v>
      </c>
      <c r="CI35" s="32">
        <v>386021.48</v>
      </c>
      <c r="CJ35" s="32">
        <v>1674697.56</v>
      </c>
      <c r="CK35" s="32">
        <v>464226</v>
      </c>
      <c r="CL35" s="32">
        <v>170883.26</v>
      </c>
      <c r="CM35" s="32">
        <v>2045865.61</v>
      </c>
      <c r="CN35" s="32">
        <f>SUM(CB35:CM35)</f>
        <v>8548043.629999999</v>
      </c>
      <c r="CO35" s="32">
        <v>33635.01</v>
      </c>
      <c r="CP35" s="32">
        <v>210036.17</v>
      </c>
      <c r="CQ35" s="32">
        <v>1955232.63</v>
      </c>
      <c r="CR35" s="32">
        <v>161372.02</v>
      </c>
      <c r="CS35" s="32">
        <v>186335.73</v>
      </c>
      <c r="CT35" s="32">
        <v>1854644.91</v>
      </c>
      <c r="CU35" s="32">
        <v>18710.46</v>
      </c>
      <c r="CV35" s="32">
        <v>1003975.25</v>
      </c>
      <c r="CW35" s="32">
        <v>1071874.58</v>
      </c>
      <c r="CX35" s="32">
        <v>68792.27</v>
      </c>
      <c r="CY35" s="32">
        <v>397726.28</v>
      </c>
      <c r="CZ35" s="32">
        <v>2184879.51</v>
      </c>
      <c r="DA35" s="32">
        <f>SUM(CO35:CZ35)</f>
        <v>9147214.82</v>
      </c>
      <c r="DB35" s="32">
        <v>95972.23</v>
      </c>
      <c r="DC35" s="32">
        <v>91842.99</v>
      </c>
      <c r="DD35" s="32">
        <v>2920880.67</v>
      </c>
      <c r="DE35" s="32">
        <v>329995.24</v>
      </c>
      <c r="DF35" s="32">
        <v>0</v>
      </c>
      <c r="DG35" s="32">
        <v>0</v>
      </c>
      <c r="DH35" s="32">
        <v>0</v>
      </c>
      <c r="DI35" s="32">
        <v>0</v>
      </c>
      <c r="DJ35" s="32">
        <v>-2257.94</v>
      </c>
      <c r="DK35" s="32">
        <v>0</v>
      </c>
      <c r="DL35" s="32">
        <v>0</v>
      </c>
      <c r="DM35" s="32">
        <v>0</v>
      </c>
      <c r="DN35" s="32">
        <f>SUM(DB35:DM35)</f>
        <v>3436433.19</v>
      </c>
      <c r="DO35" s="32">
        <v>0</v>
      </c>
      <c r="DP35" s="32">
        <v>0</v>
      </c>
      <c r="DQ35" s="32">
        <v>0</v>
      </c>
      <c r="DR35" s="32">
        <v>0</v>
      </c>
      <c r="DS35" s="32">
        <v>0</v>
      </c>
      <c r="DT35" s="32">
        <v>0</v>
      </c>
      <c r="DU35" s="32">
        <v>0</v>
      </c>
      <c r="DV35" s="32">
        <v>0</v>
      </c>
      <c r="DW35" s="32">
        <v>0</v>
      </c>
      <c r="DX35" s="32">
        <v>0</v>
      </c>
      <c r="DY35" s="32">
        <v>0</v>
      </c>
      <c r="DZ35" s="32">
        <v>0</v>
      </c>
      <c r="EA35" s="32">
        <f>SUM(DO35:DZ35)</f>
        <v>0</v>
      </c>
      <c r="EB35" s="32">
        <v>0</v>
      </c>
      <c r="EC35" s="32">
        <v>0</v>
      </c>
      <c r="ED35" s="32">
        <v>0</v>
      </c>
      <c r="EE35" s="32">
        <v>0</v>
      </c>
      <c r="EF35" s="32">
        <v>0</v>
      </c>
      <c r="EG35" s="32">
        <v>0</v>
      </c>
      <c r="EH35" s="32">
        <v>0</v>
      </c>
      <c r="EI35" s="32">
        <v>0</v>
      </c>
      <c r="EJ35" s="32">
        <v>0</v>
      </c>
      <c r="EK35" s="32">
        <v>0</v>
      </c>
      <c r="EL35" s="32">
        <v>0</v>
      </c>
      <c r="EM35" s="32">
        <v>0</v>
      </c>
      <c r="EN35" s="32">
        <f>SUM(EB35:EM35)</f>
        <v>0</v>
      </c>
      <c r="EO35" s="32">
        <v>0</v>
      </c>
      <c r="EP35" s="32">
        <v>0</v>
      </c>
      <c r="EQ35" s="32">
        <v>0</v>
      </c>
      <c r="ER35" s="32">
        <v>0</v>
      </c>
      <c r="ES35" s="32">
        <v>0</v>
      </c>
      <c r="ET35" s="32">
        <v>0</v>
      </c>
      <c r="EU35" s="32">
        <v>0</v>
      </c>
      <c r="EV35" s="32">
        <v>0</v>
      </c>
      <c r="EW35" s="32">
        <v>0</v>
      </c>
      <c r="EX35" s="32">
        <v>0</v>
      </c>
      <c r="EY35" s="32">
        <v>0</v>
      </c>
      <c r="EZ35" s="32">
        <v>0</v>
      </c>
      <c r="FA35" s="32">
        <f>SUM(EO35:EZ35)</f>
        <v>0</v>
      </c>
      <c r="FB35" s="32">
        <v>0</v>
      </c>
      <c r="FC35" s="32">
        <v>0</v>
      </c>
      <c r="FD35" s="32">
        <v>0</v>
      </c>
      <c r="FE35" s="32">
        <v>0</v>
      </c>
      <c r="FF35" s="32">
        <v>0</v>
      </c>
      <c r="FG35" s="32">
        <v>0</v>
      </c>
      <c r="FH35" s="32">
        <v>0</v>
      </c>
      <c r="FI35" s="32">
        <v>0</v>
      </c>
      <c r="FJ35" s="32">
        <v>0</v>
      </c>
      <c r="FK35" s="32">
        <v>0</v>
      </c>
      <c r="FL35" s="32">
        <v>0</v>
      </c>
      <c r="FM35" s="32">
        <v>0</v>
      </c>
      <c r="FN35" s="32">
        <f>SUM(FB35:FM35)</f>
        <v>0</v>
      </c>
      <c r="FO35" s="32">
        <v>0</v>
      </c>
      <c r="FP35" s="32">
        <v>0</v>
      </c>
      <c r="FQ35" s="32">
        <v>0</v>
      </c>
      <c r="FR35" s="32"/>
      <c r="FS35" s="32"/>
      <c r="FT35" s="32"/>
      <c r="FU35" s="32"/>
      <c r="FV35" s="32"/>
      <c r="FW35" s="32"/>
      <c r="FX35" s="32"/>
      <c r="FY35" s="32"/>
      <c r="FZ35" s="32"/>
      <c r="GA35" s="32">
        <f>SUM(FO35:FZ35)</f>
        <v>0</v>
      </c>
      <c r="GB35" s="106">
        <f>N35+AA35+AN35+BA35+BN35+CA35+DA35+CN35+DN35+EA35+EN35+FA35+FN35+GA35</f>
        <v>55649553.28</v>
      </c>
    </row>
    <row r="36" spans="1:184" s="23" customFormat="1" ht="13.5" collapsed="1" thickBot="1">
      <c r="A36" s="36" t="s">
        <v>81</v>
      </c>
      <c r="B36" s="37">
        <f aca="true" t="shared" si="21" ref="B36:AG36">B27+B29+B31+B33+B35</f>
        <v>0</v>
      </c>
      <c r="C36" s="37">
        <f t="shared" si="21"/>
        <v>0</v>
      </c>
      <c r="D36" s="37">
        <f t="shared" si="21"/>
        <v>0</v>
      </c>
      <c r="E36" s="37">
        <f t="shared" si="21"/>
        <v>0</v>
      </c>
      <c r="F36" s="37">
        <f t="shared" si="21"/>
        <v>0</v>
      </c>
      <c r="G36" s="37">
        <f t="shared" si="21"/>
        <v>0</v>
      </c>
      <c r="H36" s="37">
        <f t="shared" si="21"/>
        <v>0</v>
      </c>
      <c r="I36" s="37">
        <f t="shared" si="21"/>
        <v>0</v>
      </c>
      <c r="J36" s="37">
        <f t="shared" si="21"/>
        <v>0</v>
      </c>
      <c r="K36" s="37">
        <f t="shared" si="21"/>
        <v>0</v>
      </c>
      <c r="L36" s="37">
        <f>L27+L29+L31+L33+L35</f>
        <v>359509.36</v>
      </c>
      <c r="M36" s="37">
        <f t="shared" si="21"/>
        <v>0</v>
      </c>
      <c r="N36" s="37">
        <f>N27+N29+N31+N33+N35</f>
        <v>359509.36</v>
      </c>
      <c r="O36" s="37">
        <f>O27+O29+O31+O33+O35</f>
        <v>364896.02</v>
      </c>
      <c r="P36" s="37">
        <f>P27+P29+P31+P33+P35</f>
        <v>1216370.65</v>
      </c>
      <c r="Q36" s="37">
        <f>Q27+Q29+Q31+Q33+Q35</f>
        <v>3404825.0700000003</v>
      </c>
      <c r="R36" s="37">
        <f t="shared" si="21"/>
        <v>485570.48</v>
      </c>
      <c r="S36" s="37">
        <f>S27+S29+S31+S33+S35</f>
        <v>6390072.470000001</v>
      </c>
      <c r="T36" s="37">
        <f>T27+T29+T31+T33+T35</f>
        <v>3365511.88</v>
      </c>
      <c r="U36" s="37">
        <f t="shared" si="21"/>
        <v>1252085.21</v>
      </c>
      <c r="V36" s="37">
        <f t="shared" si="21"/>
        <v>1485597.3699999999</v>
      </c>
      <c r="W36" s="37">
        <f t="shared" si="21"/>
        <v>8368138.81</v>
      </c>
      <c r="X36" s="37">
        <f t="shared" si="21"/>
        <v>7877413.11</v>
      </c>
      <c r="Y36" s="37">
        <f t="shared" si="21"/>
        <v>7080129.3999999985</v>
      </c>
      <c r="Z36" s="37">
        <f t="shared" si="21"/>
        <v>24977461.220000003</v>
      </c>
      <c r="AA36" s="37">
        <f>AA27+AA29+AA31+AA33+AA35</f>
        <v>66268071.69</v>
      </c>
      <c r="AB36" s="37">
        <f t="shared" si="21"/>
        <v>1636673.66</v>
      </c>
      <c r="AC36" s="37">
        <f>AC27+AC29+AC31+AC33+AC35</f>
        <v>8560418.709999999</v>
      </c>
      <c r="AD36" s="37">
        <f t="shared" si="21"/>
        <v>8322260.859999999</v>
      </c>
      <c r="AE36" s="37">
        <f t="shared" si="21"/>
        <v>4820541.84</v>
      </c>
      <c r="AF36" s="37">
        <f t="shared" si="21"/>
        <v>6593862.889999999</v>
      </c>
      <c r="AG36" s="37">
        <f t="shared" si="21"/>
        <v>4962766.25</v>
      </c>
      <c r="AH36" s="37">
        <f aca="true" t="shared" si="22" ref="AH36:BM36">AH27+AH29+AH31+AH33+AH35</f>
        <v>10558407.400000002</v>
      </c>
      <c r="AI36" s="37">
        <f t="shared" si="22"/>
        <v>11694256.66</v>
      </c>
      <c r="AJ36" s="37">
        <f t="shared" si="22"/>
        <v>7304961.85</v>
      </c>
      <c r="AK36" s="37">
        <f t="shared" si="22"/>
        <v>12797902.800000003</v>
      </c>
      <c r="AL36" s="37">
        <f t="shared" si="22"/>
        <v>11537270.989999998</v>
      </c>
      <c r="AM36" s="37">
        <f t="shared" si="22"/>
        <v>38942296.58</v>
      </c>
      <c r="AN36" s="37">
        <f t="shared" si="22"/>
        <v>127731620.49000001</v>
      </c>
      <c r="AO36" s="37">
        <f>AO27+AO29+AO31+AO33+AO35</f>
        <v>5127741.79</v>
      </c>
      <c r="AP36" s="37">
        <f t="shared" si="22"/>
        <v>11122988.45</v>
      </c>
      <c r="AQ36" s="37">
        <f t="shared" si="22"/>
        <v>18344603.779999997</v>
      </c>
      <c r="AR36" s="37">
        <f>AR27+AR29+AR31+AR33+AR35</f>
        <v>12894324.420000002</v>
      </c>
      <c r="AS36" s="37">
        <f t="shared" si="22"/>
        <v>16464376.91</v>
      </c>
      <c r="AT36" s="37">
        <f t="shared" si="22"/>
        <v>25442467.59</v>
      </c>
      <c r="AU36" s="37">
        <f t="shared" si="22"/>
        <v>25175149.04</v>
      </c>
      <c r="AV36" s="37">
        <f t="shared" si="22"/>
        <v>23033809.82</v>
      </c>
      <c r="AW36" s="37">
        <f t="shared" si="22"/>
        <v>16518763.659999998</v>
      </c>
      <c r="AX36" s="37">
        <f t="shared" si="22"/>
        <v>30519433.44</v>
      </c>
      <c r="AY36" s="37">
        <f t="shared" si="22"/>
        <v>25319245.790000003</v>
      </c>
      <c r="AZ36" s="37">
        <f t="shared" si="22"/>
        <v>57113435.35</v>
      </c>
      <c r="BA36" s="37">
        <f>BA27+BA29+BA31+BA33+BA35</f>
        <v>267076340.04000002</v>
      </c>
      <c r="BB36" s="37">
        <f>BB27+BB29+BB31+BB33+BB35</f>
        <v>17789227.189999998</v>
      </c>
      <c r="BC36" s="37">
        <f t="shared" si="22"/>
        <v>17136158.42</v>
      </c>
      <c r="BD36" s="37">
        <f t="shared" si="22"/>
        <v>18139162.93</v>
      </c>
      <c r="BE36" s="37">
        <f t="shared" si="22"/>
        <v>29531196.66</v>
      </c>
      <c r="BF36" s="37">
        <f t="shared" si="22"/>
        <v>25571757.71</v>
      </c>
      <c r="BG36" s="37">
        <f t="shared" si="22"/>
        <v>19107747.6</v>
      </c>
      <c r="BH36" s="37">
        <f t="shared" si="22"/>
        <v>13693038.499999998</v>
      </c>
      <c r="BI36" s="37">
        <f t="shared" si="22"/>
        <v>25959955.200000003</v>
      </c>
      <c r="BJ36" s="37">
        <f t="shared" si="22"/>
        <v>17227974.07</v>
      </c>
      <c r="BK36" s="37">
        <f t="shared" si="22"/>
        <v>22853980.15</v>
      </c>
      <c r="BL36" s="37">
        <f t="shared" si="22"/>
        <v>24790528.43</v>
      </c>
      <c r="BM36" s="37">
        <f t="shared" si="22"/>
        <v>53526491.49</v>
      </c>
      <c r="BN36" s="37">
        <f aca="true" t="shared" si="23" ref="BN36:CM36">BN27+BN29+BN31+BN33+BN35</f>
        <v>285327218.34999996</v>
      </c>
      <c r="BO36" s="37">
        <f t="shared" si="23"/>
        <v>10734888.69</v>
      </c>
      <c r="BP36" s="37">
        <f t="shared" si="23"/>
        <v>22717143.26</v>
      </c>
      <c r="BQ36" s="37">
        <f t="shared" si="23"/>
        <v>25203383.330000002</v>
      </c>
      <c r="BR36" s="37">
        <f t="shared" si="23"/>
        <v>20507712.39</v>
      </c>
      <c r="BS36" s="37">
        <f t="shared" si="23"/>
        <v>38716187.2</v>
      </c>
      <c r="BT36" s="37">
        <f t="shared" si="23"/>
        <v>19412617.21</v>
      </c>
      <c r="BU36" s="37">
        <f t="shared" si="23"/>
        <v>20166441.81</v>
      </c>
      <c r="BV36" s="37">
        <f t="shared" si="23"/>
        <v>16807579.34</v>
      </c>
      <c r="BW36" s="37">
        <f t="shared" si="23"/>
        <v>22744992.68</v>
      </c>
      <c r="BX36" s="37">
        <f t="shared" si="23"/>
        <v>26097666.080000002</v>
      </c>
      <c r="BY36" s="37">
        <f t="shared" si="23"/>
        <v>25762798.609999996</v>
      </c>
      <c r="BZ36" s="37">
        <f t="shared" si="23"/>
        <v>43528428.21</v>
      </c>
      <c r="CA36" s="37">
        <f t="shared" si="23"/>
        <v>292399838.80999994</v>
      </c>
      <c r="CB36" s="37">
        <f t="shared" si="23"/>
        <v>8693926.91</v>
      </c>
      <c r="CC36" s="37">
        <f t="shared" si="23"/>
        <v>32804689.439999998</v>
      </c>
      <c r="CD36" s="37">
        <f t="shared" si="23"/>
        <v>30936279.819999997</v>
      </c>
      <c r="CE36" s="37">
        <f t="shared" si="23"/>
        <v>18607700.909999996</v>
      </c>
      <c r="CF36" s="37">
        <f t="shared" si="23"/>
        <v>16565388.379999999</v>
      </c>
      <c r="CG36" s="37">
        <f t="shared" si="23"/>
        <v>27993723.75</v>
      </c>
      <c r="CH36" s="37">
        <f t="shared" si="23"/>
        <v>20445703.310000002</v>
      </c>
      <c r="CI36" s="37">
        <f t="shared" si="23"/>
        <v>29387810.63</v>
      </c>
      <c r="CJ36" s="37">
        <f t="shared" si="23"/>
        <v>30854340.36</v>
      </c>
      <c r="CK36" s="37">
        <f t="shared" si="23"/>
        <v>21075224.849999998</v>
      </c>
      <c r="CL36" s="37">
        <f t="shared" si="23"/>
        <v>27015668.330000002</v>
      </c>
      <c r="CM36" s="37">
        <f t="shared" si="23"/>
        <v>22564341.150000002</v>
      </c>
      <c r="CN36" s="37">
        <f aca="true" t="shared" si="24" ref="CN36:DM36">CN27+CN29+CN31+CN33+CN35</f>
        <v>286944797.84000003</v>
      </c>
      <c r="CO36" s="37">
        <f t="shared" si="24"/>
        <v>11205215.009999998</v>
      </c>
      <c r="CP36" s="37">
        <f t="shared" si="24"/>
        <v>20440114.29</v>
      </c>
      <c r="CQ36" s="37">
        <f t="shared" si="24"/>
        <v>30342959.73</v>
      </c>
      <c r="CR36" s="37">
        <f t="shared" si="24"/>
        <v>20506756.860000003</v>
      </c>
      <c r="CS36" s="37">
        <f t="shared" si="24"/>
        <v>18754382.88</v>
      </c>
      <c r="CT36" s="37">
        <f>CT27+CT29+CT31+CT33+CT35</f>
        <v>21330390.86</v>
      </c>
      <c r="CU36" s="37">
        <f t="shared" si="24"/>
        <v>21663896.23</v>
      </c>
      <c r="CV36" s="37">
        <f t="shared" si="24"/>
        <v>17102134.38</v>
      </c>
      <c r="CW36" s="37">
        <f t="shared" si="24"/>
        <v>15035003.74</v>
      </c>
      <c r="CX36" s="37">
        <f t="shared" si="24"/>
        <v>28150422.99</v>
      </c>
      <c r="CY36" s="37">
        <f t="shared" si="24"/>
        <v>23701600.740000002</v>
      </c>
      <c r="CZ36" s="37">
        <f t="shared" si="24"/>
        <v>44127204.690000005</v>
      </c>
      <c r="DA36" s="37">
        <f>DA27+DA29+DA31+DA33+DA35</f>
        <v>272360082.40000004</v>
      </c>
      <c r="DB36" s="37">
        <f>DB27+DB29+DB31+DB33+DB35</f>
        <v>13501885.680000002</v>
      </c>
      <c r="DC36" s="37">
        <f t="shared" si="24"/>
        <v>19314760.52</v>
      </c>
      <c r="DD36" s="37">
        <f t="shared" si="24"/>
        <v>53208151.7</v>
      </c>
      <c r="DE36" s="37">
        <f t="shared" si="24"/>
        <v>24789084.450000003</v>
      </c>
      <c r="DF36" s="37">
        <f t="shared" si="24"/>
        <v>-500</v>
      </c>
      <c r="DG36" s="37">
        <f>DG27+DG29+DG31+DG33+DG35</f>
        <v>-1000</v>
      </c>
      <c r="DH36" s="37">
        <f t="shared" si="24"/>
        <v>-500</v>
      </c>
      <c r="DI36" s="37">
        <f t="shared" si="24"/>
        <v>0</v>
      </c>
      <c r="DJ36" s="37">
        <f t="shared" si="24"/>
        <v>-9154168.129999999</v>
      </c>
      <c r="DK36" s="37">
        <f t="shared" si="24"/>
        <v>0</v>
      </c>
      <c r="DL36" s="37">
        <f t="shared" si="24"/>
        <v>-4086.13</v>
      </c>
      <c r="DM36" s="37">
        <f t="shared" si="24"/>
        <v>-1197.5500000000002</v>
      </c>
      <c r="DN36" s="37">
        <f aca="true" t="shared" si="25" ref="DN36:DT36">DN27+DN29+DN31+DN33+DN35</f>
        <v>101652430.54</v>
      </c>
      <c r="DO36" s="37">
        <f t="shared" si="25"/>
        <v>-302000.07999999996</v>
      </c>
      <c r="DP36" s="37">
        <f t="shared" si="25"/>
        <v>-3999.2</v>
      </c>
      <c r="DQ36" s="37">
        <f t="shared" si="25"/>
        <v>-576795.4</v>
      </c>
      <c r="DR36" s="37">
        <f t="shared" si="25"/>
        <v>-4500</v>
      </c>
      <c r="DS36" s="37">
        <f t="shared" si="25"/>
        <v>-500</v>
      </c>
      <c r="DT36" s="37">
        <f t="shared" si="25"/>
        <v>-500</v>
      </c>
      <c r="DU36" s="37">
        <f aca="true" t="shared" si="26" ref="DU36:DZ36">DU27+DU29+DU31+DU33+DU35</f>
        <v>-4098.860000000001</v>
      </c>
      <c r="DV36" s="37">
        <f t="shared" si="26"/>
        <v>0</v>
      </c>
      <c r="DW36" s="37">
        <f t="shared" si="26"/>
        <v>-703468.46</v>
      </c>
      <c r="DX36" s="37">
        <f t="shared" si="26"/>
        <v>-4079.4500000000003</v>
      </c>
      <c r="DY36" s="37">
        <f t="shared" si="26"/>
        <v>-519.45</v>
      </c>
      <c r="DZ36" s="37">
        <f t="shared" si="26"/>
        <v>-520.37</v>
      </c>
      <c r="EA36" s="37">
        <f>EA27+EA29+EA31+EA33+EA35</f>
        <v>-1600981.2700000003</v>
      </c>
      <c r="EB36" s="37">
        <f aca="true" t="shared" si="27" ref="EB36:EM36">EB27+EB29+EB31+EB33+EB35</f>
        <v>-4064.58</v>
      </c>
      <c r="EC36" s="37">
        <f t="shared" si="27"/>
        <v>-500</v>
      </c>
      <c r="ED36" s="37">
        <f t="shared" si="27"/>
        <v>-126161.8</v>
      </c>
      <c r="EE36" s="37">
        <f t="shared" si="27"/>
        <v>-4000</v>
      </c>
      <c r="EF36" s="37">
        <f t="shared" si="27"/>
        <v>-500</v>
      </c>
      <c r="EG36" s="37">
        <f t="shared" si="27"/>
        <v>-500</v>
      </c>
      <c r="EH36" s="37">
        <f t="shared" si="27"/>
        <v>-4000</v>
      </c>
      <c r="EI36" s="37">
        <f t="shared" si="27"/>
        <v>-500</v>
      </c>
      <c r="EJ36" s="37">
        <f t="shared" si="27"/>
        <v>-500</v>
      </c>
      <c r="EK36" s="37">
        <f t="shared" si="27"/>
        <v>-4000</v>
      </c>
      <c r="EL36" s="37">
        <f t="shared" si="27"/>
        <v>-500</v>
      </c>
      <c r="EM36" s="37">
        <f t="shared" si="27"/>
        <v>-520.18</v>
      </c>
      <c r="EN36" s="37">
        <f>EN27+EN29+EN31+EN33+EN35</f>
        <v>-145746.56</v>
      </c>
      <c r="EO36" s="37">
        <f aca="true" t="shared" si="28" ref="EO36:EZ36">EO27+EO29+EO31+EO33+EO35</f>
        <v>-4205</v>
      </c>
      <c r="EP36" s="37">
        <f t="shared" si="28"/>
        <v>-729.71</v>
      </c>
      <c r="EQ36" s="37">
        <f t="shared" si="28"/>
        <v>-597.73</v>
      </c>
      <c r="ER36" s="37">
        <f t="shared" si="28"/>
        <v>-37312</v>
      </c>
      <c r="ES36" s="37">
        <f t="shared" si="28"/>
        <v>-700</v>
      </c>
      <c r="ET36" s="37">
        <f t="shared" si="28"/>
        <v>-700</v>
      </c>
      <c r="EU36" s="37">
        <f t="shared" si="28"/>
        <v>-4200</v>
      </c>
      <c r="EV36" s="37">
        <f t="shared" si="28"/>
        <v>-1104.23</v>
      </c>
      <c r="EW36" s="37">
        <f t="shared" si="28"/>
        <v>-1259.11</v>
      </c>
      <c r="EX36" s="37">
        <f t="shared" si="28"/>
        <v>-6227.44</v>
      </c>
      <c r="EY36" s="37">
        <f t="shared" si="28"/>
        <v>-1924.1399999999999</v>
      </c>
      <c r="EZ36" s="37">
        <f t="shared" si="28"/>
        <v>-650.3199999999999</v>
      </c>
      <c r="FA36" s="37">
        <f>FA27+FA29+FA31+FA33+FA35</f>
        <v>-59609.68000000001</v>
      </c>
      <c r="FB36" s="37"/>
      <c r="FC36" s="37">
        <f>FC27+FC29+FC31+FC33+FC35</f>
        <v>-500</v>
      </c>
      <c r="FD36" s="37">
        <f aca="true" t="shared" si="29" ref="FD36:FM36">FD27+FD29+FD31+FD33+FD35</f>
        <v>-801.69</v>
      </c>
      <c r="FE36" s="37">
        <f t="shared" si="29"/>
        <v>-5429.4</v>
      </c>
      <c r="FF36" s="37">
        <f t="shared" si="29"/>
        <v>-2205.65</v>
      </c>
      <c r="FG36" s="37">
        <f t="shared" si="29"/>
        <v>-4247.37</v>
      </c>
      <c r="FH36" s="37">
        <f>FH27+FI29+FH31+FH33+FH35</f>
        <v>-4400.68</v>
      </c>
      <c r="FI36" s="37">
        <f>FI27+FJ29+FI31+FI33+FI35</f>
        <v>-2565.3500000000004</v>
      </c>
      <c r="FJ36" s="37">
        <f t="shared" si="29"/>
        <v>-527.71</v>
      </c>
      <c r="FK36" s="37">
        <f t="shared" si="29"/>
        <v>-4000</v>
      </c>
      <c r="FL36" s="37">
        <f t="shared" si="29"/>
        <v>-500</v>
      </c>
      <c r="FM36" s="37">
        <f t="shared" si="29"/>
        <v>-500</v>
      </c>
      <c r="FN36" s="37">
        <f>FN27+FN29+FN31+FN33+FN35</f>
        <v>-29677.85</v>
      </c>
      <c r="FO36" s="37">
        <f>FO27+FO29+FO31+FO33+FO35</f>
        <v>-4000</v>
      </c>
      <c r="FP36" s="37">
        <f aca="true" t="shared" si="30" ref="FP36:GA36">FP27+FP29+FP31+FP33+FP35</f>
        <v>-500</v>
      </c>
      <c r="FQ36" s="37">
        <f t="shared" si="30"/>
        <v>-500</v>
      </c>
      <c r="FR36" s="37">
        <f t="shared" si="30"/>
        <v>-4000</v>
      </c>
      <c r="FS36" s="37">
        <f t="shared" si="30"/>
        <v>0</v>
      </c>
      <c r="FT36" s="37">
        <f t="shared" si="30"/>
        <v>0</v>
      </c>
      <c r="FU36" s="37">
        <f t="shared" si="30"/>
        <v>0</v>
      </c>
      <c r="FV36" s="37">
        <f t="shared" si="30"/>
        <v>0</v>
      </c>
      <c r="FW36" s="37">
        <f t="shared" si="30"/>
        <v>0</v>
      </c>
      <c r="FX36" s="37">
        <f t="shared" si="30"/>
        <v>0</v>
      </c>
      <c r="FY36" s="37">
        <f t="shared" si="30"/>
        <v>0</v>
      </c>
      <c r="FZ36" s="37">
        <f t="shared" si="30"/>
        <v>0</v>
      </c>
      <c r="GA36" s="37">
        <f t="shared" si="30"/>
        <v>-9000</v>
      </c>
      <c r="GB36" s="37">
        <f>GB27+GB29+GB31+GB33+GB35</f>
        <v>1698274894.1599998</v>
      </c>
    </row>
    <row r="37" spans="1:187" s="23" customFormat="1" ht="59.25" customHeight="1" hidden="1" outlineLevel="1">
      <c r="A37" s="30" t="s">
        <v>47</v>
      </c>
      <c r="B37" s="32"/>
      <c r="C37" s="32"/>
      <c r="D37" s="32"/>
      <c r="E37" s="32"/>
      <c r="F37" s="32"/>
      <c r="G37" s="32"/>
      <c r="H37" s="32"/>
      <c r="I37" s="32"/>
      <c r="J37" s="32"/>
      <c r="K37" s="32"/>
      <c r="L37" s="32">
        <v>0</v>
      </c>
      <c r="M37" s="32">
        <v>0</v>
      </c>
      <c r="N37" s="32">
        <f>SUM(B37:M37)</f>
        <v>0</v>
      </c>
      <c r="O37" s="32">
        <v>0</v>
      </c>
      <c r="P37" s="32">
        <v>0</v>
      </c>
      <c r="Q37" s="32">
        <v>0</v>
      </c>
      <c r="R37" s="32">
        <v>0</v>
      </c>
      <c r="S37" s="32">
        <v>0</v>
      </c>
      <c r="T37" s="32">
        <v>0</v>
      </c>
      <c r="U37" s="32">
        <v>0</v>
      </c>
      <c r="V37" s="32">
        <v>0</v>
      </c>
      <c r="W37" s="32">
        <v>0</v>
      </c>
      <c r="X37" s="32">
        <v>0</v>
      </c>
      <c r="Y37" s="32">
        <v>46574840.62</v>
      </c>
      <c r="Z37" s="32">
        <v>4598296.65</v>
      </c>
      <c r="AA37" s="32">
        <f>SUM(O37:Z37)</f>
        <v>51173137.269999996</v>
      </c>
      <c r="AB37" s="32">
        <v>0</v>
      </c>
      <c r="AC37" s="32">
        <v>757604.63</v>
      </c>
      <c r="AD37" s="32">
        <v>5961132.88</v>
      </c>
      <c r="AE37" s="32">
        <v>2247769.9</v>
      </c>
      <c r="AF37" s="32">
        <v>3938927.11</v>
      </c>
      <c r="AG37" s="32">
        <v>1768398.66</v>
      </c>
      <c r="AH37" s="32">
        <v>2028405.55</v>
      </c>
      <c r="AI37" s="32">
        <v>5105516.89</v>
      </c>
      <c r="AJ37" s="32">
        <v>2323940.36</v>
      </c>
      <c r="AK37" s="32">
        <v>2596505.65</v>
      </c>
      <c r="AL37" s="32">
        <v>3589425.29</v>
      </c>
      <c r="AM37" s="32">
        <v>9186691.01</v>
      </c>
      <c r="AN37" s="32">
        <f>SUM(AB37:AM37)</f>
        <v>39504317.93</v>
      </c>
      <c r="AO37" s="32">
        <v>0</v>
      </c>
      <c r="AP37" s="32">
        <v>7705652.45</v>
      </c>
      <c r="AQ37" s="32">
        <v>2283915.36</v>
      </c>
      <c r="AR37" s="32">
        <v>274461.64</v>
      </c>
      <c r="AS37" s="32">
        <v>5522829.27</v>
      </c>
      <c r="AT37" s="32">
        <v>553876.04</v>
      </c>
      <c r="AU37" s="32">
        <v>3342028.39</v>
      </c>
      <c r="AV37" s="32">
        <v>3818365.04</v>
      </c>
      <c r="AW37" s="32">
        <v>15366101.63</v>
      </c>
      <c r="AX37" s="32">
        <v>8841151.45</v>
      </c>
      <c r="AY37" s="32">
        <v>5666039.36</v>
      </c>
      <c r="AZ37" s="32">
        <v>46099365.5</v>
      </c>
      <c r="BA37" s="59">
        <f>SUM(AO37:AZ37)</f>
        <v>99473786.13</v>
      </c>
      <c r="BB37" s="32">
        <v>6315314.27</v>
      </c>
      <c r="BC37" s="32">
        <v>24506.02</v>
      </c>
      <c r="BD37" s="32">
        <v>4734688.25</v>
      </c>
      <c r="BE37" s="32">
        <v>7273547.46</v>
      </c>
      <c r="BF37" s="32">
        <v>6082653.55</v>
      </c>
      <c r="BG37" s="32">
        <v>1570058.62</v>
      </c>
      <c r="BH37" s="32">
        <v>3914521.18</v>
      </c>
      <c r="BI37" s="32">
        <v>1973205.97</v>
      </c>
      <c r="BJ37" s="32">
        <v>14576678.8</v>
      </c>
      <c r="BK37" s="32">
        <v>10714952.19</v>
      </c>
      <c r="BL37" s="32">
        <v>1665192.89</v>
      </c>
      <c r="BM37" s="32">
        <v>17845033.81</v>
      </c>
      <c r="BN37" s="32">
        <f>SUM(BB37:BM37)</f>
        <v>76690353.01</v>
      </c>
      <c r="BO37" s="32">
        <v>0</v>
      </c>
      <c r="BP37" s="32">
        <v>10749742.3</v>
      </c>
      <c r="BQ37" s="32">
        <v>11377041.45</v>
      </c>
      <c r="BR37" s="32">
        <v>14351842.43</v>
      </c>
      <c r="BS37" s="32">
        <v>3939929.22</v>
      </c>
      <c r="BT37" s="32">
        <v>20393443.99</v>
      </c>
      <c r="BU37" s="32">
        <v>8251670.33</v>
      </c>
      <c r="BV37" s="32">
        <v>15182025.28</v>
      </c>
      <c r="BW37" s="32">
        <v>9552653.06</v>
      </c>
      <c r="BX37" s="32">
        <v>7168947.39</v>
      </c>
      <c r="BY37" s="32">
        <v>16768343.37</v>
      </c>
      <c r="BZ37" s="32">
        <v>44971457.85</v>
      </c>
      <c r="CA37" s="32">
        <f>SUM(BO37:BZ37)</f>
        <v>162707096.67000002</v>
      </c>
      <c r="CB37" s="32">
        <v>9612424.12</v>
      </c>
      <c r="CC37" s="32">
        <v>19814040.3</v>
      </c>
      <c r="CD37" s="32">
        <v>5383973.77</v>
      </c>
      <c r="CE37" s="32">
        <v>10444980.93</v>
      </c>
      <c r="CF37" s="32">
        <v>2565543.07</v>
      </c>
      <c r="CG37" s="32">
        <v>1138051.89</v>
      </c>
      <c r="CH37" s="32">
        <v>14559207.43</v>
      </c>
      <c r="CI37" s="32">
        <v>15887082.47</v>
      </c>
      <c r="CJ37" s="32">
        <v>5768645.34</v>
      </c>
      <c r="CK37" s="32">
        <v>28181177.02</v>
      </c>
      <c r="CL37" s="32">
        <v>22192602.1</v>
      </c>
      <c r="CM37" s="32">
        <v>17231802.98</v>
      </c>
      <c r="CN37" s="32">
        <f>SUM(CB37:CM37)</f>
        <v>152779531.42</v>
      </c>
      <c r="CO37" s="32">
        <v>9445568.58</v>
      </c>
      <c r="CP37" s="32">
        <v>20947804.21</v>
      </c>
      <c r="CQ37" s="32">
        <v>29490330.28</v>
      </c>
      <c r="CR37" s="32">
        <v>14413772.86</v>
      </c>
      <c r="CS37" s="32">
        <v>13160580.19</v>
      </c>
      <c r="CT37" s="32">
        <v>10690123.95</v>
      </c>
      <c r="CU37" s="32">
        <v>4086864.89</v>
      </c>
      <c r="CV37" s="32">
        <v>11040914.18</v>
      </c>
      <c r="CW37" s="32">
        <v>28035922.74</v>
      </c>
      <c r="CX37" s="32">
        <v>12679208.69</v>
      </c>
      <c r="CY37" s="32">
        <v>15573220.16</v>
      </c>
      <c r="CZ37" s="32">
        <v>15185474.46</v>
      </c>
      <c r="DA37" s="32">
        <f>SUM(CO37:CZ37)</f>
        <v>184749785.19000003</v>
      </c>
      <c r="DB37" s="32">
        <v>23379626.87</v>
      </c>
      <c r="DC37" s="32">
        <v>28943859.01</v>
      </c>
      <c r="DD37" s="32">
        <v>12201328.91</v>
      </c>
      <c r="DE37" s="32">
        <f>25274949.77+7213427.31</f>
        <v>32488377.08</v>
      </c>
      <c r="DF37" s="32">
        <v>0</v>
      </c>
      <c r="DG37" s="32">
        <v>0</v>
      </c>
      <c r="DH37" s="32">
        <v>0</v>
      </c>
      <c r="DI37" s="32">
        <v>0</v>
      </c>
      <c r="DJ37" s="32">
        <v>-5825291.8</v>
      </c>
      <c r="DK37" s="32">
        <f>5825291.8-5825291.8</f>
        <v>0</v>
      </c>
      <c r="DL37" s="32">
        <v>0</v>
      </c>
      <c r="DM37" s="32">
        <v>0</v>
      </c>
      <c r="DN37" s="32">
        <f>SUM(DB37:DM37)</f>
        <v>91187900.07000001</v>
      </c>
      <c r="DO37" s="32">
        <v>0</v>
      </c>
      <c r="DP37" s="32">
        <v>0</v>
      </c>
      <c r="DQ37" s="32">
        <v>-126741.79</v>
      </c>
      <c r="DR37" s="32">
        <f>126741.79-126741.79</f>
        <v>0</v>
      </c>
      <c r="DS37" s="32">
        <v>0</v>
      </c>
      <c r="DT37" s="32">
        <v>0</v>
      </c>
      <c r="DU37" s="32">
        <v>0</v>
      </c>
      <c r="DV37" s="32">
        <v>0</v>
      </c>
      <c r="DW37" s="32">
        <v>0</v>
      </c>
      <c r="DX37" s="32">
        <v>0</v>
      </c>
      <c r="DY37" s="32">
        <v>0</v>
      </c>
      <c r="DZ37" s="32">
        <v>0</v>
      </c>
      <c r="EA37" s="32">
        <f>SUM(DO37:DZ37)</f>
        <v>-126741.79</v>
      </c>
      <c r="EB37" s="32">
        <v>0</v>
      </c>
      <c r="EC37" s="32">
        <v>0</v>
      </c>
      <c r="ED37" s="32">
        <v>0</v>
      </c>
      <c r="EE37" s="32">
        <f>126741.79-126741.79</f>
        <v>0</v>
      </c>
      <c r="EF37" s="32">
        <v>0</v>
      </c>
      <c r="EG37" s="32">
        <v>0</v>
      </c>
      <c r="EH37" s="32">
        <v>0</v>
      </c>
      <c r="EI37" s="32">
        <v>0</v>
      </c>
      <c r="EJ37" s="32">
        <v>0</v>
      </c>
      <c r="EK37" s="32">
        <v>0</v>
      </c>
      <c r="EL37" s="32">
        <v>0</v>
      </c>
      <c r="EM37" s="32">
        <v>0</v>
      </c>
      <c r="EN37" s="32">
        <f>SUM(EB37:EM37)</f>
        <v>0</v>
      </c>
      <c r="EO37" s="32">
        <v>0</v>
      </c>
      <c r="EP37" s="32">
        <v>0</v>
      </c>
      <c r="EQ37" s="32">
        <v>0</v>
      </c>
      <c r="ER37" s="32">
        <f>126741.79-126741.79</f>
        <v>0</v>
      </c>
      <c r="ES37" s="32">
        <v>0</v>
      </c>
      <c r="ET37" s="32">
        <v>0</v>
      </c>
      <c r="EU37" s="32">
        <v>0</v>
      </c>
      <c r="EV37" s="32">
        <v>0</v>
      </c>
      <c r="EW37" s="32">
        <v>0</v>
      </c>
      <c r="EX37" s="32">
        <v>0</v>
      </c>
      <c r="EY37" s="32">
        <v>0</v>
      </c>
      <c r="EZ37" s="32">
        <v>0</v>
      </c>
      <c r="FA37" s="32">
        <f>SUM(EO37:EZ37)</f>
        <v>0</v>
      </c>
      <c r="FB37" s="32">
        <v>-107184.87</v>
      </c>
      <c r="FC37" s="32">
        <v>0</v>
      </c>
      <c r="FD37" s="32">
        <v>0</v>
      </c>
      <c r="FE37" s="32">
        <v>0</v>
      </c>
      <c r="FF37" s="32">
        <v>0</v>
      </c>
      <c r="FG37" s="32">
        <v>0</v>
      </c>
      <c r="FH37" s="32">
        <v>0</v>
      </c>
      <c r="FI37" s="32">
        <v>0</v>
      </c>
      <c r="FJ37" s="32">
        <v>0</v>
      </c>
      <c r="FK37" s="32">
        <v>0</v>
      </c>
      <c r="FL37" s="32">
        <v>0</v>
      </c>
      <c r="FM37" s="32">
        <v>0</v>
      </c>
      <c r="FN37" s="32">
        <f>SUM(FB37:FM37)</f>
        <v>-107184.87</v>
      </c>
      <c r="FO37" s="32">
        <v>0</v>
      </c>
      <c r="FP37" s="32">
        <v>0</v>
      </c>
      <c r="FQ37" s="32">
        <v>0</v>
      </c>
      <c r="FR37" s="32">
        <v>0</v>
      </c>
      <c r="FS37" s="32"/>
      <c r="FT37" s="32"/>
      <c r="FU37" s="32"/>
      <c r="FV37" s="32"/>
      <c r="FW37" s="32"/>
      <c r="FX37" s="32"/>
      <c r="FY37" s="32"/>
      <c r="FZ37" s="32"/>
      <c r="GA37" s="32">
        <f>SUM(FO37:FZ37)</f>
        <v>0</v>
      </c>
      <c r="GB37" s="106">
        <f>N37+AA37+AN37+BA37+BN37+CA37+DA37+CN37+DN37+EA37+EN37+FA37+FN37+GA37</f>
        <v>858031981.0300001</v>
      </c>
      <c r="GC37" s="59"/>
      <c r="GE37" s="59"/>
    </row>
    <row r="38" spans="1:184" s="23" customFormat="1" ht="14.25" customHeight="1" hidden="1" outlineLevel="1">
      <c r="A38" s="142"/>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c r="EO38" s="143"/>
      <c r="EP38" s="143"/>
      <c r="EQ38" s="143"/>
      <c r="ER38" s="143"/>
      <c r="ES38" s="143"/>
      <c r="ET38" s="143"/>
      <c r="EU38" s="143"/>
      <c r="EV38" s="143"/>
      <c r="EW38" s="143"/>
      <c r="EX38" s="143"/>
      <c r="EY38" s="143"/>
      <c r="EZ38" s="143"/>
      <c r="FA38" s="143"/>
      <c r="FB38" s="143"/>
      <c r="FC38" s="143"/>
      <c r="FD38" s="143"/>
      <c r="FE38" s="143"/>
      <c r="FF38" s="143"/>
      <c r="FG38" s="143"/>
      <c r="FH38" s="143"/>
      <c r="FI38" s="143"/>
      <c r="FJ38" s="143"/>
      <c r="FK38" s="143"/>
      <c r="FL38" s="143"/>
      <c r="FM38" s="143"/>
      <c r="FN38" s="143"/>
      <c r="FO38" s="143"/>
      <c r="FP38" s="143"/>
      <c r="FQ38" s="143"/>
      <c r="FR38" s="143"/>
      <c r="FS38" s="143"/>
      <c r="FT38" s="143"/>
      <c r="FU38" s="143"/>
      <c r="FV38" s="143"/>
      <c r="FW38" s="143"/>
      <c r="FX38" s="143"/>
      <c r="FY38" s="143"/>
      <c r="FZ38" s="143"/>
      <c r="GA38" s="143"/>
      <c r="GB38" s="144"/>
    </row>
    <row r="39" spans="1:187" s="23" customFormat="1" ht="59.25" customHeight="1" hidden="1" outlineLevel="1">
      <c r="A39" s="30" t="s">
        <v>48</v>
      </c>
      <c r="B39" s="32"/>
      <c r="C39" s="32"/>
      <c r="D39" s="32"/>
      <c r="E39" s="32"/>
      <c r="F39" s="32"/>
      <c r="G39" s="32"/>
      <c r="H39" s="32"/>
      <c r="I39" s="32"/>
      <c r="J39" s="32"/>
      <c r="K39" s="32"/>
      <c r="L39" s="32">
        <v>0</v>
      </c>
      <c r="M39" s="32">
        <v>0</v>
      </c>
      <c r="N39" s="32">
        <f>SUM(B39:M39)</f>
        <v>0</v>
      </c>
      <c r="O39" s="32">
        <v>0</v>
      </c>
      <c r="P39" s="32">
        <v>0</v>
      </c>
      <c r="Q39" s="32">
        <v>8445453.98</v>
      </c>
      <c r="R39" s="32">
        <v>1902904.97</v>
      </c>
      <c r="S39" s="32">
        <v>6409523.5</v>
      </c>
      <c r="T39" s="32">
        <v>3768148.75</v>
      </c>
      <c r="U39" s="32">
        <v>6938521.69</v>
      </c>
      <c r="V39" s="32">
        <v>8414736.42</v>
      </c>
      <c r="W39" s="32">
        <v>5885559.37</v>
      </c>
      <c r="X39" s="32">
        <v>9722960.02</v>
      </c>
      <c r="Y39" s="32">
        <v>10407319.67</v>
      </c>
      <c r="Z39" s="32">
        <v>19389493.28</v>
      </c>
      <c r="AA39" s="32">
        <f>SUM(O39:Z39)</f>
        <v>81284621.65</v>
      </c>
      <c r="AB39" s="32">
        <v>494976.91</v>
      </c>
      <c r="AC39" s="32">
        <v>2518669.87</v>
      </c>
      <c r="AD39" s="32">
        <v>2318378.97</v>
      </c>
      <c r="AE39" s="32">
        <v>3975948.05</v>
      </c>
      <c r="AF39" s="32">
        <v>1887015.06</v>
      </c>
      <c r="AG39" s="32">
        <v>5086407.14</v>
      </c>
      <c r="AH39" s="32">
        <v>5364756.33</v>
      </c>
      <c r="AI39" s="32">
        <v>4785115.41</v>
      </c>
      <c r="AJ39" s="32">
        <v>5492652.1</v>
      </c>
      <c r="AK39" s="32">
        <v>6151128.21</v>
      </c>
      <c r="AL39" s="32">
        <v>10656169.09</v>
      </c>
      <c r="AM39" s="32">
        <v>8065309.08</v>
      </c>
      <c r="AN39" s="32">
        <f>SUM(AB39:AM39)</f>
        <v>56796526.22</v>
      </c>
      <c r="AO39" s="32">
        <v>3142553.86</v>
      </c>
      <c r="AP39" s="32">
        <v>3869769.21</v>
      </c>
      <c r="AQ39" s="32">
        <v>3917963.23</v>
      </c>
      <c r="AR39" s="32">
        <v>4839033.08</v>
      </c>
      <c r="AS39" s="32">
        <v>2167588.2</v>
      </c>
      <c r="AT39" s="32">
        <v>6017511.39</v>
      </c>
      <c r="AU39" s="32">
        <v>5069520.72</v>
      </c>
      <c r="AV39" s="32">
        <f>713836.47+322638.36+6462664.43</f>
        <v>7499139.26</v>
      </c>
      <c r="AW39" s="32">
        <v>8526964.32</v>
      </c>
      <c r="AX39" s="32">
        <f>7340445.48-208048.16</f>
        <v>7132397.32</v>
      </c>
      <c r="AY39" s="32">
        <v>7467092.39</v>
      </c>
      <c r="AZ39" s="32">
        <f>16808395.4+281647.61-0.1</f>
        <v>17090042.909999996</v>
      </c>
      <c r="BA39" s="32">
        <f>SUM(AO39:AZ39)</f>
        <v>76739575.89</v>
      </c>
      <c r="BB39" s="32">
        <v>1180045.23</v>
      </c>
      <c r="BC39" s="32">
        <v>6035465.65</v>
      </c>
      <c r="BD39" s="32">
        <f>3408671.71+0.04</f>
        <v>3408671.75</v>
      </c>
      <c r="BE39" s="32">
        <v>2060580.22</v>
      </c>
      <c r="BF39" s="32">
        <v>5364615.86</v>
      </c>
      <c r="BG39" s="32">
        <v>7460593.46</v>
      </c>
      <c r="BH39" s="32">
        <v>7008135.61</v>
      </c>
      <c r="BI39" s="32">
        <v>8222201.57</v>
      </c>
      <c r="BJ39" s="32">
        <v>11688782.54</v>
      </c>
      <c r="BK39" s="32">
        <v>12363543.58</v>
      </c>
      <c r="BL39" s="32">
        <v>13413200.02</v>
      </c>
      <c r="BM39" s="32">
        <v>17028639.72</v>
      </c>
      <c r="BN39" s="32">
        <f>SUM(BB39:BM39)</f>
        <v>95234475.21</v>
      </c>
      <c r="BO39" s="32">
        <v>2051108.26</v>
      </c>
      <c r="BP39" s="32">
        <v>2849313.54</v>
      </c>
      <c r="BQ39" s="32">
        <v>8166606.9</v>
      </c>
      <c r="BR39" s="32">
        <v>3473858.53</v>
      </c>
      <c r="BS39" s="32">
        <v>5651285.22</v>
      </c>
      <c r="BT39" s="32">
        <v>17385337.6</v>
      </c>
      <c r="BU39" s="32">
        <v>4145057.15</v>
      </c>
      <c r="BV39" s="32">
        <v>4937507.36</v>
      </c>
      <c r="BW39" s="32">
        <v>9759170.14</v>
      </c>
      <c r="BX39" s="32">
        <v>7057145.15</v>
      </c>
      <c r="BY39" s="32">
        <v>11768298.24</v>
      </c>
      <c r="BZ39" s="32">
        <v>19756560.17</v>
      </c>
      <c r="CA39" s="32">
        <f>SUM(BO39:BZ39)</f>
        <v>97001248.25999999</v>
      </c>
      <c r="CB39" s="32">
        <v>2331573.5</v>
      </c>
      <c r="CC39" s="32">
        <v>7163360.75</v>
      </c>
      <c r="CD39" s="32">
        <v>7559471.66</v>
      </c>
      <c r="CE39" s="32">
        <v>16535883.8</v>
      </c>
      <c r="CF39" s="32">
        <v>2701355.17</v>
      </c>
      <c r="CG39" s="32">
        <v>8406194.37</v>
      </c>
      <c r="CH39" s="32">
        <v>4560564.95</v>
      </c>
      <c r="CI39" s="32">
        <v>6858885.52</v>
      </c>
      <c r="CJ39" s="32">
        <v>12080916.38</v>
      </c>
      <c r="CK39" s="32">
        <v>5583695.49</v>
      </c>
      <c r="CL39" s="32">
        <v>9278029.85</v>
      </c>
      <c r="CM39" s="32">
        <v>9577771.6</v>
      </c>
      <c r="CN39" s="32">
        <f>SUM(CB39:CM39)</f>
        <v>92637703.03999998</v>
      </c>
      <c r="CO39" s="32">
        <v>4244247.81</v>
      </c>
      <c r="CP39" s="32">
        <v>5026457.44</v>
      </c>
      <c r="CQ39" s="32">
        <v>9503014.28</v>
      </c>
      <c r="CR39" s="32">
        <v>7754957.31</v>
      </c>
      <c r="CS39" s="32">
        <v>7609787.99</v>
      </c>
      <c r="CT39" s="32">
        <v>3764657.63</v>
      </c>
      <c r="CU39" s="32">
        <v>15277305.63</v>
      </c>
      <c r="CV39" s="32">
        <v>5553279.82</v>
      </c>
      <c r="CW39" s="32">
        <v>11876722.77</v>
      </c>
      <c r="CX39" s="32">
        <v>8661973.51</v>
      </c>
      <c r="CY39" s="32">
        <v>9356624.89</v>
      </c>
      <c r="CZ39" s="32">
        <v>8823314.1</v>
      </c>
      <c r="DA39" s="32">
        <f>SUM(CO39:CZ39)</f>
        <v>97452343.18</v>
      </c>
      <c r="DB39" s="32">
        <v>5072554.23</v>
      </c>
      <c r="DC39" s="32">
        <v>6993896.01</v>
      </c>
      <c r="DD39" s="32">
        <v>7782618.91</v>
      </c>
      <c r="DE39" s="32">
        <v>7578016.93</v>
      </c>
      <c r="DF39" s="32">
        <v>0</v>
      </c>
      <c r="DG39" s="32">
        <v>-1440</v>
      </c>
      <c r="DH39" s="32">
        <v>-720</v>
      </c>
      <c r="DI39" s="32">
        <v>-720</v>
      </c>
      <c r="DJ39" s="32">
        <v>-9300.23</v>
      </c>
      <c r="DK39" s="32">
        <v>-19960.28</v>
      </c>
      <c r="DL39" s="32">
        <v>-720</v>
      </c>
      <c r="DM39" s="32">
        <v>-2804.6</v>
      </c>
      <c r="DN39" s="32">
        <f>SUM(DB39:DM39)</f>
        <v>27391420.969999995</v>
      </c>
      <c r="DO39" s="32">
        <v>-720</v>
      </c>
      <c r="DP39" s="32">
        <v>-720</v>
      </c>
      <c r="DQ39" s="32">
        <v>-4057.14</v>
      </c>
      <c r="DR39" s="32">
        <v>-720</v>
      </c>
      <c r="DS39" s="32">
        <v>-720</v>
      </c>
      <c r="DT39" s="32">
        <v>-720</v>
      </c>
      <c r="DU39" s="32">
        <f>-720-13322.63</f>
        <v>-14042.63</v>
      </c>
      <c r="DV39" s="32">
        <v>-33282.91</v>
      </c>
      <c r="DW39" s="32">
        <v>-14042.6</v>
      </c>
      <c r="DX39" s="32">
        <v>-13322.6</v>
      </c>
      <c r="DY39" s="32">
        <v>-14762.6</v>
      </c>
      <c r="DZ39" s="32">
        <f>-13322.6-2084.72-720</f>
        <v>-16127.32</v>
      </c>
      <c r="EA39" s="32">
        <f>SUM(DO39:DZ39)</f>
        <v>-113237.80000000002</v>
      </c>
      <c r="EB39" s="32">
        <f>-13322.6-720</f>
        <v>-14042.6</v>
      </c>
      <c r="EC39" s="32">
        <v>-14042.6</v>
      </c>
      <c r="ED39" s="32">
        <v>-14042.6</v>
      </c>
      <c r="EE39" s="32">
        <v>-14042.6</v>
      </c>
      <c r="EF39" s="32">
        <v>-16406.05</v>
      </c>
      <c r="EG39" s="32">
        <v>-14042.6</v>
      </c>
      <c r="EH39" s="32">
        <v>-32116.91</v>
      </c>
      <c r="EI39" s="32">
        <v>-14042.6</v>
      </c>
      <c r="EJ39" s="32">
        <v>-14042.6</v>
      </c>
      <c r="EK39" s="32">
        <v>-14042.6</v>
      </c>
      <c r="EL39" s="32">
        <v>-14042.6</v>
      </c>
      <c r="EM39" s="32">
        <v>-14042.6</v>
      </c>
      <c r="EN39" s="32">
        <f>SUM(EB39:EM39)</f>
        <v>-188948.96000000002</v>
      </c>
      <c r="EO39" s="32">
        <v>-14042.6</v>
      </c>
      <c r="EP39" s="32">
        <v>-14042.6</v>
      </c>
      <c r="EQ39" s="32">
        <v>-14042.6</v>
      </c>
      <c r="ER39" s="32">
        <v>-14042.6</v>
      </c>
      <c r="ES39" s="32">
        <v>-14042.6</v>
      </c>
      <c r="ET39" s="32">
        <v>-14042.6</v>
      </c>
      <c r="EU39" s="32">
        <v>-720</v>
      </c>
      <c r="EV39" s="32">
        <f>-81159.06-720</f>
        <v>-81879.06</v>
      </c>
      <c r="EW39" s="32">
        <v>-720</v>
      </c>
      <c r="EX39" s="32">
        <f>-2224.6-720</f>
        <v>-2944.6</v>
      </c>
      <c r="EY39" s="32">
        <f>-2264.34-720</f>
        <v>-2984.34</v>
      </c>
      <c r="EZ39" s="102">
        <f>-2244.47-720</f>
        <v>-2964.47</v>
      </c>
      <c r="FA39" s="32">
        <f>SUM(EO39:EZ39)</f>
        <v>-176468.07</v>
      </c>
      <c r="FB39" s="32">
        <f>-2244.47-720</f>
        <v>-2964.47</v>
      </c>
      <c r="FC39" s="32">
        <f>-2244.47-720</f>
        <v>-2964.47</v>
      </c>
      <c r="FD39" s="32">
        <v>-2964.47</v>
      </c>
      <c r="FE39" s="32">
        <v>-684.16</v>
      </c>
      <c r="FF39" s="32">
        <v>-2492.26</v>
      </c>
      <c r="FG39" s="32">
        <v>-1246.13</v>
      </c>
      <c r="FH39" s="32">
        <v>-1246.13</v>
      </c>
      <c r="FI39" s="32">
        <v>-1246.13</v>
      </c>
      <c r="FJ39" s="32">
        <v>-1246.13</v>
      </c>
      <c r="FK39" s="32">
        <v>-1246.13</v>
      </c>
      <c r="FL39" s="32">
        <v>-1246.13</v>
      </c>
      <c r="FM39" s="32">
        <v>0</v>
      </c>
      <c r="FN39" s="32">
        <f>SUM(FB39:FM39)</f>
        <v>-19546.610000000004</v>
      </c>
      <c r="FO39" s="32">
        <v>-498.45</v>
      </c>
      <c r="FP39" s="32">
        <v>-498.45</v>
      </c>
      <c r="FQ39" s="32">
        <v>0</v>
      </c>
      <c r="FR39" s="32">
        <v>-996.9</v>
      </c>
      <c r="FS39" s="32"/>
      <c r="FT39" s="32"/>
      <c r="FU39" s="32"/>
      <c r="FV39" s="32"/>
      <c r="FW39" s="32"/>
      <c r="FX39" s="32"/>
      <c r="FY39" s="32"/>
      <c r="FZ39" s="32"/>
      <c r="GA39" s="32">
        <f>SUM(FO39:FZ39)</f>
        <v>-1993.8</v>
      </c>
      <c r="GB39" s="106">
        <f>N39+AA39+AN39+BA39+BN39+CA39+DA39+CN39+DN39+EA39+EN39+FA39+FN39+GA39</f>
        <v>624037719.18</v>
      </c>
      <c r="GC39" s="59"/>
      <c r="GE39" s="59"/>
    </row>
    <row r="40" spans="1:184" s="23" customFormat="1" ht="14.25" customHeight="1" hidden="1" outlineLevel="1">
      <c r="A40" s="142"/>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c r="DX40" s="143"/>
      <c r="DY40" s="143"/>
      <c r="DZ40" s="143"/>
      <c r="EA40" s="143"/>
      <c r="EB40" s="143"/>
      <c r="EC40" s="143"/>
      <c r="ED40" s="143"/>
      <c r="EE40" s="143"/>
      <c r="EF40" s="143"/>
      <c r="EG40" s="143"/>
      <c r="EH40" s="143"/>
      <c r="EI40" s="143"/>
      <c r="EJ40" s="143"/>
      <c r="EK40" s="143"/>
      <c r="EL40" s="143"/>
      <c r="EM40" s="143"/>
      <c r="EN40" s="143"/>
      <c r="EO40" s="143"/>
      <c r="EP40" s="143"/>
      <c r="EQ40" s="143"/>
      <c r="ER40" s="143"/>
      <c r="ES40" s="143"/>
      <c r="ET40" s="143"/>
      <c r="EU40" s="143"/>
      <c r="EV40" s="143"/>
      <c r="EW40" s="143"/>
      <c r="EX40" s="143"/>
      <c r="EY40" s="143"/>
      <c r="EZ40" s="143"/>
      <c r="FA40" s="143"/>
      <c r="FB40" s="143"/>
      <c r="FC40" s="143"/>
      <c r="FD40" s="143"/>
      <c r="FE40" s="143"/>
      <c r="FF40" s="143"/>
      <c r="FG40" s="143"/>
      <c r="FH40" s="143"/>
      <c r="FI40" s="143"/>
      <c r="FJ40" s="143"/>
      <c r="FK40" s="143"/>
      <c r="FL40" s="143"/>
      <c r="FM40" s="143"/>
      <c r="FN40" s="143"/>
      <c r="FO40" s="143"/>
      <c r="FP40" s="143"/>
      <c r="FQ40" s="143"/>
      <c r="FR40" s="143"/>
      <c r="FS40" s="143"/>
      <c r="FT40" s="143"/>
      <c r="FU40" s="143"/>
      <c r="FV40" s="143"/>
      <c r="FW40" s="143"/>
      <c r="FX40" s="143"/>
      <c r="FY40" s="143"/>
      <c r="FZ40" s="143"/>
      <c r="GA40" s="143"/>
      <c r="GB40" s="144"/>
    </row>
    <row r="41" spans="1:184" s="23" customFormat="1" ht="24" customHeight="1" hidden="1" outlineLevel="1" thickBot="1">
      <c r="A41" s="30" t="s">
        <v>49</v>
      </c>
      <c r="B41" s="32"/>
      <c r="C41" s="32"/>
      <c r="D41" s="32"/>
      <c r="E41" s="32"/>
      <c r="F41" s="32"/>
      <c r="G41" s="32"/>
      <c r="H41" s="32"/>
      <c r="I41" s="32"/>
      <c r="J41" s="32"/>
      <c r="K41" s="32"/>
      <c r="L41" s="32">
        <v>0</v>
      </c>
      <c r="M41" s="32">
        <v>0</v>
      </c>
      <c r="N41" s="32">
        <f>SUM(B41:M41)</f>
        <v>0</v>
      </c>
      <c r="O41" s="32">
        <v>0</v>
      </c>
      <c r="P41" s="32">
        <v>0</v>
      </c>
      <c r="Q41" s="32">
        <v>184305.31</v>
      </c>
      <c r="R41" s="32">
        <v>29748.46</v>
      </c>
      <c r="S41" s="32">
        <v>35023.1</v>
      </c>
      <c r="T41" s="32">
        <v>643.1</v>
      </c>
      <c r="U41" s="32">
        <v>147.88</v>
      </c>
      <c r="V41" s="32">
        <v>19236.29</v>
      </c>
      <c r="W41" s="32">
        <v>101682.88</v>
      </c>
      <c r="X41" s="32">
        <v>33878.68</v>
      </c>
      <c r="Y41" s="32">
        <v>160004.98</v>
      </c>
      <c r="Z41" s="32">
        <v>58895.1</v>
      </c>
      <c r="AA41" s="32">
        <f>SUM(O41:Z41)</f>
        <v>623565.78</v>
      </c>
      <c r="AB41" s="32">
        <v>461.66</v>
      </c>
      <c r="AC41" s="32">
        <v>72316.06</v>
      </c>
      <c r="AD41" s="32">
        <v>113640.29</v>
      </c>
      <c r="AE41" s="32">
        <v>4834.65</v>
      </c>
      <c r="AF41" s="32">
        <v>46944.55</v>
      </c>
      <c r="AG41" s="32">
        <v>196345.57</v>
      </c>
      <c r="AH41" s="32">
        <v>68505.73</v>
      </c>
      <c r="AI41" s="32">
        <v>164414.16</v>
      </c>
      <c r="AJ41" s="32">
        <v>65018.25</v>
      </c>
      <c r="AK41" s="32">
        <v>4498.58</v>
      </c>
      <c r="AL41" s="32">
        <v>28245.5</v>
      </c>
      <c r="AM41" s="32">
        <v>184527.22</v>
      </c>
      <c r="AN41" s="32">
        <f>SUM(AB41:AM41)</f>
        <v>949752.22</v>
      </c>
      <c r="AO41" s="32">
        <v>4514.27</v>
      </c>
      <c r="AP41" s="32">
        <v>83825.99</v>
      </c>
      <c r="AQ41" s="32">
        <v>235848.66</v>
      </c>
      <c r="AR41" s="32">
        <v>5672.52</v>
      </c>
      <c r="AS41" s="32">
        <v>69553.71</v>
      </c>
      <c r="AT41" s="32">
        <v>152826.61</v>
      </c>
      <c r="AU41" s="32">
        <v>2335.88</v>
      </c>
      <c r="AV41" s="32">
        <v>89248.66</v>
      </c>
      <c r="AW41" s="32">
        <v>153068.03</v>
      </c>
      <c r="AX41" s="32">
        <v>28862.22</v>
      </c>
      <c r="AY41" s="32">
        <v>49683.31</v>
      </c>
      <c r="AZ41" s="32">
        <v>236041.03</v>
      </c>
      <c r="BA41" s="32">
        <f>SUM(AO41:AZ41)</f>
        <v>1111480.8900000001</v>
      </c>
      <c r="BB41" s="32">
        <v>0</v>
      </c>
      <c r="BC41" s="32">
        <v>179956.23</v>
      </c>
      <c r="BD41" s="32">
        <v>423958.21</v>
      </c>
      <c r="BE41" s="32">
        <v>14837.83</v>
      </c>
      <c r="BF41" s="32">
        <v>85320.85</v>
      </c>
      <c r="BG41" s="32">
        <v>120096.21</v>
      </c>
      <c r="BH41" s="32">
        <v>44376.11</v>
      </c>
      <c r="BI41" s="32">
        <v>117848.5</v>
      </c>
      <c r="BJ41" s="32">
        <v>110802.01</v>
      </c>
      <c r="BK41" s="32">
        <v>59374.72</v>
      </c>
      <c r="BL41" s="32">
        <v>45400.53</v>
      </c>
      <c r="BM41" s="32">
        <v>190805.41</v>
      </c>
      <c r="BN41" s="32">
        <f>SUM(BB41:BM41)</f>
        <v>1392776.6099999999</v>
      </c>
      <c r="BO41" s="32">
        <v>4244.38</v>
      </c>
      <c r="BP41" s="32">
        <v>115761.83</v>
      </c>
      <c r="BQ41" s="32">
        <v>479816.17</v>
      </c>
      <c r="BR41" s="32">
        <v>0</v>
      </c>
      <c r="BS41" s="32">
        <v>135065.69</v>
      </c>
      <c r="BT41" s="32">
        <v>240538.15</v>
      </c>
      <c r="BU41" s="32">
        <v>5899.02</v>
      </c>
      <c r="BV41" s="32">
        <v>155590.51</v>
      </c>
      <c r="BW41" s="32">
        <v>94385.5</v>
      </c>
      <c r="BX41" s="32">
        <v>139380.67</v>
      </c>
      <c r="BY41" s="32">
        <v>56986.74</v>
      </c>
      <c r="BZ41" s="32">
        <v>274912.09</v>
      </c>
      <c r="CA41" s="32">
        <f>SUM(BO41:BZ41)</f>
        <v>1702580.75</v>
      </c>
      <c r="CB41" s="32">
        <v>0</v>
      </c>
      <c r="CC41" s="32">
        <v>169849.74</v>
      </c>
      <c r="CD41" s="32">
        <v>684765.53</v>
      </c>
      <c r="CE41" s="32">
        <v>127895.29</v>
      </c>
      <c r="CF41" s="32">
        <v>49633.17</v>
      </c>
      <c r="CG41" s="32">
        <v>295210.96</v>
      </c>
      <c r="CH41" s="32"/>
      <c r="CI41" s="32">
        <v>128333.33</v>
      </c>
      <c r="CJ41" s="32">
        <v>361974.43</v>
      </c>
      <c r="CK41" s="32">
        <v>77736.69</v>
      </c>
      <c r="CL41" s="32">
        <v>47671.04</v>
      </c>
      <c r="CM41" s="32">
        <v>658118.71</v>
      </c>
      <c r="CN41" s="32">
        <f>SUM(CB41:CM41)</f>
        <v>2601188.89</v>
      </c>
      <c r="CO41" s="32">
        <v>8876.03</v>
      </c>
      <c r="CP41" s="32">
        <v>86220.18</v>
      </c>
      <c r="CQ41" s="32">
        <v>446341.05</v>
      </c>
      <c r="CR41" s="32">
        <v>76345.78</v>
      </c>
      <c r="CS41" s="32">
        <v>69465.42</v>
      </c>
      <c r="CT41" s="32">
        <v>466118.51</v>
      </c>
      <c r="CU41" s="32">
        <v>6619.56</v>
      </c>
      <c r="CV41" s="32">
        <v>284146.09</v>
      </c>
      <c r="CW41" s="32">
        <v>155946.34</v>
      </c>
      <c r="CX41" s="32">
        <v>47319.37</v>
      </c>
      <c r="CY41" s="32">
        <v>151496.64</v>
      </c>
      <c r="CZ41" s="32">
        <v>471950.77</v>
      </c>
      <c r="DA41" s="32">
        <f>SUM(CO41:CZ41)</f>
        <v>2270845.7400000007</v>
      </c>
      <c r="DB41" s="32">
        <v>76974.57</v>
      </c>
      <c r="DC41" s="32">
        <v>33487.88</v>
      </c>
      <c r="DD41" s="32">
        <v>763957.72</v>
      </c>
      <c r="DE41" s="32">
        <v>0</v>
      </c>
      <c r="DF41" s="32">
        <v>0</v>
      </c>
      <c r="DG41" s="32">
        <v>0</v>
      </c>
      <c r="DH41" s="32">
        <v>0</v>
      </c>
      <c r="DI41" s="32">
        <v>0</v>
      </c>
      <c r="DJ41" s="32">
        <v>-504.29</v>
      </c>
      <c r="DK41" s="32">
        <v>0</v>
      </c>
      <c r="DL41" s="32">
        <v>0</v>
      </c>
      <c r="DM41" s="32">
        <v>0</v>
      </c>
      <c r="DN41" s="32">
        <f>SUM(DB41:DM41)</f>
        <v>873915.8799999999</v>
      </c>
      <c r="DO41" s="32">
        <v>0</v>
      </c>
      <c r="DP41" s="32">
        <v>0</v>
      </c>
      <c r="DQ41" s="32">
        <v>0</v>
      </c>
      <c r="DR41" s="32">
        <v>0</v>
      </c>
      <c r="DS41" s="32">
        <v>0</v>
      </c>
      <c r="DT41" s="32">
        <v>0</v>
      </c>
      <c r="DU41" s="32">
        <v>0</v>
      </c>
      <c r="DV41" s="32">
        <v>0</v>
      </c>
      <c r="DW41" s="32">
        <v>0</v>
      </c>
      <c r="DX41" s="32">
        <v>0</v>
      </c>
      <c r="DY41" s="32">
        <v>0</v>
      </c>
      <c r="DZ41" s="32">
        <v>0</v>
      </c>
      <c r="EA41" s="32">
        <f>SUM(DO41:DZ41)</f>
        <v>0</v>
      </c>
      <c r="EB41" s="32">
        <v>0</v>
      </c>
      <c r="EC41" s="32">
        <v>0</v>
      </c>
      <c r="ED41" s="32">
        <v>0</v>
      </c>
      <c r="EE41" s="32">
        <v>0</v>
      </c>
      <c r="EF41" s="32">
        <v>0</v>
      </c>
      <c r="EG41" s="32">
        <v>0</v>
      </c>
      <c r="EH41" s="32">
        <v>0</v>
      </c>
      <c r="EI41" s="32">
        <v>0</v>
      </c>
      <c r="EJ41" s="32">
        <v>0</v>
      </c>
      <c r="EK41" s="32">
        <v>0</v>
      </c>
      <c r="EL41" s="32">
        <v>0</v>
      </c>
      <c r="EM41" s="32">
        <v>0</v>
      </c>
      <c r="EN41" s="32">
        <f>SUM(EB41:EM41)</f>
        <v>0</v>
      </c>
      <c r="EO41" s="32">
        <v>0</v>
      </c>
      <c r="EP41" s="32">
        <v>0</v>
      </c>
      <c r="EQ41" s="32">
        <v>0</v>
      </c>
      <c r="ER41" s="32">
        <v>0</v>
      </c>
      <c r="ES41" s="32">
        <v>0</v>
      </c>
      <c r="ET41" s="32">
        <v>0</v>
      </c>
      <c r="EU41" s="32">
        <v>0</v>
      </c>
      <c r="EV41" s="32">
        <v>0</v>
      </c>
      <c r="EW41" s="32">
        <v>0</v>
      </c>
      <c r="EX41" s="32">
        <v>0</v>
      </c>
      <c r="EY41" s="32">
        <v>0</v>
      </c>
      <c r="EZ41" s="32">
        <v>0</v>
      </c>
      <c r="FA41" s="32">
        <f>SUM(EO41:EZ41)</f>
        <v>0</v>
      </c>
      <c r="FB41" s="32">
        <v>0</v>
      </c>
      <c r="FC41" s="32">
        <v>0</v>
      </c>
      <c r="FD41" s="32">
        <v>0</v>
      </c>
      <c r="FE41" s="32">
        <v>0</v>
      </c>
      <c r="FF41" s="32">
        <v>0</v>
      </c>
      <c r="FG41" s="32">
        <v>0</v>
      </c>
      <c r="FH41" s="32">
        <v>0</v>
      </c>
      <c r="FI41" s="32">
        <v>0</v>
      </c>
      <c r="FJ41" s="32"/>
      <c r="FK41" s="32">
        <v>0</v>
      </c>
      <c r="FL41" s="32">
        <v>0</v>
      </c>
      <c r="FM41" s="32">
        <v>0</v>
      </c>
      <c r="FN41" s="32">
        <f>SUM(FB41:FM41)</f>
        <v>0</v>
      </c>
      <c r="FO41" s="32">
        <v>0</v>
      </c>
      <c r="FP41" s="32">
        <v>0</v>
      </c>
      <c r="FQ41" s="32">
        <v>0</v>
      </c>
      <c r="FR41" s="32"/>
      <c r="FS41" s="32"/>
      <c r="FT41" s="32"/>
      <c r="FU41" s="32"/>
      <c r="FV41" s="32"/>
      <c r="FW41" s="32"/>
      <c r="FX41" s="32"/>
      <c r="FY41" s="32"/>
      <c r="FZ41" s="32"/>
      <c r="GA41" s="32">
        <f>SUM(FO41:FZ41)</f>
        <v>0</v>
      </c>
      <c r="GB41" s="106">
        <f>N41+AA41+AN41+BA41+BN41+CA41+DA41+CN41+DN41+EA41+EN41+FA41+FN41+GA41</f>
        <v>11526106.760000002</v>
      </c>
    </row>
    <row r="42" spans="1:184" s="23" customFormat="1" ht="13.5" collapsed="1" thickBot="1">
      <c r="A42" s="39" t="s">
        <v>50</v>
      </c>
      <c r="B42" s="40">
        <f>B37+B39+B41</f>
        <v>0</v>
      </c>
      <c r="C42" s="40">
        <f aca="true" t="shared" si="31" ref="C42:M42">C37+C39+C41</f>
        <v>0</v>
      </c>
      <c r="D42" s="40">
        <f t="shared" si="31"/>
        <v>0</v>
      </c>
      <c r="E42" s="40">
        <f t="shared" si="31"/>
        <v>0</v>
      </c>
      <c r="F42" s="40">
        <f t="shared" si="31"/>
        <v>0</v>
      </c>
      <c r="G42" s="40">
        <f t="shared" si="31"/>
        <v>0</v>
      </c>
      <c r="H42" s="40">
        <f t="shared" si="31"/>
        <v>0</v>
      </c>
      <c r="I42" s="40">
        <f t="shared" si="31"/>
        <v>0</v>
      </c>
      <c r="J42" s="40">
        <f t="shared" si="31"/>
        <v>0</v>
      </c>
      <c r="K42" s="40">
        <f t="shared" si="31"/>
        <v>0</v>
      </c>
      <c r="L42" s="40">
        <f t="shared" si="31"/>
        <v>0</v>
      </c>
      <c r="M42" s="40">
        <f t="shared" si="31"/>
        <v>0</v>
      </c>
      <c r="N42" s="40">
        <f>N37+N39+N41</f>
        <v>0</v>
      </c>
      <c r="O42" s="40">
        <f>O37+O39+O41</f>
        <v>0</v>
      </c>
      <c r="P42" s="40">
        <f>P37+P39+P41</f>
        <v>0</v>
      </c>
      <c r="Q42" s="40">
        <f>Q37+Q39+Q41</f>
        <v>8629759.290000001</v>
      </c>
      <c r="R42" s="40">
        <f aca="true" t="shared" si="32" ref="R42:AT42">R37+R39+R41</f>
        <v>1932653.43</v>
      </c>
      <c r="S42" s="40">
        <f>S37+S39+S41</f>
        <v>6444546.6</v>
      </c>
      <c r="T42" s="40">
        <f t="shared" si="32"/>
        <v>3768791.85</v>
      </c>
      <c r="U42" s="40">
        <f t="shared" si="32"/>
        <v>6938669.57</v>
      </c>
      <c r="V42" s="40">
        <f t="shared" si="32"/>
        <v>8433972.709999999</v>
      </c>
      <c r="W42" s="40">
        <f t="shared" si="32"/>
        <v>5987242.25</v>
      </c>
      <c r="X42" s="40">
        <f t="shared" si="32"/>
        <v>9756838.7</v>
      </c>
      <c r="Y42" s="40">
        <f t="shared" si="32"/>
        <v>57142165.269999996</v>
      </c>
      <c r="Z42" s="40">
        <f t="shared" si="32"/>
        <v>24046685.03</v>
      </c>
      <c r="AA42" s="40">
        <f>AA37+AA39+AA41</f>
        <v>133081324.7</v>
      </c>
      <c r="AB42" s="40">
        <f t="shared" si="32"/>
        <v>495438.56999999995</v>
      </c>
      <c r="AC42" s="40">
        <f t="shared" si="32"/>
        <v>3348590.56</v>
      </c>
      <c r="AD42" s="40">
        <f t="shared" si="32"/>
        <v>8393152.139999999</v>
      </c>
      <c r="AE42" s="40">
        <f t="shared" si="32"/>
        <v>6228552.6</v>
      </c>
      <c r="AF42" s="40">
        <f t="shared" si="32"/>
        <v>5872886.72</v>
      </c>
      <c r="AG42" s="40">
        <f t="shared" si="32"/>
        <v>7051151.37</v>
      </c>
      <c r="AH42" s="40">
        <f t="shared" si="32"/>
        <v>7461667.61</v>
      </c>
      <c r="AI42" s="40">
        <f t="shared" si="32"/>
        <v>10055046.46</v>
      </c>
      <c r="AJ42" s="40">
        <f t="shared" si="32"/>
        <v>7881610.709999999</v>
      </c>
      <c r="AK42" s="40">
        <f t="shared" si="32"/>
        <v>8752132.44</v>
      </c>
      <c r="AL42" s="40">
        <f t="shared" si="32"/>
        <v>14273839.879999999</v>
      </c>
      <c r="AM42" s="40">
        <f t="shared" si="32"/>
        <v>17436527.31</v>
      </c>
      <c r="AN42" s="40">
        <f t="shared" si="32"/>
        <v>97250596.37</v>
      </c>
      <c r="AO42" s="40">
        <f>AO37+AO39+AO41</f>
        <v>3147068.13</v>
      </c>
      <c r="AP42" s="40">
        <f t="shared" si="32"/>
        <v>11659247.65</v>
      </c>
      <c r="AQ42" s="40">
        <f>AQ37+AQ39+AQ41</f>
        <v>6437727.25</v>
      </c>
      <c r="AR42" s="40">
        <f>AR37+AR39+AR41</f>
        <v>5119167.239999999</v>
      </c>
      <c r="AS42" s="40">
        <f t="shared" si="32"/>
        <v>7759971.18</v>
      </c>
      <c r="AT42" s="40">
        <f t="shared" si="32"/>
        <v>6724214.04</v>
      </c>
      <c r="AU42" s="40">
        <f aca="true" t="shared" si="33" ref="AU42:BZ42">AU37+AU39+AU41</f>
        <v>8413884.99</v>
      </c>
      <c r="AV42" s="40">
        <f t="shared" si="33"/>
        <v>11406752.96</v>
      </c>
      <c r="AW42" s="40">
        <f t="shared" si="33"/>
        <v>24046133.980000004</v>
      </c>
      <c r="AX42" s="40">
        <f t="shared" si="33"/>
        <v>16002410.99</v>
      </c>
      <c r="AY42" s="40">
        <f t="shared" si="33"/>
        <v>13182815.06</v>
      </c>
      <c r="AZ42" s="40">
        <f t="shared" si="33"/>
        <v>63425449.44</v>
      </c>
      <c r="BA42" s="40">
        <f>BA37+BA39+BA41</f>
        <v>177324842.90999997</v>
      </c>
      <c r="BB42" s="40">
        <f t="shared" si="33"/>
        <v>7495359.5</v>
      </c>
      <c r="BC42" s="40">
        <f t="shared" si="33"/>
        <v>6239927.9</v>
      </c>
      <c r="BD42" s="40">
        <f t="shared" si="33"/>
        <v>8567318.21</v>
      </c>
      <c r="BE42" s="40">
        <f t="shared" si="33"/>
        <v>9348965.51</v>
      </c>
      <c r="BF42" s="40">
        <f t="shared" si="33"/>
        <v>11532590.26</v>
      </c>
      <c r="BG42" s="40">
        <f t="shared" si="33"/>
        <v>9150748.290000001</v>
      </c>
      <c r="BH42" s="40">
        <f t="shared" si="33"/>
        <v>10967032.9</v>
      </c>
      <c r="BI42" s="40">
        <f t="shared" si="33"/>
        <v>10313256.040000001</v>
      </c>
      <c r="BJ42" s="40">
        <f t="shared" si="33"/>
        <v>26376263.35</v>
      </c>
      <c r="BK42" s="40">
        <f t="shared" si="33"/>
        <v>23137870.49</v>
      </c>
      <c r="BL42" s="40">
        <f t="shared" si="33"/>
        <v>15123793.44</v>
      </c>
      <c r="BM42" s="40">
        <f t="shared" si="33"/>
        <v>35064478.94</v>
      </c>
      <c r="BN42" s="40">
        <f t="shared" si="33"/>
        <v>173317604.83</v>
      </c>
      <c r="BO42" s="40">
        <f t="shared" si="33"/>
        <v>2055352.64</v>
      </c>
      <c r="BP42" s="40">
        <f t="shared" si="33"/>
        <v>13714817.67</v>
      </c>
      <c r="BQ42" s="40">
        <f t="shared" si="33"/>
        <v>20023464.520000003</v>
      </c>
      <c r="BR42" s="40">
        <f t="shared" si="33"/>
        <v>17825700.96</v>
      </c>
      <c r="BS42" s="40">
        <f t="shared" si="33"/>
        <v>9726280.129999999</v>
      </c>
      <c r="BT42" s="40">
        <f t="shared" si="33"/>
        <v>38019319.74</v>
      </c>
      <c r="BU42" s="40">
        <f t="shared" si="33"/>
        <v>12402626.5</v>
      </c>
      <c r="BV42" s="40">
        <f t="shared" si="33"/>
        <v>20275123.150000002</v>
      </c>
      <c r="BW42" s="40">
        <f t="shared" si="33"/>
        <v>19406208.700000003</v>
      </c>
      <c r="BX42" s="40">
        <f t="shared" si="33"/>
        <v>14365473.209999999</v>
      </c>
      <c r="BY42" s="40">
        <f>BY37+BY39+BY41</f>
        <v>28593628.349999998</v>
      </c>
      <c r="BZ42" s="40">
        <f t="shared" si="33"/>
        <v>65002930.11000001</v>
      </c>
      <c r="CA42" s="40">
        <f>CA37+CA39+CA41</f>
        <v>261410925.68</v>
      </c>
      <c r="CB42" s="40">
        <f aca="true" t="shared" si="34" ref="CB42:CM42">CB37+CB39+CB41</f>
        <v>11943997.62</v>
      </c>
      <c r="CC42" s="40">
        <f t="shared" si="34"/>
        <v>27147250.79</v>
      </c>
      <c r="CD42" s="40">
        <f t="shared" si="34"/>
        <v>13628210.959999999</v>
      </c>
      <c r="CE42" s="40">
        <f t="shared" si="34"/>
        <v>27108760.02</v>
      </c>
      <c r="CF42" s="40">
        <f t="shared" si="34"/>
        <v>5316531.41</v>
      </c>
      <c r="CG42" s="40">
        <f t="shared" si="34"/>
        <v>9839457.22</v>
      </c>
      <c r="CH42" s="40">
        <f t="shared" si="34"/>
        <v>19119772.38</v>
      </c>
      <c r="CI42" s="40">
        <f t="shared" si="34"/>
        <v>22874301.32</v>
      </c>
      <c r="CJ42" s="40">
        <f t="shared" si="34"/>
        <v>18211536.15</v>
      </c>
      <c r="CK42" s="40">
        <f t="shared" si="34"/>
        <v>33842609.199999996</v>
      </c>
      <c r="CL42" s="40">
        <f t="shared" si="34"/>
        <v>31518302.990000002</v>
      </c>
      <c r="CM42" s="40">
        <f t="shared" si="34"/>
        <v>27467693.29</v>
      </c>
      <c r="CN42" s="40">
        <f aca="true" t="shared" si="35" ref="CN42:DN42">CN37+CN39+CN41</f>
        <v>248018423.34999996</v>
      </c>
      <c r="CO42" s="40">
        <f t="shared" si="35"/>
        <v>13698692.42</v>
      </c>
      <c r="CP42" s="40">
        <f t="shared" si="35"/>
        <v>26060481.830000002</v>
      </c>
      <c r="CQ42" s="40">
        <f t="shared" si="35"/>
        <v>39439685.61</v>
      </c>
      <c r="CR42" s="40">
        <f>CR37+CR39+CR41</f>
        <v>22245075.95</v>
      </c>
      <c r="CS42" s="40">
        <f t="shared" si="35"/>
        <v>20839833.6</v>
      </c>
      <c r="CT42" s="40">
        <f>CT37+CT39+CT41</f>
        <v>14920900.089999998</v>
      </c>
      <c r="CU42" s="40">
        <f t="shared" si="35"/>
        <v>19370790.08</v>
      </c>
      <c r="CV42" s="40">
        <f t="shared" si="35"/>
        <v>16878340.09</v>
      </c>
      <c r="CW42" s="40">
        <f t="shared" si="35"/>
        <v>40068591.85</v>
      </c>
      <c r="CX42" s="40">
        <f t="shared" si="35"/>
        <v>21388501.57</v>
      </c>
      <c r="CY42" s="40">
        <f t="shared" si="35"/>
        <v>25081341.69</v>
      </c>
      <c r="CZ42" s="40">
        <f t="shared" si="35"/>
        <v>24480739.330000002</v>
      </c>
      <c r="DA42" s="40">
        <f>DA37+DA39+DA41</f>
        <v>284472974.11</v>
      </c>
      <c r="DB42" s="40">
        <f>DB37+DB39+DB41</f>
        <v>28529155.67</v>
      </c>
      <c r="DC42" s="40">
        <f t="shared" si="35"/>
        <v>35971242.900000006</v>
      </c>
      <c r="DD42" s="40">
        <f t="shared" si="35"/>
        <v>20747905.54</v>
      </c>
      <c r="DE42" s="40">
        <f t="shared" si="35"/>
        <v>40066394.01</v>
      </c>
      <c r="DF42" s="40">
        <f>DF37+DF39+DF41</f>
        <v>0</v>
      </c>
      <c r="DG42" s="40">
        <f t="shared" si="35"/>
        <v>-1440</v>
      </c>
      <c r="DH42" s="40">
        <f>DH37+DH39+DH41</f>
        <v>-720</v>
      </c>
      <c r="DI42" s="40">
        <f t="shared" si="35"/>
        <v>-720</v>
      </c>
      <c r="DJ42" s="40">
        <f t="shared" si="35"/>
        <v>-5835096.32</v>
      </c>
      <c r="DK42" s="40">
        <f t="shared" si="35"/>
        <v>-19960.28</v>
      </c>
      <c r="DL42" s="40">
        <f t="shared" si="35"/>
        <v>-720</v>
      </c>
      <c r="DM42" s="40">
        <f t="shared" si="35"/>
        <v>-2804.6</v>
      </c>
      <c r="DN42" s="40">
        <f t="shared" si="35"/>
        <v>119453236.92</v>
      </c>
      <c r="DO42" s="40">
        <f aca="true" t="shared" si="36" ref="DO42:DU42">DO37+DO39+DO41</f>
        <v>-720</v>
      </c>
      <c r="DP42" s="40">
        <f t="shared" si="36"/>
        <v>-720</v>
      </c>
      <c r="DQ42" s="40">
        <f t="shared" si="36"/>
        <v>-130798.93</v>
      </c>
      <c r="DR42" s="40">
        <f t="shared" si="36"/>
        <v>-720</v>
      </c>
      <c r="DS42" s="40">
        <f t="shared" si="36"/>
        <v>-720</v>
      </c>
      <c r="DT42" s="40">
        <f t="shared" si="36"/>
        <v>-720</v>
      </c>
      <c r="DU42" s="40">
        <f t="shared" si="36"/>
        <v>-14042.63</v>
      </c>
      <c r="DV42" s="40">
        <f aca="true" t="shared" si="37" ref="DV42:EH42">DV37+DV39+DV41</f>
        <v>-33282.91</v>
      </c>
      <c r="DW42" s="40">
        <f t="shared" si="37"/>
        <v>-14042.6</v>
      </c>
      <c r="DX42" s="40">
        <f t="shared" si="37"/>
        <v>-13322.6</v>
      </c>
      <c r="DY42" s="40">
        <f t="shared" si="37"/>
        <v>-14762.6</v>
      </c>
      <c r="DZ42" s="40">
        <f t="shared" si="37"/>
        <v>-16127.32</v>
      </c>
      <c r="EA42" s="40">
        <f t="shared" si="37"/>
        <v>-239979.59000000003</v>
      </c>
      <c r="EB42" s="40">
        <f t="shared" si="37"/>
        <v>-14042.6</v>
      </c>
      <c r="EC42" s="40">
        <f t="shared" si="37"/>
        <v>-14042.6</v>
      </c>
      <c r="ED42" s="40">
        <f t="shared" si="37"/>
        <v>-14042.6</v>
      </c>
      <c r="EE42" s="40">
        <f t="shared" si="37"/>
        <v>-14042.6</v>
      </c>
      <c r="EF42" s="40">
        <f t="shared" si="37"/>
        <v>-16406.05</v>
      </c>
      <c r="EG42" s="40">
        <f t="shared" si="37"/>
        <v>-14042.6</v>
      </c>
      <c r="EH42" s="40">
        <f t="shared" si="37"/>
        <v>-32116.91</v>
      </c>
      <c r="EI42" s="40">
        <f aca="true" t="shared" si="38" ref="EI42:EU42">EI37+EI39+EI41</f>
        <v>-14042.6</v>
      </c>
      <c r="EJ42" s="40">
        <f t="shared" si="38"/>
        <v>-14042.6</v>
      </c>
      <c r="EK42" s="40">
        <f t="shared" si="38"/>
        <v>-14042.6</v>
      </c>
      <c r="EL42" s="40">
        <f t="shared" si="38"/>
        <v>-14042.6</v>
      </c>
      <c r="EM42" s="40">
        <f t="shared" si="38"/>
        <v>-14042.6</v>
      </c>
      <c r="EN42" s="40">
        <f t="shared" si="38"/>
        <v>-188948.96000000002</v>
      </c>
      <c r="EO42" s="40">
        <f t="shared" si="38"/>
        <v>-14042.6</v>
      </c>
      <c r="EP42" s="40">
        <f t="shared" si="38"/>
        <v>-14042.6</v>
      </c>
      <c r="EQ42" s="40">
        <f t="shared" si="38"/>
        <v>-14042.6</v>
      </c>
      <c r="ER42" s="40">
        <f t="shared" si="38"/>
        <v>-14042.6</v>
      </c>
      <c r="ES42" s="40">
        <f t="shared" si="38"/>
        <v>-14042.6</v>
      </c>
      <c r="ET42" s="40">
        <f t="shared" si="38"/>
        <v>-14042.6</v>
      </c>
      <c r="EU42" s="40">
        <f t="shared" si="38"/>
        <v>-720</v>
      </c>
      <c r="EV42" s="40">
        <f aca="true" t="shared" si="39" ref="EV42:FA42">EV37+EV39+EV41</f>
        <v>-81879.06</v>
      </c>
      <c r="EW42" s="40">
        <f t="shared" si="39"/>
        <v>-720</v>
      </c>
      <c r="EX42" s="40">
        <f t="shared" si="39"/>
        <v>-2944.6</v>
      </c>
      <c r="EY42" s="40">
        <f t="shared" si="39"/>
        <v>-2984.34</v>
      </c>
      <c r="EZ42" s="40">
        <f t="shared" si="39"/>
        <v>-2964.47</v>
      </c>
      <c r="FA42" s="40">
        <f t="shared" si="39"/>
        <v>-176468.07</v>
      </c>
      <c r="FB42" s="37">
        <f>FB33+FB35+FB37+FB39+FB41</f>
        <v>-110149.34</v>
      </c>
      <c r="FC42" s="37">
        <f>FC33+FC35+FC37+FC39+FC41</f>
        <v>-2964.47</v>
      </c>
      <c r="FD42" s="37">
        <f aca="true" t="shared" si="40" ref="FD42:FM42">FD33+FD35+FD37+FD39+FD41</f>
        <v>-2964.47</v>
      </c>
      <c r="FE42" s="37">
        <f t="shared" si="40"/>
        <v>-684.16</v>
      </c>
      <c r="FF42" s="37">
        <f t="shared" si="40"/>
        <v>-2492.26</v>
      </c>
      <c r="FG42" s="37">
        <f t="shared" si="40"/>
        <v>-1246.13</v>
      </c>
      <c r="FH42" s="37">
        <f t="shared" si="40"/>
        <v>-1246.13</v>
      </c>
      <c r="FI42" s="37">
        <f t="shared" si="40"/>
        <v>-1246.13</v>
      </c>
      <c r="FJ42" s="37">
        <f t="shared" si="40"/>
        <v>-1246.13</v>
      </c>
      <c r="FK42" s="37">
        <f t="shared" si="40"/>
        <v>-1246.13</v>
      </c>
      <c r="FL42" s="37">
        <f t="shared" si="40"/>
        <v>-1246.13</v>
      </c>
      <c r="FM42" s="37">
        <f t="shared" si="40"/>
        <v>0</v>
      </c>
      <c r="FN42" s="40">
        <f>FN37+FN39+FN41</f>
        <v>-126731.48</v>
      </c>
      <c r="FO42" s="40">
        <f>FO37+FO39+FO41</f>
        <v>-498.45</v>
      </c>
      <c r="FP42" s="40">
        <f aca="true" t="shared" si="41" ref="FP42:FZ42">FP37+FP39+FP41</f>
        <v>-498.45</v>
      </c>
      <c r="FQ42" s="40">
        <f t="shared" si="41"/>
        <v>0</v>
      </c>
      <c r="FR42" s="40">
        <f t="shared" si="41"/>
        <v>-996.9</v>
      </c>
      <c r="FS42" s="40">
        <f t="shared" si="41"/>
        <v>0</v>
      </c>
      <c r="FT42" s="40">
        <f t="shared" si="41"/>
        <v>0</v>
      </c>
      <c r="FU42" s="40">
        <f t="shared" si="41"/>
        <v>0</v>
      </c>
      <c r="FV42" s="40">
        <f t="shared" si="41"/>
        <v>0</v>
      </c>
      <c r="FW42" s="40">
        <f t="shared" si="41"/>
        <v>0</v>
      </c>
      <c r="FX42" s="40">
        <f t="shared" si="41"/>
        <v>0</v>
      </c>
      <c r="FY42" s="40">
        <f t="shared" si="41"/>
        <v>0</v>
      </c>
      <c r="FZ42" s="40">
        <f t="shared" si="41"/>
        <v>0</v>
      </c>
      <c r="GA42" s="40">
        <f>GA37+GA39+GA41</f>
        <v>-1993.8</v>
      </c>
      <c r="GB42" s="40">
        <f>GB37+GB39+GB41</f>
        <v>1493595806.97</v>
      </c>
    </row>
    <row r="43" spans="1:184" s="23" customFormat="1" ht="27" customHeight="1" thickBot="1">
      <c r="A43" s="41" t="s">
        <v>51</v>
      </c>
      <c r="B43" s="42"/>
      <c r="C43" s="42"/>
      <c r="D43" s="42"/>
      <c r="E43" s="42"/>
      <c r="F43" s="42"/>
      <c r="G43" s="42"/>
      <c r="H43" s="42"/>
      <c r="I43" s="42"/>
      <c r="J43" s="42"/>
      <c r="K43" s="42"/>
      <c r="L43" s="42"/>
      <c r="M43" s="42"/>
      <c r="N43" s="42">
        <f>SUM(N16,N25,N36,N42)</f>
        <v>84127070.36999999</v>
      </c>
      <c r="O43" s="45">
        <f aca="true" t="shared" si="42" ref="O43:U43">O16+O25+O36+O42</f>
        <v>445237.17000000004</v>
      </c>
      <c r="P43" s="45">
        <f t="shared" si="42"/>
        <v>1382944.98</v>
      </c>
      <c r="Q43" s="45">
        <f t="shared" si="42"/>
        <v>14721618.740000002</v>
      </c>
      <c r="R43" s="42">
        <f t="shared" si="42"/>
        <v>3465589.11</v>
      </c>
      <c r="S43" s="42">
        <f t="shared" si="42"/>
        <v>43386484.5</v>
      </c>
      <c r="T43" s="42">
        <f t="shared" si="42"/>
        <v>65574897.04000001</v>
      </c>
      <c r="U43" s="42">
        <f t="shared" si="42"/>
        <v>9272100.71</v>
      </c>
      <c r="V43" s="42"/>
      <c r="W43" s="42"/>
      <c r="X43" s="42"/>
      <c r="Y43" s="42"/>
      <c r="Z43" s="42"/>
      <c r="AA43" s="42">
        <f>SUM(AA16,AA25,AA36,AA42)</f>
        <v>399720059.19</v>
      </c>
      <c r="AB43" s="42">
        <f aca="true" t="shared" si="43" ref="AB43:BF43">SUM(AB16,AB25,AB36,AB42)</f>
        <v>3600127.7399999998</v>
      </c>
      <c r="AC43" s="42">
        <f t="shared" si="43"/>
        <v>25721747.7</v>
      </c>
      <c r="AD43" s="42">
        <f t="shared" si="43"/>
        <v>23550954.36</v>
      </c>
      <c r="AE43" s="42">
        <f t="shared" si="43"/>
        <v>22755289.909999996</v>
      </c>
      <c r="AF43" s="42">
        <f t="shared" si="43"/>
        <v>25111877.15</v>
      </c>
      <c r="AG43" s="42">
        <f t="shared" si="43"/>
        <v>37057948.92</v>
      </c>
      <c r="AH43" s="42">
        <f t="shared" si="43"/>
        <v>30729406.87</v>
      </c>
      <c r="AI43" s="42">
        <f t="shared" si="43"/>
        <v>35393764.5</v>
      </c>
      <c r="AJ43" s="42">
        <f t="shared" si="43"/>
        <v>21644218.75</v>
      </c>
      <c r="AK43" s="42">
        <f t="shared" si="43"/>
        <v>41516959.97</v>
      </c>
      <c r="AL43" s="42">
        <f t="shared" si="43"/>
        <v>34689159.65</v>
      </c>
      <c r="AM43" s="42">
        <f t="shared" si="43"/>
        <v>76269761.37</v>
      </c>
      <c r="AN43" s="42">
        <f>SUM(AN16,AN25,AN36,AN42)</f>
        <v>378041216.89</v>
      </c>
      <c r="AO43" s="42">
        <f t="shared" si="43"/>
        <v>15881719.029999997</v>
      </c>
      <c r="AP43" s="42">
        <f>SUM(AP16,AP25,AP36,AP42)</f>
        <v>36934444.48</v>
      </c>
      <c r="AQ43" s="42">
        <f>SUM(AQ16,AQ25,AQ36,AQ42)</f>
        <v>36995970.849999994</v>
      </c>
      <c r="AR43" s="42">
        <f>SUM(AR16,AR25,AR36,AR42)</f>
        <v>26145025.56</v>
      </c>
      <c r="AS43" s="42">
        <f t="shared" si="43"/>
        <v>44863393.699999996</v>
      </c>
      <c r="AT43" s="42">
        <f t="shared" si="43"/>
        <v>43546786.029999994</v>
      </c>
      <c r="AU43" s="42">
        <f>SUM(AU16,AU25,AU36,AU42)</f>
        <v>58295120.32</v>
      </c>
      <c r="AV43" s="42">
        <f t="shared" si="43"/>
        <v>54859328.12</v>
      </c>
      <c r="AW43" s="42">
        <f t="shared" si="43"/>
        <v>51903666.13</v>
      </c>
      <c r="AX43" s="42">
        <f t="shared" si="43"/>
        <v>77415549.23</v>
      </c>
      <c r="AY43" s="42">
        <f t="shared" si="43"/>
        <v>51523306.440000005</v>
      </c>
      <c r="AZ43" s="42">
        <f t="shared" si="43"/>
        <v>150956081.63</v>
      </c>
      <c r="BA43" s="42">
        <f>SUM(BA16,BA25,BA36,BA42)</f>
        <v>649320391.52</v>
      </c>
      <c r="BB43" s="42">
        <f t="shared" si="43"/>
        <v>1050550.870000001</v>
      </c>
      <c r="BC43" s="42">
        <f t="shared" si="43"/>
        <v>32291615.630000003</v>
      </c>
      <c r="BD43" s="42">
        <f t="shared" si="43"/>
        <v>34648597.96</v>
      </c>
      <c r="BE43" s="42">
        <f t="shared" si="43"/>
        <v>56777823.65</v>
      </c>
      <c r="BF43" s="42">
        <f t="shared" si="43"/>
        <v>52243084.28</v>
      </c>
      <c r="BG43" s="42">
        <f aca="true" t="shared" si="44" ref="BG43:BZ43">SUM(BG16,BG25,BG36,BG42)</f>
        <v>40626731.49</v>
      </c>
      <c r="BH43" s="42">
        <f t="shared" si="44"/>
        <v>35277646.79</v>
      </c>
      <c r="BI43" s="42">
        <f t="shared" si="44"/>
        <v>57925113.75000001</v>
      </c>
      <c r="BJ43" s="42">
        <f t="shared" si="44"/>
        <v>59205056.45</v>
      </c>
      <c r="BK43" s="42">
        <f t="shared" si="44"/>
        <v>67695730.39999999</v>
      </c>
      <c r="BL43" s="42">
        <f t="shared" si="44"/>
        <v>57913546.26</v>
      </c>
      <c r="BM43" s="42">
        <f t="shared" si="44"/>
        <v>109585858.16</v>
      </c>
      <c r="BN43" s="42">
        <f t="shared" si="44"/>
        <v>605241355.6899999</v>
      </c>
      <c r="BO43" s="42">
        <f t="shared" si="44"/>
        <v>25435019.32</v>
      </c>
      <c r="BP43" s="42">
        <f t="shared" si="44"/>
        <v>54640131.93000001</v>
      </c>
      <c r="BQ43" s="42">
        <f t="shared" si="44"/>
        <v>50093268.46000001</v>
      </c>
      <c r="BR43" s="42">
        <f t="shared" si="44"/>
        <v>40604894.86</v>
      </c>
      <c r="BS43" s="42">
        <f t="shared" si="44"/>
        <v>61826145.07000001</v>
      </c>
      <c r="BT43" s="42">
        <f t="shared" si="44"/>
        <v>74264046.91</v>
      </c>
      <c r="BU43" s="42">
        <f t="shared" si="44"/>
        <v>48022214.39</v>
      </c>
      <c r="BV43" s="42">
        <f t="shared" si="44"/>
        <v>47400371.14</v>
      </c>
      <c r="BW43" s="42">
        <f t="shared" si="44"/>
        <v>54121103.69</v>
      </c>
      <c r="BX43" s="42">
        <f t="shared" si="44"/>
        <v>38167695.67</v>
      </c>
      <c r="BY43" s="42">
        <f>SUM(BY16,BY25,BY36,BY42)</f>
        <v>67918161.33</v>
      </c>
      <c r="BZ43" s="42">
        <f t="shared" si="44"/>
        <v>123019216.29</v>
      </c>
      <c r="CA43" s="42">
        <f>SUM(CA16,CA25,CA36,CA42)</f>
        <v>685512269.06</v>
      </c>
      <c r="CB43" s="93">
        <f>SUM(CB16,CB25,CB36,CB42)</f>
        <v>21770541.34</v>
      </c>
      <c r="CC43" s="93">
        <f aca="true" t="shared" si="45" ref="CC43:CL43">SUM(CC16,CC25,CC36,CC42)</f>
        <v>62616545.089999996</v>
      </c>
      <c r="CD43" s="93">
        <f t="shared" si="45"/>
        <v>57217574.769999996</v>
      </c>
      <c r="CE43" s="93">
        <f t="shared" si="45"/>
        <v>59663426.14</v>
      </c>
      <c r="CF43" s="93">
        <f t="shared" si="45"/>
        <v>30207366.52</v>
      </c>
      <c r="CG43" s="93">
        <f t="shared" si="45"/>
        <v>52544997.29</v>
      </c>
      <c r="CH43" s="93">
        <f t="shared" si="45"/>
        <v>49371764.129999995</v>
      </c>
      <c r="CI43" s="93">
        <f t="shared" si="45"/>
        <v>63312390.58</v>
      </c>
      <c r="CJ43" s="93">
        <f t="shared" si="45"/>
        <v>61583653.68</v>
      </c>
      <c r="CK43" s="93">
        <f t="shared" si="45"/>
        <v>73026487.69</v>
      </c>
      <c r="CL43" s="93">
        <f t="shared" si="45"/>
        <v>83275438.22</v>
      </c>
      <c r="CM43" s="93">
        <f aca="true" t="shared" si="46" ref="CM43:DM43">SUM(CM16,CM25,CM36,CM42)</f>
        <v>159132707.9</v>
      </c>
      <c r="CN43" s="93">
        <f t="shared" si="46"/>
        <v>773722893.3499999</v>
      </c>
      <c r="CO43" s="93">
        <f t="shared" si="46"/>
        <v>45004282.4</v>
      </c>
      <c r="CP43" s="93">
        <f t="shared" si="46"/>
        <v>57050159.53</v>
      </c>
      <c r="CQ43" s="93">
        <f t="shared" si="46"/>
        <v>79906586.53</v>
      </c>
      <c r="CR43" s="93">
        <f t="shared" si="46"/>
        <v>53587022.84</v>
      </c>
      <c r="CS43" s="93">
        <f t="shared" si="46"/>
        <v>44524065.51</v>
      </c>
      <c r="CT43" s="93">
        <f t="shared" si="46"/>
        <v>52268591.269999996</v>
      </c>
      <c r="CU43" s="93">
        <f t="shared" si="46"/>
        <v>56657290.01</v>
      </c>
      <c r="CV43" s="93">
        <f t="shared" si="46"/>
        <v>43524091.39</v>
      </c>
      <c r="CW43" s="93">
        <f t="shared" si="46"/>
        <v>63959144.18</v>
      </c>
      <c r="CX43" s="93">
        <f t="shared" si="46"/>
        <v>60069598.69</v>
      </c>
      <c r="CY43" s="93">
        <f t="shared" si="46"/>
        <v>59437862.39</v>
      </c>
      <c r="CZ43" s="93">
        <f t="shared" si="46"/>
        <v>90243596.59</v>
      </c>
      <c r="DA43" s="93">
        <f>SUM(DA16,DA25,DA36,DA42)</f>
        <v>706232291.33</v>
      </c>
      <c r="DB43" s="93">
        <f>SUM(DB16,DB25,DB36,DB42)</f>
        <v>51544846.34</v>
      </c>
      <c r="DC43" s="93">
        <f t="shared" si="46"/>
        <v>65731336.39</v>
      </c>
      <c r="DD43" s="93">
        <f t="shared" si="46"/>
        <v>109490511.82</v>
      </c>
      <c r="DE43" s="93">
        <f t="shared" si="46"/>
        <v>102859461.22999999</v>
      </c>
      <c r="DF43" s="93">
        <f t="shared" si="46"/>
        <v>-560</v>
      </c>
      <c r="DG43" s="93">
        <f t="shared" si="46"/>
        <v>-1878373.29</v>
      </c>
      <c r="DH43" s="93">
        <f t="shared" si="46"/>
        <v>-1220</v>
      </c>
      <c r="DI43" s="93">
        <f t="shared" si="46"/>
        <v>-720</v>
      </c>
      <c r="DJ43" s="93">
        <f t="shared" si="46"/>
        <v>-14991164.62</v>
      </c>
      <c r="DK43" s="93">
        <f t="shared" si="46"/>
        <v>-208678.78</v>
      </c>
      <c r="DL43" s="93">
        <f t="shared" si="46"/>
        <v>-4806.13</v>
      </c>
      <c r="DM43" s="93">
        <f t="shared" si="46"/>
        <v>-4002.15</v>
      </c>
      <c r="DN43" s="93">
        <f>SUM(DN16,DN25,DN36,DN42)</f>
        <v>312536630.81</v>
      </c>
      <c r="DO43" s="93">
        <f>SUM(DO16,DO25,DO36,DO42)</f>
        <v>-302730.23</v>
      </c>
      <c r="DP43" s="93">
        <f aca="true" t="shared" si="47" ref="DP43:DZ43">SUM(DP16,DP25,DP36,DP42)</f>
        <v>-4719.2</v>
      </c>
      <c r="DQ43" s="93">
        <f t="shared" si="47"/>
        <v>-1217656.99</v>
      </c>
      <c r="DR43" s="93">
        <f t="shared" si="47"/>
        <v>-50839.69</v>
      </c>
      <c r="DS43" s="93">
        <f t="shared" si="47"/>
        <v>-1220</v>
      </c>
      <c r="DT43" s="93">
        <f t="shared" si="47"/>
        <v>-8731.15</v>
      </c>
      <c r="DU43" s="93">
        <f t="shared" si="47"/>
        <v>-18178.33</v>
      </c>
      <c r="DV43" s="93">
        <f t="shared" si="47"/>
        <v>-33282.91</v>
      </c>
      <c r="DW43" s="93">
        <f t="shared" si="47"/>
        <v>-717511.0599999999</v>
      </c>
      <c r="DX43" s="93">
        <f t="shared" si="47"/>
        <v>-17402.05</v>
      </c>
      <c r="DY43" s="93">
        <f t="shared" si="47"/>
        <v>-15282.050000000001</v>
      </c>
      <c r="DZ43" s="93">
        <f t="shared" si="47"/>
        <v>-16647.69</v>
      </c>
      <c r="EA43" s="93">
        <f>SUM(EA16,EA25,EA36,EA42)</f>
        <v>-2404201.35</v>
      </c>
      <c r="EB43" s="93">
        <f>SUM(EB16,EB25,EB36,EB42)</f>
        <v>-18107.18</v>
      </c>
      <c r="EC43" s="93">
        <f aca="true" t="shared" si="48" ref="EC43:EM43">SUM(EC16,EC25,EC36,EC42)</f>
        <v>-14542.6</v>
      </c>
      <c r="ED43" s="93">
        <f t="shared" si="48"/>
        <v>-140204.4</v>
      </c>
      <c r="EE43" s="93">
        <f t="shared" si="48"/>
        <v>-18042.6</v>
      </c>
      <c r="EF43" s="93">
        <f t="shared" si="48"/>
        <v>-16906.05</v>
      </c>
      <c r="EG43" s="93">
        <f t="shared" si="48"/>
        <v>-14542.6</v>
      </c>
      <c r="EH43" s="93">
        <f t="shared" si="48"/>
        <v>-36116.91</v>
      </c>
      <c r="EI43" s="93">
        <f t="shared" si="48"/>
        <v>-14542.6</v>
      </c>
      <c r="EJ43" s="93">
        <f t="shared" si="48"/>
        <v>-14943.33</v>
      </c>
      <c r="EK43" s="93">
        <f t="shared" si="48"/>
        <v>-18042.6</v>
      </c>
      <c r="EL43" s="93">
        <f t="shared" si="48"/>
        <v>-14542.6</v>
      </c>
      <c r="EM43" s="93">
        <f t="shared" si="48"/>
        <v>-14578.69</v>
      </c>
      <c r="EN43" s="93">
        <f>SUM(EN16,EN25,EN36,EN42)</f>
        <v>-335112.16000000003</v>
      </c>
      <c r="EO43" s="93">
        <f>SUM(EO16,EO25,EO36,EO42)</f>
        <v>-18247.6</v>
      </c>
      <c r="EP43" s="93">
        <f aca="true" t="shared" si="49" ref="EP43:EZ43">SUM(EP16,EP25,EP36,EP42)</f>
        <v>-14772.310000000001</v>
      </c>
      <c r="EQ43" s="93">
        <f t="shared" si="49"/>
        <v>-14640.33</v>
      </c>
      <c r="ER43" s="93">
        <f t="shared" si="49"/>
        <v>-79197.49</v>
      </c>
      <c r="ES43" s="93">
        <f t="shared" si="49"/>
        <v>-14742.6</v>
      </c>
      <c r="ET43" s="93">
        <f t="shared" si="49"/>
        <v>-14742.6</v>
      </c>
      <c r="EU43" s="93">
        <f t="shared" si="49"/>
        <v>-6928.16</v>
      </c>
      <c r="EV43" s="93">
        <f t="shared" si="49"/>
        <v>-83983.29</v>
      </c>
      <c r="EW43" s="93">
        <f t="shared" si="49"/>
        <v>-634895.07</v>
      </c>
      <c r="EX43" s="93">
        <f t="shared" si="49"/>
        <v>-11172.039999999999</v>
      </c>
      <c r="EY43" s="93">
        <f t="shared" si="49"/>
        <v>-4908.48</v>
      </c>
      <c r="EZ43" s="93">
        <f t="shared" si="49"/>
        <v>-571222.57</v>
      </c>
      <c r="FA43" s="93">
        <f aca="true" t="shared" si="50" ref="FA43:FL43">SUM(FA16,FA25,FA36,FA42)</f>
        <v>-1469452.54</v>
      </c>
      <c r="FB43" s="93">
        <f t="shared" si="50"/>
        <v>-111149.34</v>
      </c>
      <c r="FC43" s="93">
        <f t="shared" si="50"/>
        <v>-4464.469999999999</v>
      </c>
      <c r="FD43" s="93">
        <f t="shared" si="50"/>
        <v>-3766.16</v>
      </c>
      <c r="FE43" s="93">
        <f t="shared" si="50"/>
        <v>-8113.5599999999995</v>
      </c>
      <c r="FF43" s="93">
        <f t="shared" si="50"/>
        <v>-5697.91</v>
      </c>
      <c r="FG43" s="93">
        <f>SUM(FG16,FG25,FG36,FG42)</f>
        <v>-6493.5</v>
      </c>
      <c r="FH43" s="93">
        <f t="shared" si="50"/>
        <v>-6646.81</v>
      </c>
      <c r="FI43" s="93">
        <f t="shared" si="50"/>
        <v>-4811.4800000000005</v>
      </c>
      <c r="FJ43" s="93">
        <f t="shared" si="50"/>
        <v>-1773.8400000000001</v>
      </c>
      <c r="FK43" s="93">
        <f t="shared" si="50"/>
        <v>-8246.130000000001</v>
      </c>
      <c r="FL43" s="93">
        <f t="shared" si="50"/>
        <v>-1746.13</v>
      </c>
      <c r="FM43" s="93">
        <f>SUM(FM16,FM25,FM36,FM42)</f>
        <v>-500</v>
      </c>
      <c r="FN43" s="93">
        <f>SUM(FN16,FN25,FN36,FN42)</f>
        <v>-167409.33</v>
      </c>
      <c r="FO43" s="93">
        <f>FO16+FO25+FO36+FO42</f>
        <v>-7498.45</v>
      </c>
      <c r="FP43" s="93">
        <f>FP16+FP25+FP36+FP42</f>
        <v>-998.45</v>
      </c>
      <c r="FQ43" s="93">
        <f>FQ16+FQ25+FQ36+FQ42</f>
        <v>-1500</v>
      </c>
      <c r="FR43" s="93">
        <f>FR16+FR25+FR36+FR42</f>
        <v>-5996.9</v>
      </c>
      <c r="FS43" s="93">
        <f aca="true" t="shared" si="51" ref="FS43:FZ43">FS16+FS25+FS36+FS42</f>
        <v>0</v>
      </c>
      <c r="FT43" s="93">
        <f t="shared" si="51"/>
        <v>0</v>
      </c>
      <c r="FU43" s="93">
        <f t="shared" si="51"/>
        <v>0</v>
      </c>
      <c r="FV43" s="93">
        <f t="shared" si="51"/>
        <v>0</v>
      </c>
      <c r="FW43" s="93">
        <f t="shared" si="51"/>
        <v>0</v>
      </c>
      <c r="FX43" s="93">
        <f t="shared" si="51"/>
        <v>0</v>
      </c>
      <c r="FY43" s="93">
        <f t="shared" si="51"/>
        <v>0</v>
      </c>
      <c r="FZ43" s="93">
        <f t="shared" si="51"/>
        <v>0</v>
      </c>
      <c r="GA43" s="93">
        <f>GA16+GA25+GA36+GA42</f>
        <v>-15993.8</v>
      </c>
      <c r="GB43" s="43">
        <f>SUM(GB16,GB25,GB36,GB42)</f>
        <v>4590062009.03</v>
      </c>
    </row>
    <row r="44" s="23" customFormat="1" ht="12.75"/>
    <row r="45" s="23" customFormat="1" ht="12.75">
      <c r="AQ45" s="59"/>
    </row>
    <row r="46" spans="41:46" s="23" customFormat="1" ht="12.75">
      <c r="AO46" s="61"/>
      <c r="AP46" s="61"/>
      <c r="AQ46" s="61"/>
      <c r="AR46" s="61"/>
      <c r="AS46" s="61"/>
      <c r="AT46" s="61"/>
    </row>
    <row r="47" spans="41:184" s="23" customFormat="1" ht="12.75">
      <c r="AO47" s="61"/>
      <c r="AP47" s="61"/>
      <c r="AQ47" s="61"/>
      <c r="AR47" s="62"/>
      <c r="AS47" s="61"/>
      <c r="AT47" s="61"/>
      <c r="BX47" s="59"/>
      <c r="GB47" s="59"/>
    </row>
    <row r="48" spans="41:46" s="23" customFormat="1" ht="12.75">
      <c r="AO48" s="61"/>
      <c r="AP48" s="61"/>
      <c r="AQ48" s="61"/>
      <c r="AR48" s="61"/>
      <c r="AS48" s="61"/>
      <c r="AT48" s="61"/>
    </row>
    <row r="49" spans="41:46" s="23" customFormat="1" ht="12.75">
      <c r="AO49" s="61"/>
      <c r="AP49" s="61"/>
      <c r="AQ49" s="61"/>
      <c r="AR49" s="61"/>
      <c r="AS49" s="61"/>
      <c r="AT49" s="61"/>
    </row>
    <row r="50" spans="41:46" s="23" customFormat="1" ht="12.75">
      <c r="AO50" s="61"/>
      <c r="AP50" s="61"/>
      <c r="AQ50" s="63"/>
      <c r="AR50" s="61"/>
      <c r="AS50" s="61"/>
      <c r="AT50" s="61"/>
    </row>
    <row r="51" spans="41:46" s="23" customFormat="1" ht="12.75">
      <c r="AO51" s="61"/>
      <c r="AP51" s="61"/>
      <c r="AQ51" s="63"/>
      <c r="AR51" s="61"/>
      <c r="AS51" s="61"/>
      <c r="AT51" s="61"/>
    </row>
    <row r="52" spans="41:184" s="23" customFormat="1" ht="12.75">
      <c r="AO52" s="61"/>
      <c r="AP52" s="61"/>
      <c r="AQ52" s="63"/>
      <c r="AR52" s="61"/>
      <c r="AS52" s="61"/>
      <c r="AT52" s="61"/>
      <c r="GB52" s="59"/>
    </row>
    <row r="53" spans="41:183" s="23" customFormat="1" ht="12.75">
      <c r="AO53" s="61"/>
      <c r="AP53" s="61"/>
      <c r="AQ53" s="63"/>
      <c r="AR53" s="61"/>
      <c r="AS53" s="61"/>
      <c r="AT53" s="61"/>
      <c r="DN53" s="59"/>
      <c r="EA53" s="59"/>
      <c r="EN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row>
    <row r="54" spans="41:46" s="23" customFormat="1" ht="12.75">
      <c r="AO54" s="61"/>
      <c r="AP54" s="61"/>
      <c r="AQ54" s="61"/>
      <c r="AR54" s="61"/>
      <c r="AS54" s="61"/>
      <c r="AT54" s="61"/>
    </row>
    <row r="55" spans="41:46" s="23" customFormat="1" ht="12.75">
      <c r="AO55" s="61"/>
      <c r="AP55" s="61"/>
      <c r="AQ55" s="64"/>
      <c r="AR55" s="61"/>
      <c r="AS55" s="61"/>
      <c r="AT55" s="61"/>
    </row>
    <row r="56" spans="41:46" s="23" customFormat="1" ht="12.75">
      <c r="AO56" s="61"/>
      <c r="AP56" s="61"/>
      <c r="AQ56" s="64"/>
      <c r="AR56" s="61"/>
      <c r="AS56" s="61"/>
      <c r="AT56" s="61"/>
    </row>
    <row r="57" spans="41:46" s="23" customFormat="1" ht="12.75">
      <c r="AO57" s="61"/>
      <c r="AP57" s="61"/>
      <c r="AQ57" s="64"/>
      <c r="AR57" s="61"/>
      <c r="AS57" s="61"/>
      <c r="AT57" s="61"/>
    </row>
    <row r="58" spans="41:46" s="23" customFormat="1" ht="12.75">
      <c r="AO58" s="61"/>
      <c r="AP58" s="61"/>
      <c r="AQ58" s="64"/>
      <c r="AR58" s="61"/>
      <c r="AS58" s="61"/>
      <c r="AT58" s="61"/>
    </row>
    <row r="59" spans="41:46" s="23" customFormat="1" ht="12.75">
      <c r="AO59" s="61"/>
      <c r="AP59" s="61"/>
      <c r="AQ59" s="61"/>
      <c r="AR59" s="61"/>
      <c r="AS59" s="61"/>
      <c r="AT59" s="61"/>
    </row>
    <row r="60" spans="41:46" s="23" customFormat="1" ht="12.75">
      <c r="AO60" s="61"/>
      <c r="AP60" s="61"/>
      <c r="AQ60" s="61"/>
      <c r="AR60" s="65"/>
      <c r="AS60" s="61"/>
      <c r="AT60" s="61"/>
    </row>
    <row r="61" spans="41:46" s="23" customFormat="1" ht="12.75">
      <c r="AO61" s="61"/>
      <c r="AP61" s="61"/>
      <c r="AQ61" s="61"/>
      <c r="AR61" s="61"/>
      <c r="AS61" s="61"/>
      <c r="AT61" s="61"/>
    </row>
    <row r="62" spans="41:46" s="23" customFormat="1" ht="12.75">
      <c r="AO62" s="61"/>
      <c r="AP62" s="61"/>
      <c r="AQ62" s="61"/>
      <c r="AR62" s="61"/>
      <c r="AS62" s="61"/>
      <c r="AT62" s="61"/>
    </row>
    <row r="63" spans="41:79" s="23" customFormat="1" ht="12.75">
      <c r="AO63" s="61"/>
      <c r="AP63" s="61"/>
      <c r="AQ63" s="61"/>
      <c r="AR63" s="61"/>
      <c r="AS63" s="61"/>
      <c r="AT63" s="61"/>
      <c r="BN63" s="59"/>
      <c r="CA63" s="59"/>
    </row>
    <row r="64" spans="41:46" s="23" customFormat="1" ht="12.75">
      <c r="AO64" s="61"/>
      <c r="AP64" s="61"/>
      <c r="AQ64" s="61"/>
      <c r="AR64" s="61"/>
      <c r="AS64" s="61"/>
      <c r="AT64" s="61"/>
    </row>
    <row r="65" s="23" customFormat="1" ht="12.75"/>
    <row r="66" s="23" customFormat="1" ht="12.75"/>
    <row r="67" s="23" customFormat="1" ht="12.75"/>
    <row r="68" s="23" customFormat="1" ht="12.75"/>
    <row r="69" s="23" customFormat="1" ht="12.75"/>
    <row r="70" s="23" customFormat="1" ht="12.75"/>
    <row r="71" s="23" customFormat="1" ht="12.75"/>
    <row r="72" s="23" customFormat="1" ht="12.75"/>
    <row r="73" s="23" customFormat="1" ht="12.75"/>
    <row r="74" s="23" customFormat="1" ht="12.75"/>
    <row r="75" s="23" customFormat="1" ht="12.75"/>
    <row r="76" s="23" customFormat="1" ht="12.75"/>
    <row r="77" s="23" customFormat="1" ht="12.75"/>
    <row r="78" s="23" customFormat="1" ht="12.75"/>
    <row r="79" s="23" customFormat="1" ht="12.75"/>
    <row r="80" s="23" customFormat="1" ht="12.75"/>
    <row r="81" s="23" customFormat="1" ht="12.75"/>
    <row r="82" s="23" customFormat="1" ht="12.75"/>
    <row r="83" s="23" customFormat="1" ht="12.75"/>
    <row r="84" s="23" customFormat="1" ht="12.75"/>
    <row r="85" s="23" customFormat="1" ht="12.75"/>
    <row r="86" s="23" customFormat="1" ht="12.75"/>
    <row r="87" s="23" customFormat="1" ht="12.75"/>
    <row r="88" s="23" customFormat="1" ht="12.75"/>
    <row r="89" s="23" customFormat="1" ht="12.75"/>
    <row r="90" s="23" customFormat="1" ht="12.75"/>
    <row r="91" s="23" customFormat="1" ht="12.75"/>
    <row r="92" s="23" customFormat="1" ht="12.75"/>
    <row r="93" s="23" customFormat="1" ht="12.75"/>
    <row r="94" s="23" customFormat="1" ht="12.75"/>
    <row r="95" s="23" customFormat="1" ht="12.75"/>
    <row r="96" s="23" customFormat="1" ht="12.75"/>
    <row r="97" s="23" customFormat="1" ht="12.75"/>
    <row r="98" s="23" customFormat="1" ht="12.75"/>
    <row r="99" s="23" customFormat="1" ht="12.75"/>
    <row r="100" s="23" customFormat="1" ht="12.75"/>
    <row r="101" s="23" customFormat="1" ht="12.75"/>
    <row r="102" s="23" customFormat="1" ht="12.75"/>
    <row r="103" s="23" customFormat="1" ht="12.75"/>
    <row r="104" s="23" customFormat="1" ht="12.75"/>
    <row r="105" s="23" customFormat="1" ht="12.75"/>
    <row r="106" s="23" customFormat="1" ht="12.75"/>
    <row r="107" s="23" customFormat="1" ht="12.75"/>
    <row r="108" s="23" customFormat="1" ht="12.75"/>
    <row r="109" s="23" customFormat="1" ht="12.75"/>
    <row r="110" s="23" customFormat="1" ht="12.75"/>
    <row r="111" s="23" customFormat="1" ht="12.75"/>
    <row r="112" s="23" customFormat="1" ht="12.75"/>
    <row r="113" s="23" customFormat="1" ht="12.75"/>
    <row r="114" s="23" customFormat="1" ht="12.75"/>
    <row r="115" s="23" customFormat="1" ht="12.75"/>
    <row r="116" s="23" customFormat="1" ht="12.75"/>
    <row r="117" s="23" customFormat="1" ht="12.75"/>
    <row r="118" s="23" customFormat="1" ht="12.75"/>
    <row r="119" s="23" customFormat="1" ht="12.75"/>
    <row r="120" s="23" customFormat="1" ht="12.75"/>
    <row r="121" s="23" customFormat="1" ht="12.75"/>
    <row r="122" s="23" customFormat="1" ht="12.75"/>
    <row r="123" s="23" customFormat="1" ht="12.75"/>
    <row r="124" s="23" customFormat="1" ht="12.75"/>
    <row r="125" s="23" customFormat="1" ht="12.75"/>
    <row r="126" s="23" customFormat="1" ht="12.75"/>
    <row r="127" s="23" customFormat="1" ht="12.75"/>
    <row r="128" s="23" customFormat="1" ht="12.75"/>
    <row r="129" s="23" customFormat="1" ht="12.75"/>
    <row r="130" s="23" customFormat="1" ht="12.75"/>
    <row r="131" s="23" customFormat="1" ht="12.75"/>
    <row r="132" s="23" customFormat="1" ht="12.75"/>
    <row r="133" s="23" customFormat="1" ht="12.75"/>
    <row r="134" s="23" customFormat="1" ht="12.75"/>
    <row r="135" s="23" customFormat="1" ht="12.75"/>
    <row r="136" s="23" customFormat="1" ht="12.75"/>
    <row r="137" s="23" customFormat="1" ht="12.75"/>
    <row r="138" s="23" customFormat="1" ht="12.75"/>
    <row r="139" s="23" customFormat="1" ht="12.75"/>
    <row r="140" s="23" customFormat="1" ht="12.75"/>
    <row r="141" s="23" customFormat="1" ht="12.75"/>
    <row r="142" s="23" customFormat="1" ht="12.75"/>
    <row r="143" s="23" customFormat="1" ht="12.75"/>
    <row r="144" s="23" customFormat="1" ht="12.75"/>
    <row r="145" s="23" customFormat="1" ht="12.75"/>
    <row r="146" s="23" customFormat="1" ht="12.75"/>
    <row r="147" s="23" customFormat="1" ht="12.75"/>
    <row r="148" s="23" customFormat="1" ht="12.75"/>
    <row r="149" s="23" customFormat="1" ht="12.75"/>
    <row r="150" s="23" customFormat="1" ht="12.75"/>
    <row r="151" s="23" customFormat="1" ht="12.75"/>
    <row r="152" s="23" customFormat="1" ht="12.75"/>
    <row r="153" s="23" customFormat="1" ht="12.75"/>
    <row r="154" s="23" customFormat="1" ht="12.75"/>
    <row r="155" s="23" customFormat="1" ht="12.75"/>
    <row r="156" s="23" customFormat="1" ht="12.75"/>
    <row r="157" s="23" customFormat="1" ht="12.75"/>
    <row r="158" s="23" customFormat="1" ht="12.75"/>
    <row r="159" s="23" customFormat="1" ht="12.75"/>
    <row r="160" s="23" customFormat="1" ht="12.75"/>
    <row r="161" s="23" customFormat="1" ht="12.75"/>
    <row r="162" s="23" customFormat="1" ht="12.75"/>
    <row r="163" s="23" customFormat="1" ht="12.75"/>
    <row r="164" s="23" customFormat="1" ht="12.75"/>
    <row r="165" s="23" customFormat="1" ht="12.75"/>
    <row r="166" s="23" customFormat="1" ht="12.75"/>
    <row r="167" s="23" customFormat="1" ht="12.75"/>
    <row r="168" s="23" customFormat="1" ht="12.75"/>
    <row r="169" s="23" customFormat="1" ht="12.75"/>
    <row r="170" s="23" customFormat="1" ht="12.75"/>
    <row r="171" s="23" customFormat="1" ht="12.75"/>
    <row r="172" s="23" customFormat="1" ht="12.75"/>
    <row r="173" s="23" customFormat="1" ht="12.75"/>
    <row r="174" s="23" customFormat="1" ht="12.75"/>
    <row r="175" s="23" customFormat="1" ht="12.75"/>
    <row r="176" s="23" customFormat="1" ht="12.75"/>
    <row r="177" s="23" customFormat="1" ht="12.75"/>
    <row r="178" s="23" customFormat="1" ht="12.75"/>
    <row r="179" s="23" customFormat="1" ht="12.75"/>
    <row r="180" s="23" customFormat="1" ht="12.75"/>
    <row r="181" s="23" customFormat="1" ht="12.75"/>
    <row r="182" s="23" customFormat="1" ht="12.75"/>
    <row r="183" s="23" customFormat="1" ht="12.75"/>
    <row r="184" s="23" customFormat="1" ht="12.75"/>
    <row r="185" s="23" customFormat="1" ht="12.75"/>
    <row r="186" s="23" customFormat="1" ht="12.75"/>
    <row r="187" s="23" customFormat="1" ht="12.75"/>
    <row r="188" s="23" customFormat="1" ht="12.75"/>
    <row r="189" s="23" customFormat="1" ht="12.75"/>
    <row r="190" s="23" customFormat="1" ht="12.75"/>
    <row r="191" s="23" customFormat="1" ht="12.75"/>
    <row r="192" s="23" customFormat="1" ht="12.75"/>
    <row r="193" s="23" customFormat="1" ht="12.75"/>
    <row r="194" s="23" customFormat="1" ht="12.75"/>
    <row r="195" s="23" customFormat="1" ht="12.75"/>
    <row r="196" s="23" customFormat="1" ht="12.75"/>
    <row r="197" s="23" customFormat="1" ht="12.75"/>
    <row r="198" s="23" customFormat="1" ht="12.75"/>
    <row r="199" s="23" customFormat="1" ht="12.75"/>
    <row r="200" s="23" customFormat="1" ht="12.75"/>
    <row r="201" s="23" customFormat="1" ht="12.75"/>
    <row r="202" s="23" customFormat="1" ht="12.75"/>
    <row r="203" s="23" customFormat="1" ht="12.75"/>
    <row r="204" s="23" customFormat="1" ht="12.75"/>
    <row r="205" s="23" customFormat="1" ht="12.75"/>
    <row r="206" s="23" customFormat="1" ht="12.75"/>
    <row r="207" s="23" customFormat="1" ht="12.75"/>
    <row r="208" s="23" customFormat="1" ht="12.75"/>
    <row r="209" s="23" customFormat="1" ht="12.75"/>
    <row r="210" s="23" customFormat="1" ht="12.75"/>
    <row r="211" s="23" customFormat="1" ht="12.75"/>
    <row r="212" s="23" customFormat="1" ht="12.75"/>
    <row r="213" s="23" customFormat="1" ht="12.75"/>
    <row r="214" s="23" customFormat="1" ht="12.75"/>
    <row r="215" s="23" customFormat="1" ht="12.75"/>
    <row r="216" s="23" customFormat="1" ht="12.75"/>
    <row r="217" s="23" customFormat="1" ht="12.75"/>
    <row r="218" s="23" customFormat="1" ht="12.75"/>
    <row r="219" s="23" customFormat="1" ht="12.75"/>
    <row r="220" s="23" customFormat="1" ht="12.75"/>
    <row r="221" s="23" customFormat="1" ht="12.75"/>
    <row r="222" s="23" customFormat="1" ht="12.75"/>
    <row r="223" s="23" customFormat="1" ht="12.75"/>
    <row r="224" s="23" customFormat="1" ht="12.75"/>
    <row r="225" s="23" customFormat="1" ht="12.75"/>
    <row r="226" s="23" customFormat="1" ht="12.75"/>
    <row r="227" s="23" customFormat="1" ht="12.75"/>
    <row r="228" s="23" customFormat="1" ht="12.75"/>
    <row r="229" s="23" customFormat="1" ht="12.75"/>
    <row r="230" s="23" customFormat="1" ht="12.75"/>
    <row r="231" s="23" customFormat="1" ht="12.75"/>
    <row r="232" s="23" customFormat="1" ht="12.75"/>
    <row r="233" s="23" customFormat="1" ht="12.75"/>
    <row r="234" s="23" customFormat="1" ht="12.75"/>
    <row r="235" s="23" customFormat="1" ht="12.75"/>
    <row r="236" s="23" customFormat="1" ht="12.75"/>
    <row r="237" s="23" customFormat="1" ht="12.75"/>
    <row r="238" s="23" customFormat="1" ht="12.75"/>
    <row r="239" s="23" customFormat="1" ht="12.75"/>
    <row r="240" s="23" customFormat="1" ht="12.75"/>
    <row r="241" s="23" customFormat="1" ht="12.75"/>
    <row r="242" s="23" customFormat="1" ht="12.75"/>
    <row r="243" s="23" customFormat="1" ht="12.75"/>
    <row r="244" s="23" customFormat="1" ht="12.75"/>
    <row r="245" s="23" customFormat="1" ht="12.75"/>
    <row r="246" s="23" customFormat="1" ht="12.75"/>
    <row r="247" s="23" customFormat="1" ht="12.75"/>
    <row r="248" s="23" customFormat="1" ht="12.75"/>
    <row r="249" s="23" customFormat="1" ht="12.75"/>
    <row r="250" s="23" customFormat="1" ht="12.75"/>
    <row r="251" s="23" customFormat="1" ht="12.75"/>
    <row r="252" s="23" customFormat="1" ht="12.75"/>
    <row r="253" s="23" customFormat="1" ht="12.75"/>
    <row r="254" s="23" customFormat="1" ht="12.75"/>
    <row r="255" s="23" customFormat="1" ht="12.75"/>
    <row r="256" s="23" customFormat="1" ht="12.75"/>
    <row r="257" s="23" customFormat="1" ht="12.75"/>
    <row r="258" s="23" customFormat="1" ht="12.75"/>
    <row r="259" s="23" customFormat="1" ht="12.75"/>
    <row r="260" s="23" customFormat="1" ht="12.75"/>
    <row r="261" s="23" customFormat="1" ht="12.75"/>
  </sheetData>
  <sheetProtection/>
  <mergeCells count="18">
    <mergeCell ref="A1:GB1"/>
    <mergeCell ref="A19:GB19"/>
    <mergeCell ref="A21:GB21"/>
    <mergeCell ref="A6:GB6"/>
    <mergeCell ref="A10:GB10"/>
    <mergeCell ref="A14:GB14"/>
    <mergeCell ref="B4:GB4"/>
    <mergeCell ref="A8:GB8"/>
    <mergeCell ref="A12:GB12"/>
    <mergeCell ref="A40:GB40"/>
    <mergeCell ref="B26:GB26"/>
    <mergeCell ref="B17:GB17"/>
    <mergeCell ref="A34:GB34"/>
    <mergeCell ref="A32:GB32"/>
    <mergeCell ref="A28:GB28"/>
    <mergeCell ref="A30:GB30"/>
    <mergeCell ref="A38:GB38"/>
    <mergeCell ref="A23:GB23"/>
  </mergeCells>
  <printOptions/>
  <pageMargins left="0.75" right="0.75" top="1" bottom="1" header="0.5" footer="0.5"/>
  <pageSetup fitToHeight="1" fitToWidth="1" orientation="portrait" paperSize="9" scale="13" r:id="rId3"/>
  <ignoredErrors>
    <ignoredError sqref="CA36" formula="1"/>
  </ignoredErrors>
  <legacyDrawing r:id="rId2"/>
</worksheet>
</file>

<file path=xl/worksheets/sheet3.xml><?xml version="1.0" encoding="utf-8"?>
<worksheet xmlns="http://schemas.openxmlformats.org/spreadsheetml/2006/main" xmlns:r="http://schemas.openxmlformats.org/officeDocument/2006/relationships">
  <dimension ref="A1:G12"/>
  <sheetViews>
    <sheetView zoomScale="80" zoomScaleNormal="80" zoomScalePageLayoutView="0" workbookViewId="0" topLeftCell="A1">
      <selection activeCell="A1" sqref="A1:B2"/>
    </sheetView>
  </sheetViews>
  <sheetFormatPr defaultColWidth="9.140625" defaultRowHeight="12.75"/>
  <cols>
    <col min="1" max="1" width="24.8515625" style="0" customWidth="1"/>
    <col min="2" max="2" width="27.8515625" style="0" customWidth="1"/>
    <col min="3" max="3" width="22.140625" style="0" customWidth="1"/>
    <col min="4" max="4" width="12.57421875" style="0" customWidth="1"/>
  </cols>
  <sheetData>
    <row r="1" spans="1:7" ht="15.75">
      <c r="A1" s="159" t="s">
        <v>115</v>
      </c>
      <c r="B1" s="159"/>
      <c r="C1" s="77"/>
      <c r="D1" s="77"/>
      <c r="E1" s="77"/>
      <c r="F1" s="77"/>
      <c r="G1" s="77"/>
    </row>
    <row r="2" spans="1:2" ht="12.75">
      <c r="A2" s="160"/>
      <c r="B2" s="160"/>
    </row>
    <row r="3" spans="1:2" ht="24" customHeight="1">
      <c r="A3" s="81" t="s">
        <v>71</v>
      </c>
      <c r="B3" s="79">
        <f>'saņemts 2007-2013'!F79-'izmaksāts 2007-2013'!GB16</f>
        <v>-49593610.890000105</v>
      </c>
    </row>
    <row r="4" spans="1:2" ht="24" customHeight="1">
      <c r="A4" s="81" t="s">
        <v>72</v>
      </c>
      <c r="B4" s="79">
        <f>'saņemts 2007-2013'!F136-'izmaksāts 2007-2013'!GB25</f>
        <v>-69212346.00999999</v>
      </c>
    </row>
    <row r="5" spans="1:2" ht="24" customHeight="1">
      <c r="A5" s="81" t="s">
        <v>74</v>
      </c>
      <c r="B5" s="79">
        <f>'saņemts 2007-2013'!F268-'izmaksāts 2007-2013'!GB36</f>
        <v>13010835.84000063</v>
      </c>
    </row>
    <row r="6" spans="1:2" ht="24" customHeight="1">
      <c r="A6" s="81" t="s">
        <v>73</v>
      </c>
      <c r="B6" s="79">
        <f>'saņemts 2007-2013'!F201-'izmaksāts 2007-2013'!GB42</f>
        <v>46180746.03000021</v>
      </c>
    </row>
    <row r="7" spans="1:2" ht="24" customHeight="1">
      <c r="A7" s="80" t="s">
        <v>75</v>
      </c>
      <c r="B7" s="78">
        <f>B3+B4+B5+B6</f>
        <v>-59614375.029999256</v>
      </c>
    </row>
    <row r="10" spans="1:2" ht="12" customHeight="1">
      <c r="A10" s="161" t="s">
        <v>76</v>
      </c>
      <c r="B10" s="161"/>
    </row>
    <row r="11" spans="1:2" ht="12.75">
      <c r="A11" s="161"/>
      <c r="B11" s="161"/>
    </row>
    <row r="12" spans="1:2" ht="12.75">
      <c r="A12" s="161"/>
      <c r="B12" s="161"/>
    </row>
  </sheetData>
  <sheetProtection/>
  <mergeCells count="2">
    <mergeCell ref="A1:B2"/>
    <mergeCell ref="A10:B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KristineG</dc:creator>
  <cp:keywords/>
  <dc:description/>
  <cp:lastModifiedBy>Baiba Svīķe</cp:lastModifiedBy>
  <cp:lastPrinted>2020-03-05T13:20:40Z</cp:lastPrinted>
  <dcterms:created xsi:type="dcterms:W3CDTF">2008-04-08T06:38:59Z</dcterms:created>
  <dcterms:modified xsi:type="dcterms:W3CDTF">2021-05-14T07:44:55Z</dcterms:modified>
  <cp:category/>
  <cp:version/>
  <cp:contentType/>
  <cp:contentStatus/>
</cp:coreProperties>
</file>