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pbudzets" sheetId="1" r:id="rId1"/>
    <sheet name="1.tab" sheetId="2" r:id="rId2"/>
    <sheet name="2.tab" sheetId="3" r:id="rId3"/>
    <sheet name="3.tab" sheetId="4" r:id="rId4"/>
    <sheet name="4.tab" sheetId="5" r:id="rId5"/>
    <sheet name="5.tab" sheetId="6" r:id="rId6"/>
    <sheet name="6.tab" sheetId="7" r:id="rId7"/>
    <sheet name="7.tab" sheetId="8" r:id="rId8"/>
    <sheet name="8.tab" sheetId="9" r:id="rId9"/>
    <sheet name="9.tab" sheetId="10" r:id="rId10"/>
    <sheet name="10.tabula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1">'11.tabula'!$A$1:$E$58</definedName>
    <definedName name="_xlnm.Print_Area" localSheetId="12">'12.tabula'!$A$1:$F$47</definedName>
    <definedName name="_xlnm.Print_Area" localSheetId="13">'13.tabula'!$A$1:$E$48</definedName>
    <definedName name="_xlnm.Print_Area" localSheetId="14">'14.tabula'!$A$1:$E$33</definedName>
    <definedName name="_xlnm.Print_Area" localSheetId="15">'15.tabula'!$A$1:$E$49</definedName>
    <definedName name="_xlnm.Print_Titles" localSheetId="16">'16.tabula'!$8:$11</definedName>
    <definedName name="_xlnm.Print_Titles" localSheetId="17">'17.tabula'!$8:$11</definedName>
    <definedName name="_xlnm.Print_Titles" localSheetId="19">'19.tabula'!$8:$10</definedName>
  </definedNames>
  <calcPr fullCalcOnLoad="1"/>
</workbook>
</file>

<file path=xl/sharedStrings.xml><?xml version="1.0" encoding="utf-8"?>
<sst xmlns="http://schemas.openxmlformats.org/spreadsheetml/2006/main" count="2428" uniqueCount="739">
  <si>
    <t>C.5.Pašvaldību speciālā budžeta fiskālais deficīts (-), pārpalikums (+), (C.3. - C.4.)</t>
  </si>
  <si>
    <t xml:space="preserve"> Valsts kases pārvaldnieks                                                            __________________________ </t>
  </si>
  <si>
    <t>1.tabula</t>
  </si>
  <si>
    <t xml:space="preserve"> Valsts kases oficiālais mēneša pārskats</t>
  </si>
  <si>
    <t>Valsts konsolidētā budžeta izpilde (1999.gada janvāris -  jūnijs)</t>
  </si>
  <si>
    <t>Valsts konsolidētā budžeta izpilde (1999.gada janvāris - jūnijs)</t>
  </si>
  <si>
    <t>(tūkst. latu)</t>
  </si>
  <si>
    <t>Rādītāji</t>
  </si>
  <si>
    <t>Likumā apstiprinātais gada plāns</t>
  </si>
  <si>
    <t>Izpilde no gada sākuma</t>
  </si>
  <si>
    <t>Izpilde  % pret gada plānu         (3/2)</t>
  </si>
  <si>
    <t xml:space="preserve">Jūnija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</si>
  <si>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</si>
  <si>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</si>
  <si>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</si>
  <si>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</si>
  <si>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</si>
  <si>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</si>
  <si>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</si>
  <si>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</si>
  <si>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</si>
  <si>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</si>
  <si>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</si>
  <si>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</si>
  <si>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                                   mīnus transferts no valsts speciālā budžeta</t>
  </si>
  <si>
    <t xml:space="preserve">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</si>
  <si>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</si>
  <si>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</si>
  <si>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</si>
  <si>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</si>
  <si>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</si>
  <si>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</si>
  <si>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Pārējie</t>
  </si>
  <si>
    <t xml:space="preserve">                                         mīnus transferts no valsts pamatbudžeta</t>
  </si>
  <si>
    <t xml:space="preserve">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</si>
  <si>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</si>
  <si>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</si>
  <si>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uzturēšanas izdevumi (B.2.1.+C.2.1.)</t>
  </si>
  <si>
    <t>A.2.1. Kopējie valsts budžeta uzturēšanas izdevumi (B.2.1.+C.2.1.)</t>
  </si>
  <si>
    <t>A.2.2. Kopējie valsts kapitālie izdevumi (B.2.2.+C.2.2.)</t>
  </si>
  <si>
    <t>A.2.2. Kopējie valsts budžeta kapitālie izdevumi (B.2.2.+C.2.2.)</t>
  </si>
  <si>
    <t>A.2.3. Kopējie valsts izdevumi investīcijām (B.2.3.+C.2.3.)</t>
  </si>
  <si>
    <t>A.2.3. Kopējie valsts budžeta izdevumi investīcijām (B.2.3.+C.2.3.)</t>
  </si>
  <si>
    <t>A.3. Valsts budžeta finansiālais deficīts (-), pārpalikums (+), (A.1.-A.2.)</t>
  </si>
  <si>
    <t>A.4. Kopējie valsts tīrie aizdevumi (B.4.+C.4.)</t>
  </si>
  <si>
    <t>Kopējie valsts izdevumi, ieskaitot tīros aizdevumus (A.2.+A.4.)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</si>
  <si>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</si>
  <si>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</si>
  <si>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</si>
  <si>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</si>
  <si>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 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</si>
  <si>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</si>
  <si>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</si>
  <si>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</si>
  <si>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 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</si>
  <si>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</si>
  <si>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</si>
  <si>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</si>
  <si>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>Pārskata mēneša izpilde</t>
  </si>
  <si>
    <t xml:space="preserve">Marta izpilde 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</si>
  <si>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</si>
  <si>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</si>
  <si>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</si>
  <si>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</si>
  <si>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izdevumi </t>
  </si>
  <si>
    <t xml:space="preserve">     Valsts pamatbudžeta aizdevumi (bruto)</t>
  </si>
  <si>
    <t xml:space="preserve">     Valsts pamatbudžeta aizdevumi (neto)</t>
  </si>
  <si>
    <t xml:space="preserve">     Valsts pamatbudžeta aizdevumu atmaksas (bruto)</t>
  </si>
  <si>
    <t xml:space="preserve">                          mīnus transferts no valsts speciālā  budžeta</t>
  </si>
  <si>
    <t xml:space="preserve">                                mīnus transferts no valsts speciālā  budžeta</t>
  </si>
  <si>
    <t xml:space="preserve">     Valsts pamatbudžeta aizdevumu atmaksas (neto)</t>
  </si>
  <si>
    <t>B.5. Valsts pamatbudžeta fiskālais deficīts (-), pārpalikums (+), (B.3.- B.4.)</t>
  </si>
  <si>
    <t xml:space="preserve">  Valsts speciālā budžeta izdevumi (bruto)</t>
  </si>
  <si>
    <t xml:space="preserve">                           mīnus transferts valsts pamatbudžetam</t>
  </si>
  <si>
    <t xml:space="preserve">   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</si>
  <si>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</si>
  <si>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</si>
  <si>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</si>
  <si>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</si>
  <si>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</si>
  <si>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</si>
  <si>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</si>
  <si>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</si>
  <si>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</si>
  <si>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izdevumi </t>
  </si>
  <si>
    <t xml:space="preserve">     Valsts speciālā budžeta aizdevumi (bruto)</t>
  </si>
  <si>
    <t xml:space="preserve">     Valsts speciālā budžeta aizdevumi (neto)</t>
  </si>
  <si>
    <t xml:space="preserve">     Valsts speciālā budžeta aizdevumu atmaksas (bruto)</t>
  </si>
  <si>
    <t xml:space="preserve">     Valsts speciālā budžeta aizdevumu atmaksas (neto)</t>
  </si>
  <si>
    <t>C.5. Valsts speciālā budžeta fiskālais deficīts (-), pārpalikums (+), (C.3.- C.4.)</t>
  </si>
  <si>
    <t xml:space="preserve">Valsts kases pārvaldnieks ______________________________  (A.Veiss)                                                                    </t>
  </si>
  <si>
    <t>Valsts kase / Pārskatu departaments</t>
  </si>
  <si>
    <t>1999.gada 15.aprīlis</t>
  </si>
  <si>
    <t>1999.gada 15.jūlijs</t>
  </si>
  <si>
    <t xml:space="preserve">                                                                 Valsts kases oficiālais mēneša pārskats</t>
  </si>
  <si>
    <t>9.tabula</t>
  </si>
  <si>
    <t xml:space="preserve">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</si>
  <si>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</si>
  <si>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(1999.gada janvāris -  jūnijs)</t>
  </si>
  <si>
    <t>(1999.gada janvāris - jūnijs)</t>
  </si>
  <si>
    <t>(tūkst.latu)</t>
  </si>
  <si>
    <t>Valdības funkcijas kods</t>
  </si>
  <si>
    <t>Izpilde % pret gada plānu          (3/2)</t>
  </si>
  <si>
    <t>Izdevumi no ziedojumiem un dāvinājumiem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</si>
  <si>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</si>
  <si>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</si>
  <si>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</si>
  <si>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</si>
  <si>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</si>
  <si>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</si>
  <si>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</si>
  <si>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</si>
  <si>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</si>
  <si>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</si>
  <si>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</si>
  <si>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</si>
  <si>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</si>
  <si>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</si>
  <si>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</si>
  <si>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Valsts kases pārvaldnieks_________________________________</t>
  </si>
  <si>
    <t>A.Veiss</t>
  </si>
  <si>
    <t>(A.Veiss)</t>
  </si>
  <si>
    <t>Valsts kase /Pārskatu departaments</t>
  </si>
  <si>
    <t>1999.gada 17.maijs</t>
  </si>
  <si>
    <t>2.tabula</t>
  </si>
  <si>
    <t>Valsts kases oficiālais mēneša pārskats</t>
  </si>
  <si>
    <t>Valsts pamatbudžeta ieņēmumi (1999.gada janvāris- jūnijs)</t>
  </si>
  <si>
    <t>Valsts pamatbudžeta ieņēmumi (1999.gada janvāris-jūnijs)</t>
  </si>
  <si>
    <t>Gada sagaidāmā izpilde %</t>
  </si>
  <si>
    <t>Izpilde % pret gada plānu            (4/2)</t>
  </si>
  <si>
    <t>Jūnija izpilde</t>
  </si>
  <si>
    <t>1.Ieņēmumi - kopā  (1.1.+1.2.+1.3.)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</si>
  <si>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</si>
  <si>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</si>
  <si>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</si>
  <si>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</si>
  <si>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</si>
  <si>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</si>
  <si>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</si>
  <si>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</si>
  <si>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</si>
  <si>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</si>
  <si>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</si>
  <si>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</si>
  <si>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</si>
  <si>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</si>
  <si>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 xml:space="preserve">   Sodi un sankcijas</t>
  </si>
  <si>
    <t xml:space="preserve">   Pārējie nenodokļu ieņēmumi **</t>
  </si>
  <si>
    <t>t.sk. pārskaitījums valsts pamatbudžetā no Valsts autoceļu fonda</t>
  </si>
  <si>
    <t xml:space="preserve">  pārskaitījums valsts pamatbudžetā sociālās apdrošināšanas iemaksu administrēšanai</t>
  </si>
  <si>
    <t xml:space="preserve">   pārējie nenodokļu ieņēmumi</t>
  </si>
  <si>
    <t xml:space="preserve">   Valsts privatizācijas fonda iemaksas</t>
  </si>
  <si>
    <t xml:space="preserve">t.sk. iemaksas no Ekonomikas ministrijas speciālā budžeta           </t>
  </si>
  <si>
    <t xml:space="preserve">   Citas iemaksas par nekustamo īpašumu</t>
  </si>
  <si>
    <t>t.sk. Ieņēmumi no Skrundas lokatora nomas maksas 50% apmērā</t>
  </si>
  <si>
    <t xml:space="preserve">      Valsts nekustamā īpašuma aģentūras iemaksas no valsts nekustamā īpašuma pārdošanas</t>
  </si>
  <si>
    <t>1.3.Pašu ieņēmumi</t>
  </si>
  <si>
    <t xml:space="preserve">   Budžeta iestāžu ieņēmumi no maksas pakalpojumiem</t>
  </si>
  <si>
    <t>* - ieskaitot nesadalītās sociālās apdrošināšanas iemaksas -    tūkst.latu</t>
  </si>
  <si>
    <t>* - ieskaitot nesadalītās sociālās apdrošināšanas iemaksas -   2505    tūkst.latu</t>
  </si>
  <si>
    <t>** - ieskaitot procentus par valsts depozītu -       tūkst.latu</t>
  </si>
  <si>
    <t>** - ieskaitot procentus par valsts depozītu -    1704   tūkst.latu</t>
  </si>
  <si>
    <t>Valsts kases pārvaldnieks________________________________________(A.Veiss)</t>
  </si>
  <si>
    <t xml:space="preserve">Valsts kases oficiālais mēneša pārskats </t>
  </si>
  <si>
    <t>3.tabula</t>
  </si>
  <si>
    <t>Valsts pamatbudżeta izdevumi pa ministrijām un pasākumiem</t>
  </si>
  <si>
    <t>(1999.gada janvāris -jūnijs)</t>
  </si>
  <si>
    <t xml:space="preserve">Finansēšanas plāns pārskata periodam </t>
  </si>
  <si>
    <t>Izpilde % pret gada plānu (4/2)</t>
  </si>
  <si>
    <t>Izpilde % pret finansēša-nas plānu pārskata periodam 
  (4/3)</t>
  </si>
  <si>
    <t>Jūnija  izpilde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</si>
  <si>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</si>
  <si>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</si>
  <si>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</si>
  <si>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</si>
  <si>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</si>
  <si>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</si>
  <si>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</si>
  <si>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</si>
  <si>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</si>
  <si>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</si>
  <si>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</si>
  <si>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</si>
  <si>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</si>
  <si>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</si>
  <si>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</si>
  <si>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</si>
  <si>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</si>
  <si>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</si>
  <si>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</si>
  <si>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</si>
  <si>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</si>
  <si>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</si>
  <si>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</si>
  <si>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</si>
  <si>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</si>
  <si>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</si>
  <si>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</si>
  <si>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</si>
  <si>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</si>
  <si>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</si>
  <si>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</si>
  <si>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</si>
  <si>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</si>
  <si>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>1999.gada 15.marts</t>
  </si>
  <si>
    <t>Sastādīšanas datums</t>
  </si>
  <si>
    <t>4.tabula</t>
  </si>
  <si>
    <t xml:space="preserve">           Valsts kases oficiālais mēneša pārskats</t>
  </si>
  <si>
    <t xml:space="preserve">Valsts pamatbudžeta ieņēmumu un izdevumu atšifrējums </t>
  </si>
  <si>
    <t>pēc ekonomiskās klasifikācijas</t>
  </si>
  <si>
    <t>(1999.gada janvāris- jūnijs)</t>
  </si>
  <si>
    <t>(1999.gada janvāris -  jūnijs)</t>
  </si>
  <si>
    <t>Finansēšanas plāns pārskata periodam</t>
  </si>
  <si>
    <t>Izpilde % pret gada plānu      (4/2)</t>
  </si>
  <si>
    <t>Izpilde % pret finansēšanas plānu pārskata periodam       (4/3)</t>
  </si>
  <si>
    <t>1. Ieņēmumi - kopā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</si>
  <si>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</si>
  <si>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</si>
  <si>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</si>
  <si>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</si>
  <si>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</si>
  <si>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</si>
  <si>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</si>
  <si>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</si>
  <si>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>x</t>
  </si>
  <si>
    <t xml:space="preserve">    pārējie kārtējie izdevumi</t>
  </si>
  <si>
    <t xml:space="preserve">     t.sk.          preču un pakalpojumu izdevumi</t>
  </si>
  <si>
    <t xml:space="preserve">     t.sk.         preču un pakalpojumu izdevumi</t>
  </si>
  <si>
    <t xml:space="preserve"> pārējie izdevumi</t>
  </si>
  <si>
    <t xml:space="preserve">                        pārējie izdevumi</t>
  </si>
  <si>
    <t xml:space="preserve">    aizņēmumu atmaksa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</si>
  <si>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</si>
  <si>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</si>
  <si>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</si>
  <si>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</si>
  <si>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</si>
  <si>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</si>
  <si>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</si>
  <si>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</si>
  <si>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</si>
  <si>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</t>
  </si>
  <si>
    <t xml:space="preserve">                 t.sk.           speciālajam budžetam</t>
  </si>
  <si>
    <t xml:space="preserve"> pārējiem</t>
  </si>
  <si>
    <t xml:space="preserve">      pārējiem</t>
  </si>
  <si>
    <t xml:space="preserve">     dotācijas iedzīvotājiem</t>
  </si>
  <si>
    <t xml:space="preserve">              t.sk.          pensijas </t>
  </si>
  <si>
    <t xml:space="preserve">                 t.sk.    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</si>
  <si>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</si>
  <si>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</si>
  <si>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</si>
  <si>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</si>
  <si>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</si>
  <si>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  pārējie</t>
  </si>
  <si>
    <t xml:space="preserve">   iemaksas starptautiskajās organizācijās</t>
  </si>
  <si>
    <t>2.2.Izdevumi kapitālieguldījumiem</t>
  </si>
  <si>
    <t>Kapitālie izdevumi</t>
  </si>
  <si>
    <t>Investīcijas</t>
  </si>
  <si>
    <t>3. Valsts budžeta tīrie aizdevumi (3.1.-3.2.)</t>
  </si>
  <si>
    <t>3.1.Valsts budžeta aizdevumi</t>
  </si>
  <si>
    <t>3.2.Valsts budžeta aizdevumu atmaksas</t>
  </si>
  <si>
    <t>Fiskālā bilance (1.-2.-3.)</t>
  </si>
  <si>
    <t>Valsts kases pārvaldnieks _______________________________________ (AVeiss)</t>
  </si>
  <si>
    <t>1999.gada 15.maijs</t>
  </si>
  <si>
    <t>Valsts kases pārvaldnieks _______________________________________ (A.Veiss)</t>
  </si>
  <si>
    <t>5.tabula</t>
  </si>
  <si>
    <t xml:space="preserve">Valsts speciālā budżeta ieņēmumi un izdevumi pa ministrijām </t>
  </si>
  <si>
    <t>(1999.gada  janvāris - jūnijs)</t>
  </si>
  <si>
    <t xml:space="preserve"> (tūkst.latu)</t>
  </si>
  <si>
    <t>Izpilde % pret gada plānu 
   (4/2)</t>
  </si>
  <si>
    <t>Finansēšanas plāns</t>
  </si>
  <si>
    <t xml:space="preserve">Ieņēmumi - kopā </t>
  </si>
  <si>
    <t xml:space="preserve">        Uzturēšanas izdevumi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</si>
  <si>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</si>
  <si>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</si>
  <si>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</si>
  <si>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</si>
  <si>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</si>
  <si>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>Valsts īpašuma privatizācijas fonds</t>
  </si>
  <si>
    <t>Ieņēmumi</t>
  </si>
  <si>
    <t>Izdevumi</t>
  </si>
  <si>
    <t xml:space="preserve">     t.sk. iemaksas valsts pamatbudžetā</t>
  </si>
  <si>
    <t>Centrālā dzīvojamo māju privatizācijas komisija</t>
  </si>
  <si>
    <t>Transportlīdzekļu īpašnieku apdrošināšanas garantijas fonds</t>
  </si>
  <si>
    <t xml:space="preserve">    Atskaitījumi no obligātās apdrošināšanas prēmijām</t>
  </si>
  <si>
    <t xml:space="preserve">    Pārējie maksājumi</t>
  </si>
  <si>
    <t>Transportlīdzekļu īpašnieku apdrošināšanas apdrošinājuma ņēmēju interešu aizsardzības  fonds</t>
  </si>
  <si>
    <t xml:space="preserve">   Atskaitījumi no obligātās apdrošināšanas prēmijām</t>
  </si>
  <si>
    <t>Ceļu satiksmes negadījumu novēršana un profilakse</t>
  </si>
  <si>
    <t>Noguldījumu garantiju fonda veidošana, pārvaldīšana un izlietošana</t>
  </si>
  <si>
    <t xml:space="preserve">   Vienreizēja iemaksa saskaņā ar 1999.gada valsts budžetu</t>
  </si>
  <si>
    <t xml:space="preserve">   Atskaitījumi no komercbankām</t>
  </si>
  <si>
    <t xml:space="preserve"> Speciālais budżets sporta vajadzībām</t>
  </si>
  <si>
    <t xml:space="preserve">    Ienākumi no izložu un azartspēļu nodevas un nodokļa maksājumiem</t>
  </si>
  <si>
    <t xml:space="preserve"> Studējošo un studiju kreditēšana</t>
  </si>
  <si>
    <t xml:space="preserve">    Valsts pamatbudžeta dotācija</t>
  </si>
  <si>
    <t xml:space="preserve"> Zivju fonds</t>
  </si>
  <si>
    <t xml:space="preserve">   Maksa par rūpnieciskās zvejas tiesību nomu un izmantošanu</t>
  </si>
  <si>
    <t>Meżsaimniecības attīstības fonds</t>
  </si>
  <si>
    <t xml:space="preserve">   Ieņēmumi no meža resursu realizācijas</t>
  </si>
  <si>
    <t xml:space="preserve">   Pārējie maksājumi</t>
  </si>
  <si>
    <t>Valsts autoceļu fonds</t>
  </si>
  <si>
    <t xml:space="preserve">    Transportlīdzekļu ikgadējā nodeva</t>
  </si>
  <si>
    <t xml:space="preserve">    60%  akcīzes nodoklis par naftas produktiem</t>
  </si>
  <si>
    <t xml:space="preserve">     Pārējie maksājumi</t>
  </si>
  <si>
    <t xml:space="preserve">        Izdevumi kapitālieguldļjumiem</t>
  </si>
  <si>
    <t xml:space="preserve"> Dzelzceļa infrastruktūras fonds</t>
  </si>
  <si>
    <t xml:space="preserve">   Dotācija no Valsts autoceļu fonda</t>
  </si>
  <si>
    <t>Ostu attīstības fonds</t>
  </si>
  <si>
    <t xml:space="preserve">    Ostas un kuģošanas nodeva</t>
  </si>
  <si>
    <t>Lidostu nodeva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</si>
  <si>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</si>
  <si>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</si>
  <si>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</si>
  <si>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</si>
  <si>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</si>
  <si>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</si>
  <si>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</si>
  <si>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      Izdevumi kapitālieguldījumiem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</si>
  <si>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</si>
  <si>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</si>
  <si>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</si>
  <si>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>Valsts speciālais veselības aprūpes budžets</t>
  </si>
  <si>
    <t xml:space="preserve">   Iedzīvotāju ienākuma nodoklis</t>
  </si>
  <si>
    <t xml:space="preserve">   Valsts pamatbudžeta dotācija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</si>
  <si>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</si>
  <si>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</si>
  <si>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</si>
  <si>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</si>
  <si>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</si>
  <si>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izložu un azartspēļu nodevas un nodokļa maksājumiem</t>
  </si>
  <si>
    <t xml:space="preserve">   Ieņēmumi no izsniegtajām licencēm</t>
  </si>
  <si>
    <t xml:space="preserve">   Ieņēmumi no kancelejas nodevām</t>
  </si>
  <si>
    <t>Īpašu uzdevumu ministra sadarbībai ar starptautiskajām finansu institūcijām sekretariāts</t>
  </si>
  <si>
    <t xml:space="preserve">   Ieņēmumi no finansu institūcijām sniegtajiem pakalpojumiem</t>
  </si>
  <si>
    <t>Valsts kases pārvaldnieks _______________________________________  (A.Veiss)</t>
  </si>
  <si>
    <t xml:space="preserve">          Valsts kases oficiālais mēneša pārskats</t>
  </si>
  <si>
    <t>6.tabula</t>
  </si>
  <si>
    <t xml:space="preserve">Valsts speciālā budżeta ieņēmumu un izdevumu atšifrējums </t>
  </si>
  <si>
    <t>Izpilde % pret finansē-šanas plānu pārskata periodam           (4/3)</t>
  </si>
  <si>
    <t>1.Ieņēmumi - kopā</t>
  </si>
  <si>
    <t>Īpašiem mērķiem iezīmēti ieņēmumi</t>
  </si>
  <si>
    <t>Maksas pakalpojumi un citi pašu ieņēmumi</t>
  </si>
  <si>
    <t>2.1.Uzturēšanas izdevumi</t>
  </si>
  <si>
    <t xml:space="preserve">     t.sk. preču un pakalpojumu izdevumi</t>
  </si>
  <si>
    <t>iemaksas valsts pamatbudžetā</t>
  </si>
  <si>
    <t>izdevumi saskaņā ar likumu "Par valsts un pašvaldību īpašuma privatizācijas fondiem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</si>
  <si>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</si>
  <si>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</si>
  <si>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</si>
  <si>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 t.sk. pamatbudžetam sociālās apdrošināšanas iemaksu administrēšanai</t>
  </si>
  <si>
    <t>pārējiem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</si>
  <si>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</si>
  <si>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</si>
  <si>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</si>
  <si>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</si>
  <si>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</si>
  <si>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>Marta izpilde</t>
  </si>
  <si>
    <t>3.Valsts budžeta tīrie aizdevumi (3.1.-3.2.)</t>
  </si>
  <si>
    <t>Finansēšana</t>
  </si>
  <si>
    <t>Valsts speciālā budžeta naudas līdzekļu atlikumu izmaiņas palielinājums (-) vai samazinājums (+)</t>
  </si>
  <si>
    <t>7.tabula</t>
  </si>
  <si>
    <t>Valsts speciālā budżeta (dāvinājumi un ziedojumi) ieņēmumi un izdevumi</t>
  </si>
  <si>
    <t>Valsts budžeta iestāžu dāvinājumu un ziedojumu ieņēmumi un izdevumi</t>
  </si>
  <si>
    <t xml:space="preserve">                                                       (1999.gada janvāris - jūnijs)</t>
  </si>
  <si>
    <t>Izpilde % pret finansēšanas plānu  (3/2)</t>
  </si>
  <si>
    <t>Finansēšanas plāns pārskata periodam *</t>
  </si>
  <si>
    <t>1.Saņemtie dāvinājumi un ziedojumi - kopā</t>
  </si>
  <si>
    <t xml:space="preserve">   no iekšzemes juridiskajām un fiziskajām personām</t>
  </si>
  <si>
    <t xml:space="preserve">   no ārvalstu juridiskajām un fiziskajām personām</t>
  </si>
  <si>
    <t>2.Izdevumi - kopā (2.1.+2.2.)</t>
  </si>
  <si>
    <t xml:space="preserve">    valsts sociālās apdrošināšanas obligātās iemaksas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</si>
  <si>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</si>
  <si>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</si>
  <si>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</si>
  <si>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</si>
  <si>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</si>
  <si>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>Fiskālā bilance (1.-2.)</t>
  </si>
  <si>
    <t>Naudas līdzekļu atlikumu izmaiņas palielinājums (-) vai samazinājums (+)</t>
  </si>
  <si>
    <t>* - nav informācijas</t>
  </si>
  <si>
    <t xml:space="preserve">                                                                Valsts kases oficiālais mēneša pārskats</t>
  </si>
  <si>
    <t>8.tabula</t>
  </si>
  <si>
    <t xml:space="preserve">                                                     Valsts kases oficiālais mēneša pārskats</t>
  </si>
  <si>
    <t xml:space="preserve">                                        Valsts pamatbudžeta izdevumi pēc valdības funkcijām</t>
  </si>
  <si>
    <t xml:space="preserve">                                 Valsts pamatbudžeta izdevumi pēc valdības funkcijām</t>
  </si>
  <si>
    <t xml:space="preserve">                                                             ( 1999.gada janvāris- jūnijs)</t>
  </si>
  <si>
    <t xml:space="preserve">                                                   ( 1999.gada janvāris- jūnijs)</t>
  </si>
  <si>
    <t>Pārējie izdevumi, kas nav atspoguļoti pamatgrupās  *</t>
  </si>
  <si>
    <t>* ieskaitot aizdevumus un atmaksas</t>
  </si>
  <si>
    <t>Valsts kases pārvaldnieks__________________________________</t>
  </si>
  <si>
    <t>Valsts kases pārvaldnieks________________________________</t>
  </si>
  <si>
    <t>1999.gada 15.februāris</t>
  </si>
  <si>
    <t>Valsts kases oficiālais mēneša pārskats par valsts kopbudžeta izpildi                             ( 1999.gada janvāris - jūnijs )</t>
  </si>
  <si>
    <t xml:space="preserve">                (tūkst.latu)</t>
  </si>
  <si>
    <t>Konsolidētais
valsts budžets*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</si>
  <si>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</si>
  <si>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</si>
  <si>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</si>
  <si>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</si>
  <si>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</si>
  <si>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</si>
  <si>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</si>
  <si>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</si>
  <si>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</si>
  <si>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</si>
  <si>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</si>
  <si>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</si>
  <si>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</si>
  <si>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</si>
  <si>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</si>
  <si>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</si>
  <si>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</si>
  <si>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</si>
  <si>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</si>
  <si>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</si>
  <si>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</si>
  <si>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</si>
  <si>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</si>
  <si>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</si>
  <si>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</si>
  <si>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</si>
  <si>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</si>
  <si>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>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</si>
  <si>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</si>
  <si>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</si>
  <si>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</si>
  <si>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</si>
  <si>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</si>
  <si>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</si>
  <si>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</si>
  <si>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 un dāvinājumus</t>
  </si>
  <si>
    <t>Valsts kases pārvaldnieks                                                                            A.Veiss</t>
  </si>
  <si>
    <t>Valsts kase/Pārskatu departaments</t>
  </si>
  <si>
    <t>Valsts kases oficiālais mēneša pārskats par valsts kopbudžeta izpildi                             ( 1999.gada janvāris - aprīlis )</t>
  </si>
  <si>
    <t>Valsts kases oficiālais mēneša pārskats par valsts kopbudžeta izpildi                             ( 1999.gada janvāris - maijs )</t>
  </si>
  <si>
    <t>Aprīļa  izpilde</t>
  </si>
  <si>
    <t>Maija  izpilde</t>
  </si>
  <si>
    <t>Valsts kases pārvaldnieks __________________________________ A.Veiss</t>
  </si>
  <si>
    <t>Valsts kases pārvaldnieka p.i __________________________________ V.Lindemanis</t>
  </si>
  <si>
    <t>1999.gada 15.jūnijs</t>
  </si>
  <si>
    <t xml:space="preserve">                                       Valsts kases oficiālais mēneša pārskats</t>
  </si>
  <si>
    <t>11. tabula</t>
  </si>
  <si>
    <t xml:space="preserve">      9.tabula</t>
  </si>
  <si>
    <t>Pašvaldību pamatbudžeta ieņēmumi</t>
  </si>
  <si>
    <t>( 1999. gada janvāris - jūnijs )</t>
  </si>
  <si>
    <t>Gada plāns</t>
  </si>
  <si>
    <t>Izpilde % pret gada plānu (3/2)</t>
  </si>
  <si>
    <t>1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</si>
  <si>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</si>
  <si>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</si>
  <si>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</si>
  <si>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 *</t>
  </si>
  <si>
    <t xml:space="preserve">  Nekustamā īpašuma nodoklis</t>
  </si>
  <si>
    <t xml:space="preserve">  Īpašuma nodoklis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</si>
  <si>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</si>
  <si>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</si>
  <si>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</si>
  <si>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</si>
  <si>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</si>
  <si>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</si>
  <si>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</si>
  <si>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</si>
  <si>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</si>
  <si>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</si>
  <si>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</si>
  <si>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</si>
  <si>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</si>
  <si>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</si>
  <si>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</si>
  <si>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</si>
  <si>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</si>
  <si>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</si>
  <si>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</si>
  <si>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</si>
  <si>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</si>
  <si>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</si>
  <si>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</si>
  <si>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  2 290  tūkst.latu</t>
  </si>
  <si>
    <t>* iedzīvotāju ienākuma nodokļa prognozes neizpildes kompensācija   3 000  tūkst.latu</t>
  </si>
  <si>
    <t>Valsts kases pārvaldnieks</t>
  </si>
  <si>
    <t>A. Veiss</t>
  </si>
  <si>
    <t xml:space="preserve">                                           Valsts kases oficiālais mēneša pārskats</t>
  </si>
  <si>
    <t>12. tabula</t>
  </si>
  <si>
    <t xml:space="preserve"> </t>
  </si>
  <si>
    <t xml:space="preserve">Pašvaldību pamatbudžeta izdevumi </t>
  </si>
  <si>
    <t xml:space="preserve">                               (tūkst.latu)</t>
  </si>
  <si>
    <t>2</t>
  </si>
  <si>
    <t>3</t>
  </si>
  <si>
    <t>4</t>
  </si>
  <si>
    <t>5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</si>
  <si>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</si>
  <si>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</si>
  <si>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</si>
  <si>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</si>
  <si>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</si>
  <si>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</si>
  <si>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</si>
  <si>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</si>
  <si>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</si>
  <si>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</si>
  <si>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</si>
  <si>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</si>
  <si>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</si>
  <si>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</si>
  <si>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</si>
  <si>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</si>
  <si>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</t>
  </si>
  <si>
    <t xml:space="preserve">                     Valsts kases oficiālais mēneša pārskats</t>
  </si>
  <si>
    <t>13. tabula</t>
  </si>
  <si>
    <t>Pašvaldību pamatbudžeta izdevumu atšifrējums</t>
  </si>
  <si>
    <t xml:space="preserve">                                                             (tūkst.latu)</t>
  </si>
  <si>
    <t>2.Izdevumi  kopā (2.1. +2.2.)</t>
  </si>
  <si>
    <t>0010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</si>
  <si>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</si>
  <si>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</si>
  <si>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</si>
  <si>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</si>
  <si>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</si>
  <si>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</si>
  <si>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</si>
  <si>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</si>
  <si>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</si>
  <si>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</si>
  <si>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</si>
  <si>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</si>
  <si>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</si>
  <si>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</si>
  <si>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</si>
  <si>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</si>
  <si>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</si>
  <si>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</si>
  <si>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</si>
  <si>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</si>
  <si>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14.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</si>
  <si>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</si>
  <si>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</si>
  <si>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</si>
  <si>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</si>
  <si>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</si>
  <si>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</si>
  <si>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</si>
  <si>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</si>
  <si>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</si>
  <si>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</si>
  <si>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</si>
  <si>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</si>
  <si>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</si>
  <si>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15. tabula</t>
  </si>
  <si>
    <t>Pašvaldību speciālā budžeta izdevumu atšifrējums</t>
  </si>
  <si>
    <t xml:space="preserve">                                    (tūkst.latu)</t>
  </si>
  <si>
    <t xml:space="preserve">                                  pārējie izdevumi</t>
  </si>
  <si>
    <t xml:space="preserve">      Valsts kases oficiālais mēneša pārskats</t>
  </si>
  <si>
    <t>16.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</si>
  <si>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</si>
  <si>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</si>
  <si>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</si>
  <si>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</si>
  <si>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</si>
  <si>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</si>
  <si>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</si>
  <si>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</si>
  <si>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</si>
  <si>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</si>
  <si>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</si>
  <si>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</si>
  <si>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</si>
  <si>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</si>
  <si>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</si>
  <si>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</si>
  <si>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</si>
  <si>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</si>
  <si>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</si>
  <si>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</si>
  <si>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</si>
  <si>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</si>
  <si>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</si>
  <si>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</si>
  <si>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</si>
  <si>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</si>
  <si>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</si>
  <si>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</si>
  <si>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</si>
  <si>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</si>
  <si>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</si>
  <si>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</si>
  <si>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</si>
  <si>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</si>
  <si>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</si>
  <si>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</si>
  <si>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</si>
  <si>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</si>
  <si>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</si>
  <si>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</si>
  <si>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</si>
  <si>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</si>
  <si>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</si>
  <si>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</si>
  <si>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</si>
  <si>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</si>
  <si>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</si>
  <si>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</si>
  <si>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</si>
  <si>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</si>
  <si>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</si>
  <si>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</si>
  <si>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</si>
  <si>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</si>
  <si>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</si>
  <si>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</si>
  <si>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</si>
  <si>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 -   neieskaitot iedzīvotāju ienākuma nodokļa atlikumu sadales kontā</t>
  </si>
  <si>
    <t xml:space="preserve">**  -   ieskaitot  tīros aizdevumus </t>
  </si>
  <si>
    <t xml:space="preserve">Valsts kases pārvaldnieks </t>
  </si>
  <si>
    <t>_______________________________</t>
  </si>
  <si>
    <t xml:space="preserve">Valsts kase / Pārskatu departaments </t>
  </si>
  <si>
    <t>15.07.99.</t>
  </si>
  <si>
    <t xml:space="preserve">                Valsts kases oficiālais pārskats</t>
  </si>
  <si>
    <t>17.tabula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</si>
  <si>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</si>
  <si>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</si>
  <si>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</si>
  <si>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</si>
  <si>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</si>
  <si>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</si>
  <si>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</si>
  <si>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</si>
  <si>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</si>
  <si>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</si>
  <si>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</si>
  <si>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</si>
  <si>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18. tabula</t>
  </si>
  <si>
    <t xml:space="preserve">                   Pašvaldību finansu izlīdzināšanas  fonda līdzekļi</t>
  </si>
  <si>
    <t xml:space="preserve">                   ( 1999. gada janvāris - jūnijs )</t>
  </si>
  <si>
    <t>(latos)</t>
  </si>
  <si>
    <t>Izpilde</t>
  </si>
  <si>
    <t xml:space="preserve">1. Ieņēmumi - kopā   </t>
  </si>
  <si>
    <t xml:space="preserve">Atlikums uz 1999.gada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</si>
  <si>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</si>
  <si>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</si>
  <si>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</si>
  <si>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</si>
  <si>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</si>
  <si>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</si>
  <si>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</si>
  <si>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</si>
  <si>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1999.gada 1.jūliju (1.-2.)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</si>
  <si>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</si>
  <si>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</si>
  <si>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19. tabula</t>
  </si>
  <si>
    <t>No valsts budžeta pārskaitītās mērķdotācijas pašvaldībām</t>
  </si>
  <si>
    <t xml:space="preserve">   ( 1999. gada janvāris - jūnijs )</t>
  </si>
  <si>
    <t xml:space="preserve">                (latos)</t>
  </si>
  <si>
    <t>Rajona vai pilsētas nosaukums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</si>
  <si>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</si>
  <si>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</si>
  <si>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</si>
  <si>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</si>
  <si>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</si>
  <si>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</si>
  <si>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</si>
  <si>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</si>
  <si>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1998.g.</t>
  </si>
  <si>
    <t>1999.g.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</si>
  <si>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</si>
  <si>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</si>
  <si>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</si>
  <si>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</si>
  <si>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</si>
  <si>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</si>
  <si>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</si>
  <si>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</si>
  <si>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</si>
  <si>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</si>
  <si>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</si>
  <si>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</si>
  <si>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</si>
  <si>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</si>
  <si>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</si>
  <si>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</si>
  <si>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</si>
  <si>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</si>
  <si>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</si>
  <si>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</si>
  <si>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</si>
  <si>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</si>
  <si>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</si>
  <si>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</si>
  <si>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</si>
  <si>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</si>
  <si>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</si>
  <si>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</si>
  <si>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</si>
  <si>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</si>
  <si>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</si>
  <si>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</si>
  <si>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</si>
  <si>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</si>
  <si>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>10. tabula</t>
  </si>
  <si>
    <t xml:space="preserve">Pašvaldību konsolidētā budžeta izpilde 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</si>
  <si>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</si>
  <si>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</si>
  <si>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</si>
  <si>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</si>
  <si>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</si>
  <si>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</si>
  <si>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</si>
  <si>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</si>
  <si>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</si>
  <si>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</si>
  <si>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</si>
  <si>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</si>
  <si>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</si>
  <si>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</si>
  <si>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</si>
  <si>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</si>
  <si>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</si>
  <si>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</si>
  <si>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</si>
  <si>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</si>
  <si>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</si>
  <si>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</si>
  <si>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</si>
  <si>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</si>
  <si>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</si>
  <si>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</si>
  <si>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</si>
  <si>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</si>
  <si>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</si>
  <si>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</t>
  </si>
  <si>
    <t xml:space="preserve">     Pašvaldību pamatbudžeta aizdevumi </t>
  </si>
  <si>
    <t xml:space="preserve">     Pašvaldību pamatbudžeta aizdevumu atmaksas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</si>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</sst>
</file>

<file path=xl/styles.xml><?xml version="1.0" encoding="utf-8"?>
<styleSheet xmlns="http://schemas.openxmlformats.org/spreadsheetml/2006/main">
  <numFmts count="62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##,###,###"/>
    <numFmt numFmtId="173" formatCode="#,###%"/>
    <numFmt numFmtId="174" formatCode="0.0%"/>
    <numFmt numFmtId="175" formatCode="#\ ##0"/>
    <numFmt numFmtId="176" formatCode="00.000"/>
    <numFmt numFmtId="177" formatCode="00.0%"/>
    <numFmt numFmtId="178" formatCode="###.0%"/>
    <numFmt numFmtId="179" formatCode="#,###.0%"/>
    <numFmt numFmtId="180" formatCode="###,###"/>
    <numFmt numFmtId="181" formatCode="###0"/>
    <numFmt numFmtId="182" formatCode="#,##0\ &quot;LVR&quot;;\-#,##0\ &quot;LVR&quot;"/>
    <numFmt numFmtId="183" formatCode="#,##0\ &quot;LVR&quot;;[Red]\-#,##0\ &quot;LVR&quot;"/>
    <numFmt numFmtId="184" formatCode="#,##0.00\ &quot;LVR&quot;;\-#,##0.00\ &quot;LVR&quot;"/>
    <numFmt numFmtId="185" formatCode="#,##0.00\ &quot;LVR&quot;;[Red]\-#,##0.00\ &quot;LVR&quot;"/>
    <numFmt numFmtId="186" formatCode="_-* #,##0\ &quot;LVR&quot;_-;\-* #,##0\ &quot;LVR&quot;_-;_-* &quot;-&quot;\ &quot;LVR&quot;_-;_-@_-"/>
    <numFmt numFmtId="187" formatCode="_-* #,##0\ _L_V_R_-;\-* #,##0\ _L_V_R_-;_-* &quot;-&quot;\ _L_V_R_-;_-@_-"/>
    <numFmt numFmtId="188" formatCode="_-* #,##0.00\ &quot;LVR&quot;_-;\-* #,##0.00\ &quot;LVR&quot;_-;_-* &quot;-&quot;??\ &quot;LVR&quot;_-;_-@_-"/>
    <numFmt numFmtId="189" formatCode="_-* #,##0.00\ _L_V_R_-;\-* #,##0.00\ _L_V_R_-;_-* &quot;-&quot;??\ _L_V_R_-;_-@_-"/>
    <numFmt numFmtId="190" formatCode="&quot;Ls&quot;#,##0_);\(&quot;Ls&quot;#,##0\)"/>
    <numFmt numFmtId="191" formatCode="&quot;Ls&quot;#,##0_);[Red]\(&quot;Ls&quot;#,##0\)"/>
    <numFmt numFmtId="192" formatCode="&quot;Ls&quot;#,##0.00_);\(&quot;Ls&quot;#,##0.00\)"/>
    <numFmt numFmtId="193" formatCode="&quot;Ls&quot;#,##0.00_);[Red]\(&quot;Ls&quot;#,##0.00\)"/>
    <numFmt numFmtId="194" formatCode="_(&quot;Ls&quot;* #,##0_);_(&quot;Ls&quot;* \(#,##0\);_(&quot;Ls&quot;* &quot;-&quot;_);_(@_)"/>
    <numFmt numFmtId="195" formatCode="_(&quot;Ls&quot;* #,##0.00_);_(&quot;Ls&quot;* \(#,##0.00\);_(&quot;Ls&quot;* &quot;-&quot;??_);_(@_)"/>
    <numFmt numFmtId="196" formatCode="#,###,##0"/>
    <numFmt numFmtId="197" formatCode="#,000"/>
    <numFmt numFmtId="198" formatCode="#,###,000"/>
    <numFmt numFmtId="199" formatCode="#,"/>
    <numFmt numFmtId="200" formatCode="0,"/>
    <numFmt numFmtId="201" formatCode="##0"/>
    <numFmt numFmtId="202" formatCode="#0,"/>
    <numFmt numFmtId="203" formatCode="#,#00"/>
    <numFmt numFmtId="204" formatCode="#."/>
    <numFmt numFmtId="205" formatCode="##0,"/>
    <numFmt numFmtId="206" formatCode="##0,###"/>
    <numFmt numFmtId="207" formatCode="#,###"/>
    <numFmt numFmtId="208" formatCode="\ #,"/>
    <numFmt numFmtId="209" formatCode="\ #"/>
    <numFmt numFmtId="210" formatCode="#,###,000.0"/>
    <numFmt numFmtId="211" formatCode="_(* #,##0.000_);_(* \(#,##0.000\);_(* &quot;-&quot;??_);_(@_)"/>
    <numFmt numFmtId="212" formatCode="_(* #,##0.0_);_(* \(#,##0.0\);_(* &quot;-&quot;??_);_(@_)"/>
    <numFmt numFmtId="213" formatCode="_(* #,##0_);_(* \(#,##0\);_(* &quot;-&quot;??_);_(@_)"/>
    <numFmt numFmtId="214" formatCode="#\ ###\ ##0"/>
    <numFmt numFmtId="215" formatCode="#\ ###\ \ ##0"/>
    <numFmt numFmtId="216" formatCode="###,##0,"/>
    <numFmt numFmtId="217" formatCode="#,###,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8"/>
      <name val="Times New Roman"/>
      <family val="0"/>
    </font>
    <font>
      <i/>
      <sz val="11"/>
      <name val="Arial"/>
      <family val="2"/>
    </font>
    <font>
      <sz val="8"/>
      <name val="Times New Roman"/>
      <family val="0"/>
    </font>
    <font>
      <b/>
      <sz val="16"/>
      <name val="Arial"/>
      <family val="2"/>
    </font>
    <font>
      <sz val="12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5" fillId="0" borderId="1" xfId="22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174" fontId="6" fillId="0" borderId="1" xfId="22" applyNumberFormat="1" applyFont="1" applyBorder="1" applyAlignment="1">
      <alignment/>
    </xf>
    <xf numFmtId="0" fontId="6" fillId="0" borderId="1" xfId="0" applyFont="1" applyBorder="1" applyAlignment="1">
      <alignment wrapText="1"/>
    </xf>
    <xf numFmtId="172" fontId="5" fillId="0" borderId="1" xfId="0" applyNumberFormat="1" applyFont="1" applyBorder="1" applyAlignment="1">
      <alignment/>
    </xf>
    <xf numFmtId="174" fontId="5" fillId="0" borderId="1" xfId="22" applyNumberFormat="1" applyFont="1" applyBorder="1" applyAlignment="1">
      <alignment/>
    </xf>
    <xf numFmtId="0" fontId="0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173" fontId="1" fillId="0" borderId="1" xfId="22" applyNumberFormat="1" applyFont="1" applyBorder="1" applyAlignment="1">
      <alignment/>
    </xf>
    <xf numFmtId="174" fontId="1" fillId="0" borderId="1" xfId="22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72" fontId="8" fillId="0" borderId="1" xfId="0" applyNumberFormat="1" applyFont="1" applyBorder="1" applyAlignment="1">
      <alignment/>
    </xf>
    <xf numFmtId="174" fontId="8" fillId="0" borderId="1" xfId="22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5" fontId="4" fillId="0" borderId="1" xfId="0" applyNumberFormat="1" applyFont="1" applyBorder="1" applyAlignment="1">
      <alignment/>
    </xf>
    <xf numFmtId="10" fontId="5" fillId="0" borderId="1" xfId="22" applyNumberFormat="1" applyFont="1" applyBorder="1" applyAlignment="1">
      <alignment/>
    </xf>
    <xf numFmtId="172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76" fontId="7" fillId="0" borderId="1" xfId="0" applyNumberFormat="1" applyFont="1" applyBorder="1" applyAlignment="1">
      <alignment horizontal="center"/>
    </xf>
    <xf numFmtId="175" fontId="7" fillId="0" borderId="1" xfId="0" applyNumberFormat="1" applyFont="1" applyBorder="1" applyAlignment="1">
      <alignment/>
    </xf>
    <xf numFmtId="10" fontId="1" fillId="0" borderId="1" xfId="22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5" fontId="7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75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7" fontId="4" fillId="0" borderId="1" xfId="22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75" fontId="6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77" fontId="6" fillId="0" borderId="1" xfId="22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75" fontId="5" fillId="0" borderId="1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7" fontId="5" fillId="0" borderId="1" xfId="22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7" fontId="1" fillId="0" borderId="1" xfId="22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75" fontId="8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/>
    </xf>
    <xf numFmtId="177" fontId="8" fillId="0" borderId="1" xfId="22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75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0" fontId="1" fillId="0" borderId="0" xfId="22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75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5" fontId="7" fillId="0" borderId="0" xfId="0" applyNumberFormat="1" applyFont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5" fontId="4" fillId="0" borderId="1" xfId="0" applyNumberFormat="1" applyFont="1" applyBorder="1" applyAlignment="1">
      <alignment horizontal="right"/>
    </xf>
    <xf numFmtId="178" fontId="4" fillId="0" borderId="1" xfId="22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75" fontId="1" fillId="0" borderId="1" xfId="0" applyNumberFormat="1" applyFont="1" applyBorder="1" applyAlignment="1">
      <alignment horizontal="right"/>
    </xf>
    <xf numFmtId="178" fontId="1" fillId="0" borderId="1" xfId="22" applyNumberFormat="1" applyFont="1" applyBorder="1" applyAlignment="1">
      <alignment/>
    </xf>
    <xf numFmtId="175" fontId="6" fillId="0" borderId="1" xfId="0" applyNumberFormat="1" applyFont="1" applyBorder="1" applyAlignment="1">
      <alignment/>
    </xf>
    <xf numFmtId="178" fontId="6" fillId="0" borderId="1" xfId="22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75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wrapText="1"/>
    </xf>
    <xf numFmtId="175" fontId="11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10" fontId="7" fillId="0" borderId="0" xfId="0" applyNumberFormat="1" applyFont="1" applyBorder="1" applyAlignment="1">
      <alignment horizontal="centerContinuous"/>
    </xf>
    <xf numFmtId="175" fontId="1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175" fontId="1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6" fillId="0" borderId="1" xfId="0" applyNumberFormat="1" applyFont="1" applyBorder="1" applyAlignment="1">
      <alignment horizontal="right" wrapText="1"/>
    </xf>
    <xf numFmtId="172" fontId="6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right" wrapText="1"/>
    </xf>
    <xf numFmtId="175" fontId="5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 horizontal="right" wrapText="1"/>
    </xf>
    <xf numFmtId="178" fontId="5" fillId="0" borderId="1" xfId="22" applyNumberFormat="1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5" fontId="8" fillId="0" borderId="1" xfId="0" applyNumberFormat="1" applyFont="1" applyBorder="1" applyAlignment="1">
      <alignment horizontal="center"/>
    </xf>
    <xf numFmtId="175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 horizontal="center" wrapText="1"/>
    </xf>
    <xf numFmtId="10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72" fontId="1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/>
    </xf>
    <xf numFmtId="172" fontId="1" fillId="0" borderId="1" xfId="0" applyNumberFormat="1" applyFont="1" applyBorder="1" applyAlignment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175" fontId="8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9" fontId="5" fillId="0" borderId="1" xfId="22" applyNumberFormat="1" applyFont="1" applyBorder="1" applyAlignment="1">
      <alignment/>
    </xf>
    <xf numFmtId="179" fontId="1" fillId="0" borderId="1" xfId="22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172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179" fontId="8" fillId="0" borderId="1" xfId="22" applyNumberFormat="1" applyFont="1" applyBorder="1" applyAlignment="1">
      <alignment/>
    </xf>
    <xf numFmtId="0" fontId="15" fillId="0" borderId="0" xfId="0" applyFont="1" applyAlignment="1">
      <alignment/>
    </xf>
    <xf numFmtId="175" fontId="0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72" fontId="4" fillId="0" borderId="1" xfId="0" applyNumberFormat="1" applyFont="1" applyBorder="1" applyAlignment="1">
      <alignment horizontal="right" wrapText="1"/>
    </xf>
    <xf numFmtId="174" fontId="4" fillId="0" borderId="1" xfId="22" applyNumberFormat="1" applyFont="1" applyBorder="1" applyAlignment="1">
      <alignment/>
    </xf>
    <xf numFmtId="0" fontId="1" fillId="0" borderId="1" xfId="0" applyFont="1" applyBorder="1" applyAlignment="1">
      <alignment horizontal="right" wrapText="1"/>
    </xf>
    <xf numFmtId="172" fontId="5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 horizontal="right"/>
    </xf>
    <xf numFmtId="173" fontId="8" fillId="0" borderId="1" xfId="22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75" fontId="0" fillId="0" borderId="1" xfId="0" applyNumberFormat="1" applyBorder="1" applyAlignment="1">
      <alignment/>
    </xf>
    <xf numFmtId="172" fontId="7" fillId="0" borderId="1" xfId="0" applyNumberFormat="1" applyFont="1" applyBorder="1" applyAlignment="1">
      <alignment horizontal="center"/>
    </xf>
    <xf numFmtId="175" fontId="7" fillId="0" borderId="1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 wrapText="1"/>
    </xf>
    <xf numFmtId="175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5" fontId="0" fillId="0" borderId="0" xfId="0" applyNumberFormat="1" applyFont="1" applyAlignment="1">
      <alignment horizontal="center"/>
    </xf>
    <xf numFmtId="175" fontId="11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7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right" wrapText="1"/>
    </xf>
    <xf numFmtId="180" fontId="6" fillId="0" borderId="1" xfId="0" applyNumberFormat="1" applyFont="1" applyBorder="1" applyAlignment="1">
      <alignment horizontal="right" wrapText="1"/>
    </xf>
    <xf numFmtId="9" fontId="6" fillId="0" borderId="1" xfId="22" applyNumberFormat="1" applyFont="1" applyBorder="1" applyAlignment="1">
      <alignment/>
    </xf>
    <xf numFmtId="173" fontId="1" fillId="0" borderId="1" xfId="22" applyNumberFormat="1" applyFont="1" applyBorder="1" applyAlignment="1">
      <alignment horizontal="right"/>
    </xf>
    <xf numFmtId="9" fontId="5" fillId="0" borderId="1" xfId="22" applyNumberFormat="1" applyFont="1" applyBorder="1" applyAlignment="1">
      <alignment/>
    </xf>
    <xf numFmtId="175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75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175" fontId="7" fillId="0" borderId="1" xfId="0" applyNumberFormat="1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75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5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0" fontId="6" fillId="0" borderId="1" xfId="22" applyNumberFormat="1" applyFont="1" applyBorder="1" applyAlignment="1">
      <alignment/>
    </xf>
    <xf numFmtId="0" fontId="4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175" fontId="4" fillId="0" borderId="1" xfId="0" applyNumberFormat="1" applyFont="1" applyBorder="1" applyAlignment="1">
      <alignment wrapText="1"/>
    </xf>
    <xf numFmtId="175" fontId="5" fillId="0" borderId="1" xfId="0" applyNumberFormat="1" applyFont="1" applyBorder="1" applyAlignment="1">
      <alignment wrapText="1"/>
    </xf>
    <xf numFmtId="175" fontId="0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175" fontId="0" fillId="0" borderId="1" xfId="0" applyNumberFormat="1" applyFont="1" applyBorder="1" applyAlignment="1">
      <alignment horizontal="left" vertical="center"/>
    </xf>
    <xf numFmtId="175" fontId="1" fillId="0" borderId="1" xfId="0" applyNumberFormat="1" applyFont="1" applyBorder="1" applyAlignment="1">
      <alignment wrapText="1"/>
    </xf>
    <xf numFmtId="175" fontId="0" fillId="0" borderId="1" xfId="0" applyNumberFormat="1" applyFont="1" applyBorder="1" applyAlignment="1">
      <alignment horizontal="left" vertical="center" wrapText="1"/>
    </xf>
    <xf numFmtId="175" fontId="0" fillId="0" borderId="1" xfId="0" applyNumberFormat="1" applyFont="1" applyBorder="1" applyAlignment="1">
      <alignment horizontal="left"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centerContinuous"/>
    </xf>
    <xf numFmtId="0" fontId="21" fillId="0" borderId="0" xfId="21" applyFont="1" applyAlignment="1">
      <alignment horizontal="centerContinuous"/>
      <protection/>
    </xf>
    <xf numFmtId="175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75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21" applyNumberFormat="1" applyFont="1" applyAlignment="1">
      <alignment horizontal="centerContinuous" vertical="top" wrapText="1"/>
      <protection/>
    </xf>
    <xf numFmtId="0" fontId="0" fillId="0" borderId="0" xfId="21" applyFont="1" applyAlignment="1">
      <alignment horizontal="centerContinuous"/>
      <protection/>
    </xf>
    <xf numFmtId="0" fontId="21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49" fontId="2" fillId="0" borderId="0" xfId="21" applyNumberFormat="1" applyFont="1" applyAlignment="1">
      <alignment horizontal="centerContinuous" vertical="top" wrapText="1"/>
      <protection/>
    </xf>
    <xf numFmtId="49" fontId="19" fillId="0" borderId="0" xfId="21" applyNumberFormat="1" applyFont="1" applyAlignment="1">
      <alignment horizontal="centerContinuous" vertical="top" wrapText="1"/>
      <protection/>
    </xf>
    <xf numFmtId="0" fontId="19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49" fontId="21" fillId="0" borderId="0" xfId="21" applyNumberFormat="1" applyFont="1" applyAlignment="1">
      <alignment vertical="top" wrapText="1"/>
      <protection/>
    </xf>
    <xf numFmtId="0" fontId="1" fillId="0" borderId="0" xfId="21" applyFont="1">
      <alignment/>
      <protection/>
    </xf>
    <xf numFmtId="49" fontId="1" fillId="0" borderId="0" xfId="21" applyNumberFormat="1" applyFont="1" applyAlignment="1">
      <alignment vertical="top" wrapText="1"/>
      <protection/>
    </xf>
    <xf numFmtId="0" fontId="1" fillId="0" borderId="0" xfId="21" applyFont="1" applyAlignment="1">
      <alignment horizontal="centerContinuous"/>
      <protection/>
    </xf>
    <xf numFmtId="49" fontId="1" fillId="0" borderId="1" xfId="21" applyNumberFormat="1" applyFont="1" applyFill="1" applyBorder="1" applyAlignment="1">
      <alignment horizontal="centerContinuous" vertical="center"/>
      <protection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0" fontId="0" fillId="0" borderId="0" xfId="21" applyFont="1">
      <alignment/>
      <protection/>
    </xf>
    <xf numFmtId="49" fontId="1" fillId="0" borderId="1" xfId="21" applyNumberFormat="1" applyFont="1" applyFill="1" applyBorder="1" applyAlignment="1">
      <alignment horizontal="center" vertical="top" wrapText="1"/>
      <protection/>
    </xf>
    <xf numFmtId="3" fontId="4" fillId="0" borderId="1" xfId="21" applyNumberFormat="1" applyFont="1" applyBorder="1" applyAlignment="1">
      <alignment horizontal="center"/>
      <protection/>
    </xf>
    <xf numFmtId="3" fontId="7" fillId="0" borderId="1" xfId="21" applyNumberFormat="1" applyFont="1" applyBorder="1">
      <alignment/>
      <protection/>
    </xf>
    <xf numFmtId="4" fontId="7" fillId="0" borderId="1" xfId="21" applyNumberFormat="1" applyFont="1" applyBorder="1">
      <alignment/>
      <protection/>
    </xf>
    <xf numFmtId="49" fontId="4" fillId="0" borderId="1" xfId="21" applyNumberFormat="1" applyFont="1" applyFill="1" applyBorder="1" applyAlignment="1">
      <alignment horizontal="center" vertical="top" wrapText="1"/>
      <protection/>
    </xf>
    <xf numFmtId="3" fontId="4" fillId="0" borderId="1" xfId="21" applyNumberFormat="1" applyFont="1" applyBorder="1" applyAlignment="1">
      <alignment horizontal="left"/>
      <protection/>
    </xf>
    <xf numFmtId="3" fontId="5" fillId="0" borderId="1" xfId="21" applyNumberFormat="1" applyFont="1" applyBorder="1" applyAlignment="1">
      <alignment horizontal="left"/>
      <protection/>
    </xf>
    <xf numFmtId="3" fontId="1" fillId="0" borderId="1" xfId="21" applyNumberFormat="1" applyFont="1" applyBorder="1">
      <alignment/>
      <protection/>
    </xf>
    <xf numFmtId="49" fontId="1" fillId="0" borderId="1" xfId="21" applyNumberFormat="1" applyFont="1" applyFill="1" applyBorder="1" applyAlignment="1">
      <alignment vertical="top" wrapText="1"/>
      <protection/>
    </xf>
    <xf numFmtId="49" fontId="4" fillId="0" borderId="1" xfId="21" applyNumberFormat="1" applyFont="1" applyFill="1" applyBorder="1" applyAlignment="1">
      <alignment vertical="top" wrapText="1"/>
      <protection/>
    </xf>
    <xf numFmtId="3" fontId="5" fillId="0" borderId="1" xfId="21" applyNumberFormat="1" applyFont="1" applyBorder="1" applyAlignment="1">
      <alignment horizontal="center"/>
      <protection/>
    </xf>
    <xf numFmtId="49" fontId="5" fillId="0" borderId="1" xfId="21" applyNumberFormat="1" applyFont="1" applyFill="1" applyBorder="1" applyAlignment="1">
      <alignment horizontal="center" vertical="top" wrapText="1"/>
      <protection/>
    </xf>
    <xf numFmtId="0" fontId="21" fillId="0" borderId="0" xfId="21" applyFont="1" applyBorder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21" fillId="0" borderId="0" xfId="21" applyFont="1" applyAlignment="1">
      <alignment horizontal="left"/>
      <protection/>
    </xf>
    <xf numFmtId="0" fontId="21" fillId="0" borderId="0" xfId="21" applyFont="1" applyBorder="1" applyAlignment="1">
      <alignment horizontal="center"/>
      <protection/>
    </xf>
    <xf numFmtId="49" fontId="0" fillId="0" borderId="0" xfId="21" applyNumberFormat="1" applyFont="1" applyAlignment="1">
      <alignment vertical="top" wrapText="1"/>
      <protection/>
    </xf>
    <xf numFmtId="49" fontId="7" fillId="0" borderId="0" xfId="21" applyNumberFormat="1" applyFont="1" applyAlignment="1">
      <alignment horizontal="left" vertical="top" wrapText="1"/>
      <protection/>
    </xf>
    <xf numFmtId="49" fontId="7" fillId="0" borderId="0" xfId="21" applyNumberFormat="1" applyFont="1" applyAlignment="1">
      <alignment vertical="top" wrapText="1"/>
      <protection/>
    </xf>
    <xf numFmtId="49" fontId="7" fillId="0" borderId="3" xfId="21" applyNumberFormat="1" applyFont="1" applyBorder="1" applyAlignment="1">
      <alignment horizontal="center"/>
      <protection/>
    </xf>
    <xf numFmtId="49" fontId="7" fillId="0" borderId="0" xfId="21" applyNumberFormat="1" applyFont="1" applyBorder="1" applyAlignment="1">
      <alignment horizontal="center"/>
      <protection/>
    </xf>
    <xf numFmtId="0" fontId="7" fillId="0" borderId="0" xfId="21" applyFont="1">
      <alignment/>
      <protection/>
    </xf>
    <xf numFmtId="49" fontId="21" fillId="0" borderId="0" xfId="21" applyNumberFormat="1" applyFont="1" applyAlignment="1">
      <alignment horizontal="left" vertical="top" wrapText="1"/>
      <protection/>
    </xf>
    <xf numFmtId="0" fontId="1" fillId="0" borderId="0" xfId="21" applyFont="1" applyAlignment="1">
      <alignment horizontal="left"/>
      <protection/>
    </xf>
    <xf numFmtId="0" fontId="21" fillId="0" borderId="0" xfId="21" applyFont="1" applyAlignment="1">
      <alignment/>
      <protection/>
    </xf>
    <xf numFmtId="49" fontId="1" fillId="0" borderId="0" xfId="21" applyNumberFormat="1" applyFont="1" applyAlignment="1">
      <alignment horizontal="centerContinuous" vertical="top" wrapText="1"/>
      <protection/>
    </xf>
    <xf numFmtId="49" fontId="21" fillId="0" borderId="0" xfId="21" applyNumberFormat="1" applyFont="1" applyAlignment="1">
      <alignment horizontal="centerContinuous" vertical="top" wrapText="1"/>
      <protection/>
    </xf>
    <xf numFmtId="49" fontId="1" fillId="0" borderId="0" xfId="21" applyNumberFormat="1" applyFont="1" applyAlignment="1">
      <alignment horizontal="center" vertical="top" wrapText="1"/>
      <protection/>
    </xf>
    <xf numFmtId="0" fontId="1" fillId="0" borderId="0" xfId="21" applyFont="1" applyAlignment="1">
      <alignment/>
      <protection/>
    </xf>
    <xf numFmtId="49" fontId="1" fillId="0" borderId="4" xfId="21" applyNumberFormat="1" applyFont="1" applyFill="1" applyBorder="1" applyAlignment="1">
      <alignment horizontal="center" vertical="center" wrapText="1"/>
      <protection/>
    </xf>
    <xf numFmtId="49" fontId="1" fillId="0" borderId="5" xfId="21" applyNumberFormat="1" applyFont="1" applyFill="1" applyBorder="1" applyAlignment="1">
      <alignment horizontal="center" vertical="center" wrapText="1"/>
      <protection/>
    </xf>
    <xf numFmtId="49" fontId="1" fillId="0" borderId="6" xfId="21" applyNumberFormat="1" applyFont="1" applyFill="1" applyBorder="1" applyAlignment="1">
      <alignment horizontal="center" vertical="center" wrapText="1"/>
      <protection/>
    </xf>
    <xf numFmtId="49" fontId="1" fillId="0" borderId="7" xfId="21" applyNumberFormat="1" applyFont="1" applyFill="1" applyBorder="1" applyAlignment="1">
      <alignment horizontal="center" vertical="top" wrapText="1"/>
      <protection/>
    </xf>
    <xf numFmtId="49" fontId="1" fillId="0" borderId="8" xfId="21" applyNumberFormat="1" applyFont="1" applyFill="1" applyBorder="1" applyAlignment="1">
      <alignment horizontal="center" vertical="top" wrapText="1"/>
      <protection/>
    </xf>
    <xf numFmtId="49" fontId="4" fillId="0" borderId="7" xfId="21" applyNumberFormat="1" applyFont="1" applyFill="1" applyBorder="1" applyAlignment="1">
      <alignment horizontal="center" vertical="top" wrapText="1"/>
      <protection/>
    </xf>
    <xf numFmtId="3" fontId="7" fillId="0" borderId="8" xfId="21" applyNumberFormat="1" applyFont="1" applyBorder="1">
      <alignment/>
      <protection/>
    </xf>
    <xf numFmtId="49" fontId="4" fillId="0" borderId="7" xfId="21" applyNumberFormat="1" applyFont="1" applyFill="1" applyBorder="1" applyAlignment="1">
      <alignment horizontal="left" vertical="top" wrapText="1"/>
      <protection/>
    </xf>
    <xf numFmtId="49" fontId="1" fillId="0" borderId="7" xfId="21" applyNumberFormat="1" applyFont="1" applyFill="1" applyBorder="1" applyAlignment="1">
      <alignment vertical="top" wrapText="1"/>
      <protection/>
    </xf>
    <xf numFmtId="49" fontId="5" fillId="0" borderId="7" xfId="21" applyNumberFormat="1" applyFont="1" applyFill="1" applyBorder="1" applyAlignment="1">
      <alignment horizontal="center" vertical="top" wrapText="1"/>
      <protection/>
    </xf>
    <xf numFmtId="49" fontId="1" fillId="0" borderId="7" xfId="21" applyNumberFormat="1" applyFont="1" applyFill="1" applyBorder="1" applyAlignment="1">
      <alignment horizontal="left" vertical="top" wrapText="1"/>
      <protection/>
    </xf>
    <xf numFmtId="49" fontId="1" fillId="0" borderId="9" xfId="21" applyNumberFormat="1" applyFont="1" applyFill="1" applyBorder="1" applyAlignment="1">
      <alignment horizontal="left" vertical="top" wrapText="1"/>
      <protection/>
    </xf>
    <xf numFmtId="3" fontId="7" fillId="0" borderId="10" xfId="21" applyNumberFormat="1" applyFont="1" applyBorder="1">
      <alignment/>
      <protection/>
    </xf>
    <xf numFmtId="3" fontId="7" fillId="0" borderId="11" xfId="21" applyNumberFormat="1" applyFont="1" applyBorder="1">
      <alignment/>
      <protection/>
    </xf>
    <xf numFmtId="0" fontId="7" fillId="0" borderId="0" xfId="21" applyFont="1" applyAlignment="1">
      <alignment horizontal="left"/>
      <protection/>
    </xf>
    <xf numFmtId="49" fontId="7" fillId="0" borderId="0" xfId="21" applyNumberFormat="1" applyFont="1" applyFill="1" applyBorder="1" applyAlignment="1">
      <alignment vertical="top" wrapText="1"/>
      <protection/>
    </xf>
    <xf numFmtId="49" fontId="7" fillId="0" borderId="0" xfId="21" applyNumberFormat="1" applyFont="1" applyFill="1" applyBorder="1" applyAlignment="1">
      <alignment horizontal="center" vertical="top" wrapText="1"/>
      <protection/>
    </xf>
    <xf numFmtId="3" fontId="7" fillId="0" borderId="0" xfId="21" applyNumberFormat="1" applyFont="1" applyBorder="1">
      <alignment/>
      <protection/>
    </xf>
    <xf numFmtId="49" fontId="7" fillId="0" borderId="0" xfId="21" applyNumberFormat="1" applyFont="1" applyAlignment="1">
      <alignment horizontal="center" vertical="top" wrapText="1"/>
      <protection/>
    </xf>
    <xf numFmtId="0" fontId="7" fillId="0" borderId="3" xfId="21" applyFont="1" applyBorder="1" applyAlignment="1">
      <alignment/>
      <protection/>
    </xf>
    <xf numFmtId="49" fontId="7" fillId="0" borderId="0" xfId="21" applyNumberFormat="1" applyFont="1" applyBorder="1">
      <alignment/>
      <protection/>
    </xf>
    <xf numFmtId="0" fontId="7" fillId="0" borderId="0" xfId="21" applyFont="1" applyAlignment="1">
      <alignment/>
      <protection/>
    </xf>
    <xf numFmtId="49" fontId="21" fillId="0" borderId="0" xfId="21" applyNumberFormat="1" applyFont="1" applyAlignment="1">
      <alignment horizontal="center" vertical="top" wrapText="1"/>
      <protection/>
    </xf>
    <xf numFmtId="49" fontId="0" fillId="0" borderId="0" xfId="21" applyNumberFormat="1" applyFont="1" applyAlignment="1">
      <alignment horizontal="right" vertical="top" wrapText="1"/>
      <protection/>
    </xf>
    <xf numFmtId="49" fontId="9" fillId="0" borderId="0" xfId="21" applyNumberFormat="1" applyFont="1" applyAlignment="1">
      <alignment horizontal="centerContinuous" vertical="top" wrapText="1"/>
      <protection/>
    </xf>
    <xf numFmtId="49" fontId="5" fillId="0" borderId="7" xfId="21" applyNumberFormat="1" applyFont="1" applyFill="1" applyBorder="1" applyAlignment="1">
      <alignment horizontal="left" vertical="top" wrapText="1"/>
      <protection/>
    </xf>
    <xf numFmtId="49" fontId="8" fillId="0" borderId="7" xfId="21" applyNumberFormat="1" applyFont="1" applyFill="1" applyBorder="1" applyAlignment="1">
      <alignment horizontal="left" vertical="top" wrapText="1"/>
      <protection/>
    </xf>
    <xf numFmtId="3" fontId="21" fillId="0" borderId="0" xfId="21" applyNumberFormat="1" applyFont="1" applyAlignment="1">
      <alignment horizontal="left"/>
      <protection/>
    </xf>
    <xf numFmtId="4" fontId="7" fillId="0" borderId="10" xfId="21" applyNumberFormat="1" applyFont="1" applyBorder="1">
      <alignment/>
      <protection/>
    </xf>
    <xf numFmtId="49" fontId="4" fillId="0" borderId="9" xfId="21" applyNumberFormat="1" applyFont="1" applyFill="1" applyBorder="1" applyAlignment="1">
      <alignment horizontal="left" vertical="top" wrapText="1"/>
      <protection/>
    </xf>
    <xf numFmtId="49" fontId="1" fillId="0" borderId="0" xfId="21" applyNumberFormat="1" applyFont="1" applyAlignment="1">
      <alignment horizontal="left" vertical="top" wrapText="1"/>
      <protection/>
    </xf>
    <xf numFmtId="0" fontId="1" fillId="0" borderId="7" xfId="21" applyFont="1" applyBorder="1" applyAlignment="1">
      <alignment horizontal="center"/>
      <protection/>
    </xf>
    <xf numFmtId="3" fontId="1" fillId="0" borderId="1" xfId="21" applyNumberFormat="1" applyFont="1" applyBorder="1" applyAlignment="1">
      <alignment horizontal="center"/>
      <protection/>
    </xf>
    <xf numFmtId="0" fontId="1" fillId="0" borderId="1" xfId="21" applyNumberFormat="1" applyFont="1" applyBorder="1" applyAlignment="1">
      <alignment horizontal="center"/>
      <protection/>
    </xf>
    <xf numFmtId="0" fontId="1" fillId="0" borderId="8" xfId="21" applyNumberFormat="1" applyFont="1" applyBorder="1" applyAlignment="1">
      <alignment horizontal="center"/>
      <protection/>
    </xf>
    <xf numFmtId="0" fontId="4" fillId="0" borderId="7" xfId="21" applyFont="1" applyBorder="1" applyAlignment="1">
      <alignment horizontal="left" vertical="top" wrapText="1"/>
      <protection/>
    </xf>
    <xf numFmtId="2" fontId="7" fillId="0" borderId="1" xfId="21" applyNumberFormat="1" applyFont="1" applyBorder="1">
      <alignment/>
      <protection/>
    </xf>
    <xf numFmtId="0" fontId="1" fillId="0" borderId="7" xfId="21" applyFont="1" applyBorder="1" applyAlignment="1">
      <alignment vertical="top" wrapText="1"/>
      <protection/>
    </xf>
    <xf numFmtId="0" fontId="4" fillId="0" borderId="7" xfId="21" applyFont="1" applyBorder="1" applyAlignment="1">
      <alignment vertical="top" wrapText="1"/>
      <protection/>
    </xf>
    <xf numFmtId="0" fontId="4" fillId="0" borderId="9" xfId="21" applyFont="1" applyBorder="1" applyAlignment="1">
      <alignment vertical="top" wrapText="1"/>
      <protection/>
    </xf>
    <xf numFmtId="2" fontId="7" fillId="0" borderId="10" xfId="21" applyNumberFormat="1" applyFont="1" applyBorder="1">
      <alignment/>
      <protection/>
    </xf>
    <xf numFmtId="0" fontId="21" fillId="0" borderId="0" xfId="21" applyFont="1" applyAlignment="1">
      <alignment horizontal="center"/>
      <protection/>
    </xf>
    <xf numFmtId="0" fontId="0" fillId="0" borderId="0" xfId="21" applyFont="1" applyAlignment="1">
      <alignment horizontal="right"/>
      <protection/>
    </xf>
    <xf numFmtId="0" fontId="1" fillId="0" borderId="3" xfId="21" applyFont="1" applyBorder="1">
      <alignment/>
      <protection/>
    </xf>
    <xf numFmtId="0" fontId="1" fillId="0" borderId="3" xfId="21" applyFont="1" applyBorder="1" applyAlignment="1">
      <alignment horizontal="centerContinuous"/>
      <protection/>
    </xf>
    <xf numFmtId="3" fontId="7" fillId="0" borderId="12" xfId="21" applyNumberFormat="1" applyFont="1" applyBorder="1">
      <alignment/>
      <protection/>
    </xf>
    <xf numFmtId="4" fontId="7" fillId="0" borderId="0" xfId="21" applyNumberFormat="1" applyFont="1" applyBorder="1">
      <alignment/>
      <protection/>
    </xf>
    <xf numFmtId="0" fontId="21" fillId="0" borderId="3" xfId="21" applyFont="1" applyBorder="1">
      <alignment/>
      <protection/>
    </xf>
    <xf numFmtId="0" fontId="7" fillId="0" borderId="0" xfId="21" applyFont="1" applyBorder="1" applyAlignment="1">
      <alignment/>
      <protection/>
    </xf>
    <xf numFmtId="49" fontId="7" fillId="0" borderId="0" xfId="21" applyNumberFormat="1" applyFont="1">
      <alignment/>
      <protection/>
    </xf>
    <xf numFmtId="0" fontId="0" fillId="0" borderId="0" xfId="21" applyFont="1" applyAlignment="1">
      <alignment/>
      <protection/>
    </xf>
    <xf numFmtId="49" fontId="0" fillId="0" borderId="0" xfId="21" applyNumberFormat="1" applyFont="1" applyAlignment="1">
      <alignment horizontal="center" vertical="top" wrapText="1"/>
      <protection/>
    </xf>
    <xf numFmtId="0" fontId="0" fillId="0" borderId="0" xfId="21" applyFont="1" applyAlignment="1">
      <alignment wrapText="1"/>
      <protection/>
    </xf>
    <xf numFmtId="0" fontId="21" fillId="0" borderId="0" xfId="21" applyFont="1" applyAlignment="1">
      <alignment wrapText="1"/>
      <protection/>
    </xf>
    <xf numFmtId="0" fontId="7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 wrapText="1"/>
      <protection/>
    </xf>
    <xf numFmtId="0" fontId="2" fillId="0" borderId="0" xfId="21" applyFont="1" applyAlignment="1">
      <alignment horizontal="centerContinuous"/>
      <protection/>
    </xf>
    <xf numFmtId="0" fontId="22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5" fillId="0" borderId="0" xfId="21" applyFont="1" applyAlignment="1">
      <alignment horizontal="centerContinuous" wrapText="1"/>
      <protection/>
    </xf>
    <xf numFmtId="0" fontId="0" fillId="0" borderId="13" xfId="21" applyFont="1" applyBorder="1" applyAlignment="1">
      <alignment wrapText="1"/>
      <protection/>
    </xf>
    <xf numFmtId="0" fontId="1" fillId="0" borderId="14" xfId="21" applyFont="1" applyBorder="1" applyAlignment="1">
      <alignment horizontal="centerContinuous"/>
      <protection/>
    </xf>
    <xf numFmtId="0" fontId="1" fillId="0" borderId="15" xfId="21" applyFont="1" applyBorder="1" applyAlignment="1">
      <alignment horizontal="centerContinuous"/>
      <protection/>
    </xf>
    <xf numFmtId="0" fontId="0" fillId="0" borderId="16" xfId="21" applyFont="1" applyBorder="1" applyAlignment="1">
      <alignment/>
      <protection/>
    </xf>
    <xf numFmtId="0" fontId="1" fillId="0" borderId="15" xfId="21" applyFont="1" applyBorder="1" applyAlignment="1">
      <alignment horizontal="centerContinuous" vertical="center"/>
      <protection/>
    </xf>
    <xf numFmtId="0" fontId="1" fillId="0" borderId="14" xfId="21" applyFont="1" applyBorder="1" applyAlignment="1">
      <alignment horizontal="centerContinuous" vertical="center" wrapText="1"/>
      <protection/>
    </xf>
    <xf numFmtId="0" fontId="0" fillId="0" borderId="14" xfId="21" applyFont="1" applyBorder="1" applyAlignment="1">
      <alignment horizontal="centerContinuous"/>
      <protection/>
    </xf>
    <xf numFmtId="0" fontId="0" fillId="0" borderId="17" xfId="21" applyFont="1" applyBorder="1" applyAlignment="1">
      <alignment horizontal="center"/>
      <protection/>
    </xf>
    <xf numFmtId="0" fontId="1" fillId="0" borderId="18" xfId="21" applyFont="1" applyBorder="1" applyAlignment="1">
      <alignment wrapText="1"/>
      <protection/>
    </xf>
    <xf numFmtId="0" fontId="1" fillId="0" borderId="19" xfId="21" applyFont="1" applyBorder="1" applyAlignment="1">
      <alignment/>
      <protection/>
    </xf>
    <xf numFmtId="0" fontId="1" fillId="0" borderId="20" xfId="21" applyFont="1" applyBorder="1" applyAlignment="1">
      <alignment horizontal="centerContinuous"/>
      <protection/>
    </xf>
    <xf numFmtId="0" fontId="1" fillId="0" borderId="21" xfId="21" applyFont="1" applyBorder="1" applyAlignment="1">
      <alignment horizontal="center"/>
      <protection/>
    </xf>
    <xf numFmtId="49" fontId="1" fillId="0" borderId="18" xfId="21" applyNumberFormat="1" applyFont="1" applyBorder="1" applyAlignment="1">
      <alignment horizontal="center" vertical="top" wrapText="1"/>
      <protection/>
    </xf>
    <xf numFmtId="49" fontId="1" fillId="0" borderId="22" xfId="21" applyNumberFormat="1" applyFont="1" applyBorder="1" applyAlignment="1">
      <alignment horizontal="center" vertical="center" wrapText="1"/>
      <protection/>
    </xf>
    <xf numFmtId="49" fontId="1" fillId="0" borderId="0" xfId="21" applyNumberFormat="1" applyFont="1" applyAlignment="1">
      <alignment horizontal="center" vertical="center" wrapText="1"/>
      <protection/>
    </xf>
    <xf numFmtId="49" fontId="1" fillId="0" borderId="19" xfId="21" applyNumberFormat="1" applyFont="1" applyBorder="1" applyAlignment="1">
      <alignment horizontal="center" vertical="center" wrapText="1"/>
      <protection/>
    </xf>
    <xf numFmtId="0" fontId="1" fillId="0" borderId="19" xfId="21" applyFont="1" applyBorder="1" applyAlignment="1">
      <alignment horizontal="center" vertical="center" wrapText="1"/>
      <protection/>
    </xf>
    <xf numFmtId="49" fontId="1" fillId="0" borderId="21" xfId="21" applyNumberFormat="1" applyFont="1" applyBorder="1" applyAlignment="1">
      <alignment horizontal="center" vertical="center" wrapText="1"/>
      <protection/>
    </xf>
    <xf numFmtId="49" fontId="1" fillId="0" borderId="0" xfId="21" applyNumberFormat="1" applyFont="1">
      <alignment/>
      <protection/>
    </xf>
    <xf numFmtId="0" fontId="1" fillId="0" borderId="7" xfId="21" applyFont="1" applyBorder="1" applyAlignment="1">
      <alignment horizontal="center" wrapText="1"/>
      <protection/>
    </xf>
    <xf numFmtId="0" fontId="1" fillId="0" borderId="1" xfId="21" applyFont="1" applyBorder="1" applyAlignment="1">
      <alignment horizontal="center"/>
      <protection/>
    </xf>
    <xf numFmtId="0" fontId="1" fillId="0" borderId="8" xfId="21" applyFont="1" applyBorder="1" applyAlignment="1">
      <alignment horizontal="center"/>
      <protection/>
    </xf>
    <xf numFmtId="3" fontId="4" fillId="0" borderId="23" xfId="21" applyNumberFormat="1" applyFont="1" applyBorder="1">
      <alignment/>
      <protection/>
    </xf>
    <xf numFmtId="205" fontId="21" fillId="0" borderId="1" xfId="21" applyNumberFormat="1" applyFont="1" applyBorder="1">
      <alignment/>
      <protection/>
    </xf>
    <xf numFmtId="205" fontId="21" fillId="0" borderId="8" xfId="21" applyNumberFormat="1" applyFont="1" applyBorder="1">
      <alignment/>
      <protection/>
    </xf>
    <xf numFmtId="3" fontId="1" fillId="0" borderId="7" xfId="21" applyNumberFormat="1" applyFont="1" applyBorder="1">
      <alignment/>
      <protection/>
    </xf>
    <xf numFmtId="216" fontId="7" fillId="0" borderId="1" xfId="21" applyNumberFormat="1" applyFont="1" applyBorder="1">
      <alignment/>
      <protection/>
    </xf>
    <xf numFmtId="216" fontId="7" fillId="0" borderId="8" xfId="21" applyNumberFormat="1" applyFont="1" applyBorder="1">
      <alignment/>
      <protection/>
    </xf>
    <xf numFmtId="3" fontId="1" fillId="0" borderId="23" xfId="21" applyNumberFormat="1" applyFont="1" applyBorder="1">
      <alignment/>
      <protection/>
    </xf>
    <xf numFmtId="0" fontId="4" fillId="0" borderId="0" xfId="21" applyFont="1">
      <alignment/>
      <protection/>
    </xf>
    <xf numFmtId="0" fontId="4" fillId="0" borderId="24" xfId="21" applyFont="1" applyBorder="1" applyAlignment="1">
      <alignment horizontal="right" wrapText="1"/>
      <protection/>
    </xf>
    <xf numFmtId="216" fontId="7" fillId="0" borderId="10" xfId="21" applyNumberFormat="1" applyFont="1" applyBorder="1">
      <alignment/>
      <protection/>
    </xf>
    <xf numFmtId="216" fontId="7" fillId="0" borderId="11" xfId="21" applyNumberFormat="1" applyFont="1" applyBorder="1">
      <alignment/>
      <protection/>
    </xf>
    <xf numFmtId="0" fontId="1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49" fontId="7" fillId="0" borderId="0" xfId="21" applyNumberFormat="1" applyFont="1" applyBorder="1" applyAlignment="1">
      <alignment/>
      <protection/>
    </xf>
    <xf numFmtId="49" fontId="7" fillId="0" borderId="0" xfId="21" applyNumberFormat="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/>
      <protection/>
    </xf>
    <xf numFmtId="0" fontId="21" fillId="0" borderId="0" xfId="21" applyFont="1" applyBorder="1" applyAlignment="1">
      <alignment wrapText="1"/>
      <protection/>
    </xf>
    <xf numFmtId="0" fontId="21" fillId="0" borderId="0" xfId="21" applyFont="1" applyBorder="1">
      <alignment/>
      <protection/>
    </xf>
    <xf numFmtId="0" fontId="7" fillId="0" borderId="0" xfId="21" applyFont="1" applyBorder="1" applyAlignment="1">
      <alignment horizontal="left"/>
      <protection/>
    </xf>
    <xf numFmtId="0" fontId="1" fillId="0" borderId="0" xfId="21" applyFont="1" applyAlignment="1">
      <alignment wrapText="1"/>
      <protection/>
    </xf>
    <xf numFmtId="0" fontId="2" fillId="0" borderId="0" xfId="21" applyFont="1" applyAlignment="1">
      <alignment/>
      <protection/>
    </xf>
    <xf numFmtId="0" fontId="4" fillId="0" borderId="0" xfId="21" applyFont="1" applyAlignment="1">
      <alignment horizontal="centerContinuous" wrapText="1"/>
      <protection/>
    </xf>
    <xf numFmtId="0" fontId="0" fillId="0" borderId="25" xfId="21" applyFont="1" applyBorder="1" applyAlignment="1">
      <alignment horizontal="center" vertical="top" wrapText="1"/>
      <protection/>
    </xf>
    <xf numFmtId="0" fontId="0" fillId="0" borderId="16" xfId="21" applyFont="1" applyBorder="1" applyAlignment="1">
      <alignment horizontal="center" vertical="top"/>
      <protection/>
    </xf>
    <xf numFmtId="0" fontId="0" fillId="0" borderId="16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4" xfId="21" applyFont="1" applyBorder="1" applyAlignment="1">
      <alignment horizontal="centerContinuous" vertical="center" wrapText="1"/>
      <protection/>
    </xf>
    <xf numFmtId="0" fontId="0" fillId="0" borderId="17" xfId="21" applyFont="1" applyBorder="1" applyAlignment="1">
      <alignment horizontal="center" vertical="top" wrapText="1"/>
      <protection/>
    </xf>
    <xf numFmtId="0" fontId="1" fillId="0" borderId="26" xfId="21" applyFont="1" applyBorder="1" applyAlignment="1">
      <alignment horizontal="center" vertical="top" wrapText="1"/>
      <protection/>
    </xf>
    <xf numFmtId="0" fontId="1" fillId="0" borderId="19" xfId="21" applyFont="1" applyBorder="1" applyAlignment="1">
      <alignment horizontal="center" vertical="top"/>
      <protection/>
    </xf>
    <xf numFmtId="0" fontId="1" fillId="0" borderId="27" xfId="21" applyFont="1" applyBorder="1" applyAlignment="1">
      <alignment horizontal="centerContinuous"/>
      <protection/>
    </xf>
    <xf numFmtId="0" fontId="1" fillId="0" borderId="28" xfId="21" applyFont="1" applyBorder="1" applyAlignment="1">
      <alignment horizontal="centerContinuous"/>
      <protection/>
    </xf>
    <xf numFmtId="0" fontId="1" fillId="0" borderId="21" xfId="21" applyFont="1" applyBorder="1" applyAlignment="1">
      <alignment/>
      <protection/>
    </xf>
    <xf numFmtId="0" fontId="1" fillId="0" borderId="19" xfId="21" applyFont="1" applyBorder="1" applyAlignment="1">
      <alignment horizontal="center" vertical="top" wrapText="1"/>
      <protection/>
    </xf>
    <xf numFmtId="0" fontId="1" fillId="0" borderId="21" xfId="21" applyFont="1" applyBorder="1" applyAlignment="1">
      <alignment horizontal="center" vertical="top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wrapText="1"/>
      <protection/>
    </xf>
    <xf numFmtId="0" fontId="21" fillId="0" borderId="26" xfId="21" applyFont="1" applyBorder="1">
      <alignment/>
      <protection/>
    </xf>
    <xf numFmtId="0" fontId="4" fillId="0" borderId="7" xfId="21" applyFont="1" applyBorder="1" applyAlignment="1">
      <alignment horizontal="right" wrapText="1"/>
      <protection/>
    </xf>
    <xf numFmtId="3" fontId="22" fillId="0" borderId="0" xfId="21" applyNumberFormat="1" applyFont="1">
      <alignment/>
      <protection/>
    </xf>
    <xf numFmtId="0" fontId="22" fillId="0" borderId="0" xfId="21" applyFont="1">
      <alignment/>
      <protection/>
    </xf>
    <xf numFmtId="0" fontId="4" fillId="0" borderId="9" xfId="21" applyFont="1" applyBorder="1" applyAlignment="1">
      <alignment horizontal="right" wrapText="1"/>
      <protection/>
    </xf>
    <xf numFmtId="0" fontId="7" fillId="0" borderId="0" xfId="21" applyFont="1" applyAlignment="1">
      <alignment wrapText="1"/>
      <protection/>
    </xf>
    <xf numFmtId="49" fontId="1" fillId="0" borderId="0" xfId="21" applyNumberFormat="1" applyFont="1" applyBorder="1" applyAlignment="1">
      <alignment vertical="top" wrapText="1"/>
      <protection/>
    </xf>
    <xf numFmtId="49" fontId="1" fillId="0" borderId="0" xfId="21" applyNumberFormat="1" applyFont="1" applyBorder="1" applyAlignment="1">
      <alignment horizontal="center" vertical="top" wrapText="1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49" fontId="0" fillId="0" borderId="0" xfId="21" applyNumberFormat="1" applyFont="1" applyBorder="1" applyAlignment="1">
      <alignment horizontal="center" vertical="top" wrapText="1"/>
      <protection/>
    </xf>
    <xf numFmtId="0" fontId="0" fillId="0" borderId="0" xfId="21" applyFont="1" applyBorder="1">
      <alignment/>
      <protection/>
    </xf>
    <xf numFmtId="3" fontId="21" fillId="0" borderId="0" xfId="21" applyNumberFormat="1" applyFont="1" applyBorder="1">
      <alignment/>
      <protection/>
    </xf>
    <xf numFmtId="0" fontId="2" fillId="0" borderId="0" xfId="21" applyFont="1" applyAlignment="1">
      <alignment horizontal="center"/>
      <protection/>
    </xf>
    <xf numFmtId="0" fontId="7" fillId="0" borderId="3" xfId="21" applyFont="1" applyBorder="1">
      <alignment/>
      <protection/>
    </xf>
    <xf numFmtId="0" fontId="1" fillId="0" borderId="3" xfId="21" applyFont="1" applyBorder="1" applyAlignment="1">
      <alignment horizontal="right"/>
      <protection/>
    </xf>
    <xf numFmtId="0" fontId="0" fillId="0" borderId="4" xfId="21" applyFont="1" applyBorder="1" applyAlignment="1">
      <alignment horizontal="center" wrapText="1"/>
      <protection/>
    </xf>
    <xf numFmtId="3" fontId="7" fillId="0" borderId="6" xfId="21" applyNumberFormat="1" applyFont="1" applyBorder="1" applyAlignment="1">
      <alignment horizontal="center"/>
      <protection/>
    </xf>
    <xf numFmtId="0" fontId="0" fillId="0" borderId="7" xfId="21" applyFont="1" applyBorder="1" applyAlignment="1">
      <alignment horizontal="center" wrapText="1"/>
      <protection/>
    </xf>
    <xf numFmtId="3" fontId="7" fillId="0" borderId="8" xfId="21" applyNumberFormat="1" applyFont="1" applyBorder="1" applyAlignment="1">
      <alignment horizontal="center"/>
      <protection/>
    </xf>
    <xf numFmtId="0" fontId="7" fillId="0" borderId="1" xfId="21" applyFont="1" applyBorder="1">
      <alignment/>
      <protection/>
    </xf>
    <xf numFmtId="0" fontId="4" fillId="0" borderId="7" xfId="21" applyFont="1" applyBorder="1" applyAlignment="1">
      <alignment wrapText="1"/>
      <protection/>
    </xf>
    <xf numFmtId="3" fontId="6" fillId="0" borderId="8" xfId="21" applyNumberFormat="1" applyFont="1" applyBorder="1" applyAlignment="1">
      <alignment horizontal="right"/>
      <protection/>
    </xf>
    <xf numFmtId="0" fontId="0" fillId="0" borderId="7" xfId="21" applyFont="1" applyBorder="1" applyAlignment="1">
      <alignment wrapText="1"/>
      <protection/>
    </xf>
    <xf numFmtId="3" fontId="7" fillId="0" borderId="8" xfId="21" applyNumberFormat="1" applyFont="1" applyBorder="1" applyAlignment="1">
      <alignment horizontal="right"/>
      <protection/>
    </xf>
    <xf numFmtId="0" fontId="0" fillId="0" borderId="29" xfId="21" applyFont="1" applyBorder="1" applyAlignment="1">
      <alignment wrapText="1"/>
      <protection/>
    </xf>
    <xf numFmtId="3" fontId="7" fillId="0" borderId="30" xfId="21" applyNumberFormat="1" applyFont="1" applyBorder="1" applyAlignment="1">
      <alignment horizontal="right"/>
      <protection/>
    </xf>
    <xf numFmtId="0" fontId="0" fillId="0" borderId="31" xfId="21" applyFont="1" applyBorder="1" applyAlignment="1">
      <alignment wrapText="1"/>
      <protection/>
    </xf>
    <xf numFmtId="3" fontId="7" fillId="0" borderId="32" xfId="21" applyNumberFormat="1" applyFont="1" applyBorder="1" applyAlignment="1">
      <alignment horizontal="right"/>
      <protection/>
    </xf>
    <xf numFmtId="0" fontId="4" fillId="0" borderId="7" xfId="21" applyFont="1" applyBorder="1" applyAlignment="1">
      <alignment horizontal="left"/>
      <protection/>
    </xf>
    <xf numFmtId="0" fontId="4" fillId="0" borderId="9" xfId="21" applyFont="1" applyBorder="1" applyAlignment="1">
      <alignment horizontal="left"/>
      <protection/>
    </xf>
    <xf numFmtId="3" fontId="6" fillId="0" borderId="11" xfId="21" applyNumberFormat="1" applyFont="1" applyBorder="1" applyAlignment="1">
      <alignment horizontal="right"/>
      <protection/>
    </xf>
    <xf numFmtId="0" fontId="10" fillId="0" borderId="0" xfId="21" applyFont="1">
      <alignment/>
      <protection/>
    </xf>
    <xf numFmtId="3" fontId="7" fillId="0" borderId="0" xfId="21" applyNumberFormat="1" applyFont="1">
      <alignment/>
      <protection/>
    </xf>
    <xf numFmtId="3" fontId="7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Continuous" vertical="center" wrapText="1"/>
      <protection/>
    </xf>
    <xf numFmtId="0" fontId="21" fillId="0" borderId="1" xfId="21" applyFont="1" applyBorder="1" applyAlignment="1">
      <alignment horizontal="centerContinuous"/>
      <protection/>
    </xf>
    <xf numFmtId="175" fontId="1" fillId="0" borderId="1" xfId="21" applyNumberFormat="1" applyFont="1" applyBorder="1" applyAlignment="1">
      <alignment horizontal="center"/>
      <protection/>
    </xf>
    <xf numFmtId="3" fontId="7" fillId="0" borderId="1" xfId="21" applyNumberFormat="1" applyFont="1" applyBorder="1" applyAlignment="1">
      <alignment horizontal="right"/>
      <protection/>
    </xf>
    <xf numFmtId="175" fontId="7" fillId="0" borderId="1" xfId="21" applyNumberFormat="1" applyFont="1" applyBorder="1">
      <alignment/>
      <protection/>
    </xf>
    <xf numFmtId="4" fontId="7" fillId="0" borderId="1" xfId="21" applyNumberFormat="1" applyFont="1" applyBorder="1">
      <alignment/>
      <protection/>
    </xf>
    <xf numFmtId="3" fontId="7" fillId="0" borderId="1" xfId="21" applyNumberFormat="1" applyFont="1" applyBorder="1" applyAlignment="1">
      <alignment horizontal="right"/>
      <protection/>
    </xf>
    <xf numFmtId="3" fontId="6" fillId="0" borderId="1" xfId="21" applyNumberFormat="1" applyFont="1" applyBorder="1" applyAlignment="1">
      <alignment horizontal="right"/>
      <protection/>
    </xf>
    <xf numFmtId="4" fontId="6" fillId="0" borderId="0" xfId="21" applyNumberFormat="1" applyFont="1" applyBorder="1">
      <alignment/>
      <protection/>
    </xf>
    <xf numFmtId="3" fontId="7" fillId="0" borderId="0" xfId="21" applyNumberFormat="1" applyFont="1" applyBorder="1" applyAlignment="1">
      <alignment horizontal="right"/>
      <protection/>
    </xf>
    <xf numFmtId="3" fontId="6" fillId="0" borderId="0" xfId="21" applyNumberFormat="1" applyFont="1" applyBorder="1" applyAlignment="1">
      <alignment horizontal="right"/>
      <protection/>
    </xf>
    <xf numFmtId="4" fontId="4" fillId="0" borderId="0" xfId="21" applyNumberFormat="1" applyFont="1" applyBorder="1">
      <alignment/>
      <protection/>
    </xf>
    <xf numFmtId="214" fontId="4" fillId="0" borderId="0" xfId="21" applyNumberFormat="1" applyFont="1" applyBorder="1">
      <alignment/>
      <protection/>
    </xf>
    <xf numFmtId="215" fontId="4" fillId="0" borderId="0" xfId="21" applyNumberFormat="1" applyFont="1" applyBorder="1">
      <alignment/>
      <protection/>
    </xf>
    <xf numFmtId="175" fontId="4" fillId="0" borderId="0" xfId="21" applyNumberFormat="1" applyFont="1" applyBorder="1">
      <alignment/>
      <protection/>
    </xf>
    <xf numFmtId="215" fontId="7" fillId="0" borderId="0" xfId="21" applyNumberFormat="1" applyFont="1" applyBorder="1">
      <alignment/>
      <protection/>
    </xf>
    <xf numFmtId="175" fontId="7" fillId="0" borderId="0" xfId="21" applyNumberFormat="1" applyFont="1" applyBorder="1">
      <alignment/>
      <protection/>
    </xf>
    <xf numFmtId="4" fontId="6" fillId="0" borderId="0" xfId="21" applyNumberFormat="1" applyFont="1">
      <alignment/>
      <protection/>
    </xf>
    <xf numFmtId="175" fontId="7" fillId="0" borderId="0" xfId="21" applyNumberFormat="1" applyFont="1">
      <alignment/>
      <protection/>
    </xf>
    <xf numFmtId="0" fontId="21" fillId="0" borderId="0" xfId="21" applyFont="1" applyAlignment="1">
      <alignment horizontal="right"/>
      <protection/>
    </xf>
    <xf numFmtId="0" fontId="3" fillId="0" borderId="0" xfId="21" applyFont="1" applyAlignment="1">
      <alignment horizontal="centerContinuous"/>
      <protection/>
    </xf>
    <xf numFmtId="0" fontId="4" fillId="0" borderId="1" xfId="21" applyFont="1" applyBorder="1" applyAlignment="1">
      <alignment wrapText="1"/>
      <protection/>
    </xf>
    <xf numFmtId="0" fontId="7" fillId="0" borderId="1" xfId="21" applyFont="1" applyBorder="1" applyAlignment="1">
      <alignment/>
      <protection/>
    </xf>
    <xf numFmtId="0" fontId="8" fillId="0" borderId="1" xfId="21" applyFont="1" applyBorder="1" applyAlignment="1">
      <alignment horizontal="center" wrapText="1"/>
      <protection/>
    </xf>
    <xf numFmtId="0" fontId="0" fillId="0" borderId="1" xfId="21" applyFont="1" applyBorder="1" applyAlignment="1">
      <alignment wrapText="1"/>
      <protection/>
    </xf>
    <xf numFmtId="0" fontId="6" fillId="0" borderId="1" xfId="21" applyFont="1" applyBorder="1" applyAlignment="1">
      <alignment wrapText="1"/>
      <protection/>
    </xf>
    <xf numFmtId="0" fontId="7" fillId="0" borderId="1" xfId="21" applyFont="1" applyBorder="1" applyAlignment="1">
      <alignment wrapText="1"/>
      <protection/>
    </xf>
    <xf numFmtId="0" fontId="21" fillId="0" borderId="1" xfId="21" applyFont="1" applyBorder="1">
      <alignment/>
      <protection/>
    </xf>
    <xf numFmtId="0" fontId="0" fillId="0" borderId="0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 [0]_Mjun1999" xfId="19"/>
    <cellStyle name="Currency_Mjun1999" xfId="20"/>
    <cellStyle name="Normal_Mjun19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1-kons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2PB-i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3PB-izdevumi-m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4PB-izd-ek-kl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5SB-ienemumi-m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6SB-izd-ek-kl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7sb-zi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4">
        <row r="12">
          <cell r="C12">
            <v>43326000</v>
          </cell>
          <cell r="H12">
            <v>43326</v>
          </cell>
        </row>
        <row r="14">
          <cell r="C14">
            <v>122928000</v>
          </cell>
          <cell r="H14">
            <v>122928</v>
          </cell>
        </row>
        <row r="15">
          <cell r="C15">
            <v>44391000</v>
          </cell>
          <cell r="H15">
            <v>44391</v>
          </cell>
        </row>
        <row r="16">
          <cell r="C16">
            <v>6324000</v>
          </cell>
          <cell r="H16">
            <v>6324</v>
          </cell>
        </row>
        <row r="17">
          <cell r="C17">
            <v>4042000</v>
          </cell>
          <cell r="H17">
            <v>4042</v>
          </cell>
        </row>
        <row r="18">
          <cell r="C18">
            <v>19368000</v>
          </cell>
          <cell r="H18">
            <v>19368</v>
          </cell>
        </row>
        <row r="19">
          <cell r="C19">
            <v>23284000</v>
          </cell>
          <cell r="H19">
            <v>23284</v>
          </cell>
        </row>
        <row r="20">
          <cell r="C20">
            <v>5421000</v>
          </cell>
          <cell r="H20">
            <v>5421</v>
          </cell>
        </row>
        <row r="24">
          <cell r="C24">
            <v>176181000</v>
          </cell>
          <cell r="H24">
            <v>176181</v>
          </cell>
        </row>
        <row r="25">
          <cell r="C25">
            <v>17598000</v>
          </cell>
          <cell r="H25">
            <v>17598</v>
          </cell>
        </row>
        <row r="26">
          <cell r="C26">
            <v>27798000</v>
          </cell>
          <cell r="H26">
            <v>27798</v>
          </cell>
        </row>
        <row r="27">
          <cell r="C27">
            <v>52892000</v>
          </cell>
          <cell r="H27">
            <v>52892</v>
          </cell>
        </row>
        <row r="28">
          <cell r="C28">
            <v>25111000</v>
          </cell>
          <cell r="H28">
            <v>25111</v>
          </cell>
        </row>
        <row r="41">
          <cell r="C41">
            <v>254782000</v>
          </cell>
          <cell r="H41">
            <v>254782</v>
          </cell>
        </row>
        <row r="42">
          <cell r="C42">
            <v>25037000</v>
          </cell>
          <cell r="H42">
            <v>25037</v>
          </cell>
        </row>
        <row r="44">
          <cell r="C44">
            <v>3613000</v>
          </cell>
          <cell r="H44">
            <v>3613</v>
          </cell>
        </row>
        <row r="48">
          <cell r="C48">
            <v>12582000</v>
          </cell>
          <cell r="H48">
            <v>12582</v>
          </cell>
        </row>
        <row r="49">
          <cell r="C49">
            <v>74262</v>
          </cell>
          <cell r="H49">
            <v>74</v>
          </cell>
        </row>
        <row r="53">
          <cell r="C53">
            <v>47727000</v>
          </cell>
          <cell r="H53">
            <v>47727</v>
          </cell>
        </row>
        <row r="54">
          <cell r="C54">
            <v>34632000</v>
          </cell>
          <cell r="H54">
            <v>34632</v>
          </cell>
        </row>
        <row r="56">
          <cell r="C56">
            <v>26354000</v>
          </cell>
          <cell r="H56">
            <v>26354</v>
          </cell>
        </row>
        <row r="57">
          <cell r="C57">
            <v>15805000</v>
          </cell>
          <cell r="H57">
            <v>15805</v>
          </cell>
        </row>
        <row r="63">
          <cell r="C63">
            <v>296345000</v>
          </cell>
          <cell r="H63">
            <v>296345</v>
          </cell>
        </row>
        <row r="64">
          <cell r="C64">
            <v>5421000</v>
          </cell>
          <cell r="H64">
            <v>5421</v>
          </cell>
        </row>
        <row r="66">
          <cell r="C66">
            <v>4927000</v>
          </cell>
          <cell r="H66">
            <v>4927</v>
          </cell>
        </row>
        <row r="68">
          <cell r="C68">
            <v>6539000</v>
          </cell>
          <cell r="H68">
            <v>6539</v>
          </cell>
        </row>
        <row r="72">
          <cell r="C72">
            <v>1233000</v>
          </cell>
          <cell r="H72">
            <v>1233</v>
          </cell>
        </row>
        <row r="74">
          <cell r="H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4">
        <row r="11">
          <cell r="D11">
            <v>43326237</v>
          </cell>
          <cell r="J11">
            <v>43326</v>
          </cell>
        </row>
        <row r="13">
          <cell r="D13">
            <v>122928298</v>
          </cell>
          <cell r="J13">
            <v>122928</v>
          </cell>
        </row>
        <row r="14">
          <cell r="D14">
            <v>44391195</v>
          </cell>
          <cell r="J14">
            <v>44391</v>
          </cell>
        </row>
        <row r="15">
          <cell r="D15">
            <v>6323629</v>
          </cell>
          <cell r="J15">
            <v>6324</v>
          </cell>
        </row>
        <row r="16">
          <cell r="D16">
            <v>4042498</v>
          </cell>
          <cell r="J16">
            <v>4042</v>
          </cell>
        </row>
        <row r="18">
          <cell r="D18">
            <v>197730</v>
          </cell>
          <cell r="J18">
            <v>198</v>
          </cell>
        </row>
        <row r="19">
          <cell r="D19">
            <v>3519499</v>
          </cell>
          <cell r="J19">
            <v>3520</v>
          </cell>
        </row>
        <row r="20">
          <cell r="D20">
            <v>4081501</v>
          </cell>
          <cell r="J20">
            <v>4082</v>
          </cell>
        </row>
        <row r="21">
          <cell r="D21">
            <v>253407</v>
          </cell>
          <cell r="J21">
            <v>254</v>
          </cell>
        </row>
        <row r="22">
          <cell r="D22">
            <v>662224</v>
          </cell>
          <cell r="J22">
            <v>662</v>
          </cell>
        </row>
        <row r="23">
          <cell r="D23">
            <v>2007154</v>
          </cell>
          <cell r="J23">
            <v>2007</v>
          </cell>
        </row>
        <row r="24">
          <cell r="D24">
            <v>5437229</v>
          </cell>
          <cell r="J24">
            <v>5437</v>
          </cell>
        </row>
        <row r="25">
          <cell r="D25">
            <v>2921220</v>
          </cell>
          <cell r="J25">
            <v>2921</v>
          </cell>
        </row>
        <row r="26">
          <cell r="D26">
            <v>400399</v>
          </cell>
          <cell r="J26">
            <v>400</v>
          </cell>
        </row>
        <row r="27">
          <cell r="D27">
            <v>2115610</v>
          </cell>
          <cell r="J27">
            <v>2116</v>
          </cell>
        </row>
        <row r="28">
          <cell r="D28">
            <v>2100000</v>
          </cell>
          <cell r="J28">
            <v>2100</v>
          </cell>
        </row>
        <row r="29">
          <cell r="D29">
            <v>2100000</v>
          </cell>
          <cell r="J29">
            <v>2100</v>
          </cell>
        </row>
        <row r="30">
          <cell r="D30">
            <v>1108264</v>
          </cell>
          <cell r="J30">
            <v>1108</v>
          </cell>
        </row>
        <row r="31">
          <cell r="D31">
            <v>711250</v>
          </cell>
          <cell r="J31">
            <v>711</v>
          </cell>
        </row>
        <row r="32">
          <cell r="D32">
            <v>397014</v>
          </cell>
          <cell r="J32">
            <v>397</v>
          </cell>
        </row>
        <row r="33">
          <cell r="J33">
            <v>23284</v>
          </cell>
        </row>
        <row r="34">
          <cell r="D34">
            <v>23284170</v>
          </cell>
          <cell r="J34">
            <v>23284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4">
        <row r="12">
          <cell r="D12">
            <v>435287</v>
          </cell>
          <cell r="K12">
            <v>435</v>
          </cell>
        </row>
        <row r="13">
          <cell r="D13">
            <v>24878</v>
          </cell>
          <cell r="K13">
            <v>25</v>
          </cell>
        </row>
        <row r="15">
          <cell r="D15">
            <v>1777245</v>
          </cell>
          <cell r="K15">
            <v>1777</v>
          </cell>
        </row>
        <row r="16">
          <cell r="D16">
            <v>251291</v>
          </cell>
          <cell r="K16">
            <v>251</v>
          </cell>
        </row>
        <row r="18">
          <cell r="D18">
            <v>1441882</v>
          </cell>
          <cell r="K18">
            <v>1442</v>
          </cell>
        </row>
        <row r="19">
          <cell r="D19">
            <v>85768</v>
          </cell>
          <cell r="K19">
            <v>86</v>
          </cell>
        </row>
        <row r="21">
          <cell r="D21">
            <v>9237927</v>
          </cell>
          <cell r="K21">
            <v>9238</v>
          </cell>
        </row>
        <row r="22">
          <cell r="D22">
            <v>190621</v>
          </cell>
          <cell r="K22">
            <v>191</v>
          </cell>
        </row>
        <row r="24">
          <cell r="D24">
            <v>4202262</v>
          </cell>
          <cell r="K24">
            <v>4202</v>
          </cell>
        </row>
        <row r="25">
          <cell r="D25">
            <v>162724</v>
          </cell>
          <cell r="K25">
            <v>163</v>
          </cell>
        </row>
        <row r="27">
          <cell r="D27">
            <v>1591201</v>
          </cell>
          <cell r="K27">
            <v>1591</v>
          </cell>
        </row>
        <row r="28">
          <cell r="D28">
            <v>80372</v>
          </cell>
          <cell r="K28">
            <v>80</v>
          </cell>
        </row>
        <row r="30">
          <cell r="D30">
            <v>29196152</v>
          </cell>
          <cell r="K30">
            <v>29196</v>
          </cell>
        </row>
        <row r="31">
          <cell r="D31">
            <v>3559851</v>
          </cell>
          <cell r="K31">
            <v>3560</v>
          </cell>
        </row>
        <row r="33">
          <cell r="D33">
            <v>34652687</v>
          </cell>
          <cell r="K33">
            <v>34653</v>
          </cell>
        </row>
        <row r="34">
          <cell r="D34">
            <v>3380043</v>
          </cell>
          <cell r="K34">
            <v>3380</v>
          </cell>
        </row>
        <row r="36">
          <cell r="D36">
            <v>22154026</v>
          </cell>
          <cell r="K36">
            <v>22154</v>
          </cell>
        </row>
        <row r="37">
          <cell r="D37">
            <v>785864</v>
          </cell>
          <cell r="K37">
            <v>786</v>
          </cell>
        </row>
        <row r="39">
          <cell r="D39">
            <v>16568719</v>
          </cell>
          <cell r="K39">
            <v>16569</v>
          </cell>
        </row>
        <row r="40">
          <cell r="D40">
            <v>1140663</v>
          </cell>
          <cell r="K40">
            <v>1141</v>
          </cell>
        </row>
        <row r="42">
          <cell r="D42">
            <v>2073404</v>
          </cell>
          <cell r="K42">
            <v>2073</v>
          </cell>
        </row>
        <row r="43">
          <cell r="D43">
            <v>882705</v>
          </cell>
          <cell r="K43">
            <v>883</v>
          </cell>
        </row>
        <row r="45">
          <cell r="D45">
            <v>70448288</v>
          </cell>
          <cell r="K45">
            <v>70448</v>
          </cell>
        </row>
        <row r="46">
          <cell r="D46">
            <v>1345199</v>
          </cell>
          <cell r="K46">
            <v>1345</v>
          </cell>
        </row>
        <row r="48">
          <cell r="D48">
            <v>4620569</v>
          </cell>
          <cell r="K48">
            <v>4621</v>
          </cell>
        </row>
        <row r="49">
          <cell r="D49">
            <v>267998</v>
          </cell>
          <cell r="K49">
            <v>268</v>
          </cell>
        </row>
        <row r="53">
          <cell r="D53">
            <v>2455856</v>
          </cell>
          <cell r="K53">
            <v>2456</v>
          </cell>
        </row>
        <row r="54">
          <cell r="D54">
            <v>565576</v>
          </cell>
          <cell r="K54">
            <v>566</v>
          </cell>
        </row>
        <row r="56">
          <cell r="D56">
            <v>5510785</v>
          </cell>
          <cell r="K56">
            <v>5511</v>
          </cell>
        </row>
        <row r="57">
          <cell r="D57">
            <v>700456</v>
          </cell>
          <cell r="K57">
            <v>700</v>
          </cell>
        </row>
        <row r="59">
          <cell r="D59">
            <v>4479511</v>
          </cell>
          <cell r="K59">
            <v>4480</v>
          </cell>
        </row>
        <row r="60">
          <cell r="D60">
            <v>526360</v>
          </cell>
          <cell r="K60">
            <v>526</v>
          </cell>
        </row>
        <row r="62">
          <cell r="D62">
            <v>451839</v>
          </cell>
          <cell r="K62">
            <v>452</v>
          </cell>
        </row>
        <row r="63">
          <cell r="D63">
            <v>32313</v>
          </cell>
          <cell r="K63">
            <v>32</v>
          </cell>
        </row>
        <row r="65">
          <cell r="D65">
            <v>290219</v>
          </cell>
          <cell r="K65">
            <v>290</v>
          </cell>
        </row>
        <row r="68">
          <cell r="D68">
            <v>117676</v>
          </cell>
          <cell r="K68">
            <v>118</v>
          </cell>
        </row>
        <row r="69">
          <cell r="D69">
            <v>8860</v>
          </cell>
          <cell r="K69">
            <v>9</v>
          </cell>
        </row>
        <row r="71">
          <cell r="D71">
            <v>2456331</v>
          </cell>
          <cell r="K71">
            <v>2456</v>
          </cell>
        </row>
        <row r="72">
          <cell r="D72">
            <v>200032</v>
          </cell>
          <cell r="K72">
            <v>200</v>
          </cell>
        </row>
        <row r="74">
          <cell r="D74">
            <v>27811</v>
          </cell>
          <cell r="K74">
            <v>28</v>
          </cell>
        </row>
        <row r="75">
          <cell r="D75">
            <v>96</v>
          </cell>
          <cell r="K75">
            <v>0</v>
          </cell>
        </row>
        <row r="77">
          <cell r="D77">
            <v>18675</v>
          </cell>
          <cell r="K77">
            <v>19</v>
          </cell>
        </row>
        <row r="79">
          <cell r="D79">
            <v>328494</v>
          </cell>
          <cell r="K79">
            <v>328</v>
          </cell>
        </row>
        <row r="81">
          <cell r="D81">
            <v>2703814</v>
          </cell>
          <cell r="K81">
            <v>2704</v>
          </cell>
        </row>
        <row r="82">
          <cell r="D82">
            <v>4338</v>
          </cell>
          <cell r="K82">
            <v>4</v>
          </cell>
        </row>
        <row r="84">
          <cell r="D84">
            <v>32407</v>
          </cell>
          <cell r="K84">
            <v>32</v>
          </cell>
        </row>
        <row r="86">
          <cell r="D86">
            <v>155340</v>
          </cell>
          <cell r="K86">
            <v>155</v>
          </cell>
        </row>
        <row r="87">
          <cell r="D87">
            <v>4192</v>
          </cell>
          <cell r="K87">
            <v>4</v>
          </cell>
        </row>
        <row r="89">
          <cell r="D89">
            <v>34810651</v>
          </cell>
          <cell r="K89">
            <v>34811</v>
          </cell>
        </row>
        <row r="90">
          <cell r="D90">
            <v>1995000</v>
          </cell>
          <cell r="K90">
            <v>1995</v>
          </cell>
        </row>
        <row r="92">
          <cell r="D92">
            <v>2542922</v>
          </cell>
          <cell r="K92">
            <v>2543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12">
          <cell r="D12">
            <v>252673312</v>
          </cell>
          <cell r="K12">
            <v>252673</v>
          </cell>
        </row>
        <row r="13">
          <cell r="K13">
            <v>0</v>
          </cell>
        </row>
        <row r="14">
          <cell r="D14">
            <v>23284170</v>
          </cell>
          <cell r="K14">
            <v>23284</v>
          </cell>
        </row>
        <row r="18">
          <cell r="D18">
            <v>58153998</v>
          </cell>
          <cell r="K18">
            <v>58154</v>
          </cell>
        </row>
        <row r="19">
          <cell r="D19">
            <v>15716859</v>
          </cell>
          <cell r="K19">
            <v>15717</v>
          </cell>
        </row>
        <row r="20">
          <cell r="K20">
            <v>51309</v>
          </cell>
        </row>
        <row r="21">
          <cell r="D21">
            <v>46405857</v>
          </cell>
          <cell r="K21">
            <v>46406</v>
          </cell>
        </row>
        <row r="22">
          <cell r="D22">
            <v>4903052</v>
          </cell>
          <cell r="K22">
            <v>4903</v>
          </cell>
        </row>
        <row r="23">
          <cell r="D23">
            <v>51879</v>
          </cell>
          <cell r="K23">
            <v>52</v>
          </cell>
        </row>
        <row r="25">
          <cell r="D25">
            <v>5842959</v>
          </cell>
          <cell r="K25">
            <v>5843</v>
          </cell>
        </row>
        <row r="26">
          <cell r="D26">
            <v>5553507</v>
          </cell>
          <cell r="K26">
            <v>5553</v>
          </cell>
        </row>
        <row r="27">
          <cell r="D27">
            <v>63846</v>
          </cell>
          <cell r="K27">
            <v>64</v>
          </cell>
        </row>
        <row r="29">
          <cell r="D29">
            <v>6632819</v>
          </cell>
          <cell r="K29">
            <v>6633</v>
          </cell>
        </row>
        <row r="30">
          <cell r="D30">
            <v>34810651</v>
          </cell>
          <cell r="K30">
            <v>34811</v>
          </cell>
        </row>
        <row r="31">
          <cell r="D31">
            <v>2542922</v>
          </cell>
          <cell r="K31">
            <v>2543</v>
          </cell>
        </row>
        <row r="33">
          <cell r="D33">
            <v>25037483</v>
          </cell>
          <cell r="K33">
            <v>25037</v>
          </cell>
        </row>
        <row r="34">
          <cell r="D34">
            <v>15224819</v>
          </cell>
          <cell r="K34">
            <v>15225</v>
          </cell>
        </row>
        <row r="36">
          <cell r="D36">
            <v>195568</v>
          </cell>
          <cell r="K36">
            <v>195</v>
          </cell>
        </row>
        <row r="37">
          <cell r="D37">
            <v>27126688</v>
          </cell>
          <cell r="K37">
            <v>27127</v>
          </cell>
        </row>
        <row r="38">
          <cell r="D38">
            <v>2906131</v>
          </cell>
          <cell r="K38">
            <v>2906</v>
          </cell>
        </row>
        <row r="39">
          <cell r="D39">
            <v>2178182</v>
          </cell>
          <cell r="K39">
            <v>2178</v>
          </cell>
        </row>
        <row r="40">
          <cell r="D40">
            <v>1434751</v>
          </cell>
          <cell r="K40">
            <v>1435</v>
          </cell>
        </row>
        <row r="42">
          <cell r="D42">
            <v>3613565</v>
          </cell>
          <cell r="K42">
            <v>3613</v>
          </cell>
        </row>
        <row r="43">
          <cell r="D43">
            <v>12581642</v>
          </cell>
          <cell r="K43">
            <v>12582</v>
          </cell>
        </row>
        <row r="45">
          <cell r="D45">
            <v>47727571</v>
          </cell>
          <cell r="K45">
            <v>47727</v>
          </cell>
        </row>
        <row r="46">
          <cell r="D46">
            <v>26354451</v>
          </cell>
          <cell r="K46">
            <v>26354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Marts1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19">
          <cell r="D19">
            <v>2018701</v>
          </cell>
        </row>
        <row r="21">
          <cell r="D21">
            <v>2600000</v>
          </cell>
          <cell r="J21">
            <v>2600</v>
          </cell>
        </row>
        <row r="22">
          <cell r="D22">
            <v>2100000</v>
          </cell>
          <cell r="J22">
            <v>2100</v>
          </cell>
        </row>
        <row r="24">
          <cell r="D24">
            <v>1030737</v>
          </cell>
          <cell r="J24">
            <v>1031</v>
          </cell>
        </row>
        <row r="26">
          <cell r="D26">
            <v>858468</v>
          </cell>
          <cell r="J26">
            <v>858</v>
          </cell>
        </row>
        <row r="27">
          <cell r="D27">
            <v>36547</v>
          </cell>
          <cell r="J27">
            <v>37</v>
          </cell>
        </row>
        <row r="31">
          <cell r="D31">
            <v>958296</v>
          </cell>
          <cell r="J31">
            <v>958</v>
          </cell>
        </row>
        <row r="32">
          <cell r="D32">
            <v>143902</v>
          </cell>
          <cell r="J32">
            <v>144</v>
          </cell>
        </row>
        <row r="34">
          <cell r="D34">
            <v>236279</v>
          </cell>
          <cell r="J34">
            <v>236</v>
          </cell>
        </row>
        <row r="37">
          <cell r="D37">
            <v>96298</v>
          </cell>
          <cell r="J37">
            <v>96</v>
          </cell>
        </row>
        <row r="40">
          <cell r="J40">
            <v>0</v>
          </cell>
        </row>
        <row r="43">
          <cell r="D43">
            <v>44172</v>
          </cell>
          <cell r="J43">
            <v>44</v>
          </cell>
        </row>
        <row r="45">
          <cell r="J45">
            <v>0</v>
          </cell>
        </row>
        <row r="48">
          <cell r="J48">
            <v>0</v>
          </cell>
        </row>
        <row r="49">
          <cell r="D49">
            <v>364537</v>
          </cell>
          <cell r="J49">
            <v>364</v>
          </cell>
        </row>
        <row r="51">
          <cell r="D51">
            <v>36800</v>
          </cell>
          <cell r="J51">
            <v>37</v>
          </cell>
        </row>
        <row r="52">
          <cell r="D52">
            <v>8100</v>
          </cell>
          <cell r="J52">
            <v>8</v>
          </cell>
        </row>
        <row r="56">
          <cell r="D56">
            <v>794180</v>
          </cell>
          <cell r="J56">
            <v>794</v>
          </cell>
        </row>
        <row r="58">
          <cell r="D58">
            <v>418265</v>
          </cell>
          <cell r="J58">
            <v>418</v>
          </cell>
        </row>
        <row r="59">
          <cell r="D59">
            <v>482040</v>
          </cell>
          <cell r="J59">
            <v>482</v>
          </cell>
        </row>
        <row r="62">
          <cell r="D62">
            <v>434</v>
          </cell>
          <cell r="J62">
            <v>0</v>
          </cell>
        </row>
        <row r="64">
          <cell r="D64">
            <v>434</v>
          </cell>
          <cell r="J64">
            <v>0</v>
          </cell>
        </row>
        <row r="65">
          <cell r="J65">
            <v>0</v>
          </cell>
        </row>
        <row r="66">
          <cell r="D66">
            <v>1233488</v>
          </cell>
          <cell r="J66">
            <v>1233</v>
          </cell>
        </row>
        <row r="67">
          <cell r="J67">
            <v>0</v>
          </cell>
        </row>
        <row r="68">
          <cell r="J68">
            <v>0</v>
          </cell>
        </row>
        <row r="69">
          <cell r="D69">
            <v>1233488</v>
          </cell>
          <cell r="J69">
            <v>1233</v>
          </cell>
        </row>
        <row r="73">
          <cell r="D73">
            <v>124707</v>
          </cell>
          <cell r="J73">
            <v>125</v>
          </cell>
        </row>
        <row r="74">
          <cell r="D74">
            <v>216174</v>
          </cell>
          <cell r="J74">
            <v>216</v>
          </cell>
        </row>
        <row r="76">
          <cell r="D76">
            <v>254271</v>
          </cell>
          <cell r="J76">
            <v>254</v>
          </cell>
        </row>
        <row r="77">
          <cell r="D77">
            <v>27561</v>
          </cell>
          <cell r="J77">
            <v>28</v>
          </cell>
        </row>
        <row r="80">
          <cell r="D80">
            <v>6989336</v>
          </cell>
          <cell r="J80">
            <v>6989</v>
          </cell>
        </row>
        <row r="81">
          <cell r="D81">
            <v>672938</v>
          </cell>
          <cell r="J81">
            <v>673</v>
          </cell>
        </row>
        <row r="83">
          <cell r="D83">
            <v>7247776</v>
          </cell>
          <cell r="J83">
            <v>7248</v>
          </cell>
        </row>
        <row r="84">
          <cell r="D84">
            <v>558892</v>
          </cell>
          <cell r="J84">
            <v>559</v>
          </cell>
        </row>
        <row r="88">
          <cell r="D88">
            <v>3978739</v>
          </cell>
          <cell r="J88">
            <v>3979</v>
          </cell>
        </row>
        <row r="89">
          <cell r="D89">
            <v>17523813</v>
          </cell>
          <cell r="J89">
            <v>17524</v>
          </cell>
        </row>
        <row r="90">
          <cell r="D90">
            <v>9040</v>
          </cell>
          <cell r="J90">
            <v>9</v>
          </cell>
        </row>
        <row r="92">
          <cell r="D92">
            <v>22607567</v>
          </cell>
          <cell r="J92">
            <v>22608</v>
          </cell>
        </row>
        <row r="93">
          <cell r="D93">
            <v>6543238</v>
          </cell>
          <cell r="J93">
            <v>6543</v>
          </cell>
        </row>
        <row r="95">
          <cell r="D95">
            <v>3457300</v>
          </cell>
          <cell r="J95">
            <v>3457</v>
          </cell>
        </row>
        <row r="98">
          <cell r="J98">
            <v>0</v>
          </cell>
        </row>
        <row r="99">
          <cell r="J99">
            <v>0</v>
          </cell>
        </row>
        <row r="101">
          <cell r="J101">
            <v>0</v>
          </cell>
        </row>
        <row r="102">
          <cell r="J102">
            <v>0</v>
          </cell>
        </row>
        <row r="105">
          <cell r="D105">
            <v>300235</v>
          </cell>
          <cell r="J105">
            <v>300</v>
          </cell>
        </row>
        <row r="106">
          <cell r="D106">
            <v>6765</v>
          </cell>
          <cell r="J106">
            <v>7</v>
          </cell>
        </row>
        <row r="108">
          <cell r="D108">
            <v>198508</v>
          </cell>
          <cell r="J108">
            <v>199</v>
          </cell>
        </row>
        <row r="109">
          <cell r="D109">
            <v>40182</v>
          </cell>
          <cell r="J109">
            <v>40</v>
          </cell>
        </row>
        <row r="111">
          <cell r="D111">
            <v>842481</v>
          </cell>
          <cell r="J111">
            <v>842</v>
          </cell>
        </row>
        <row r="113">
          <cell r="D113">
            <v>1081166</v>
          </cell>
          <cell r="J113">
            <v>1081</v>
          </cell>
        </row>
        <row r="117">
          <cell r="D117">
            <v>176482517</v>
          </cell>
          <cell r="J117">
            <v>176483</v>
          </cell>
        </row>
        <row r="118">
          <cell r="D118">
            <v>2029716</v>
          </cell>
          <cell r="J118">
            <v>2030</v>
          </cell>
        </row>
        <row r="119">
          <cell r="D119">
            <v>677011</v>
          </cell>
          <cell r="J119">
            <v>677</v>
          </cell>
        </row>
        <row r="121">
          <cell r="D121">
            <v>208047529</v>
          </cell>
          <cell r="J121">
            <v>208048</v>
          </cell>
        </row>
        <row r="122">
          <cell r="D122">
            <v>1188370</v>
          </cell>
          <cell r="J122">
            <v>1188</v>
          </cell>
        </row>
        <row r="123">
          <cell r="J123">
            <v>-30047</v>
          </cell>
        </row>
        <row r="124">
          <cell r="D124">
            <v>14818793</v>
          </cell>
          <cell r="J124">
            <v>14819</v>
          </cell>
        </row>
        <row r="127">
          <cell r="D127">
            <v>133466224</v>
          </cell>
          <cell r="J127">
            <v>133466</v>
          </cell>
        </row>
        <row r="128">
          <cell r="D128">
            <v>1043437</v>
          </cell>
          <cell r="J128">
            <v>1043</v>
          </cell>
        </row>
        <row r="129">
          <cell r="D129">
            <v>7180210</v>
          </cell>
          <cell r="J129">
            <v>7180</v>
          </cell>
        </row>
        <row r="131">
          <cell r="D131">
            <v>160263870</v>
          </cell>
          <cell r="J131">
            <v>160264</v>
          </cell>
        </row>
        <row r="133">
          <cell r="D133">
            <v>11082539</v>
          </cell>
          <cell r="J133">
            <v>11083</v>
          </cell>
        </row>
        <row r="136">
          <cell r="D136">
            <v>12557179</v>
          </cell>
          <cell r="J136">
            <v>12557</v>
          </cell>
        </row>
        <row r="137">
          <cell r="D137">
            <v>150767</v>
          </cell>
          <cell r="J137">
            <v>151</v>
          </cell>
        </row>
        <row r="138">
          <cell r="D138">
            <v>693228</v>
          </cell>
          <cell r="J138">
            <v>693</v>
          </cell>
        </row>
        <row r="140">
          <cell r="D140">
            <v>19923070</v>
          </cell>
          <cell r="J140">
            <v>19923</v>
          </cell>
        </row>
        <row r="141">
          <cell r="D141">
            <v>15000</v>
          </cell>
          <cell r="J141">
            <v>15</v>
          </cell>
        </row>
        <row r="143">
          <cell r="J143">
            <v>0</v>
          </cell>
        </row>
        <row r="146">
          <cell r="D146">
            <v>425727</v>
          </cell>
          <cell r="J146">
            <v>426</v>
          </cell>
        </row>
        <row r="148">
          <cell r="D148">
            <v>7495</v>
          </cell>
          <cell r="J148">
            <v>7</v>
          </cell>
        </row>
        <row r="150">
          <cell r="D150">
            <v>207997</v>
          </cell>
          <cell r="J150">
            <v>208</v>
          </cell>
        </row>
        <row r="153">
          <cell r="J153">
            <v>0</v>
          </cell>
        </row>
        <row r="156">
          <cell r="D156">
            <v>30033387</v>
          </cell>
          <cell r="J156">
            <v>30033</v>
          </cell>
        </row>
        <row r="158">
          <cell r="D158">
            <v>1399363</v>
          </cell>
          <cell r="J158">
            <v>1399</v>
          </cell>
        </row>
        <row r="160">
          <cell r="D160">
            <v>35833180</v>
          </cell>
          <cell r="J160">
            <v>35833</v>
          </cell>
        </row>
        <row r="162">
          <cell r="D162">
            <v>3216254</v>
          </cell>
          <cell r="J162">
            <v>3216</v>
          </cell>
        </row>
        <row r="165">
          <cell r="D165">
            <v>835512</v>
          </cell>
          <cell r="J165">
            <v>836</v>
          </cell>
        </row>
        <row r="166">
          <cell r="D166">
            <v>3324989</v>
          </cell>
          <cell r="J166">
            <v>3325</v>
          </cell>
        </row>
        <row r="168">
          <cell r="D168">
            <v>3777303</v>
          </cell>
          <cell r="J168">
            <v>3777</v>
          </cell>
        </row>
        <row r="169">
          <cell r="D169">
            <v>1173753</v>
          </cell>
          <cell r="J169">
            <v>1174</v>
          </cell>
        </row>
        <row r="171">
          <cell r="D171">
            <v>519669</v>
          </cell>
          <cell r="J171">
            <v>520</v>
          </cell>
        </row>
        <row r="174">
          <cell r="D174">
            <v>27798264</v>
          </cell>
          <cell r="J174">
            <v>27798</v>
          </cell>
        </row>
        <row r="175">
          <cell r="D175">
            <v>22881595</v>
          </cell>
          <cell r="J175">
            <v>22882</v>
          </cell>
        </row>
        <row r="176">
          <cell r="D176">
            <v>4422911</v>
          </cell>
          <cell r="J176">
            <v>4423</v>
          </cell>
        </row>
        <row r="178">
          <cell r="D178">
            <v>50373298</v>
          </cell>
          <cell r="J178">
            <v>50373</v>
          </cell>
        </row>
        <row r="179">
          <cell r="D179">
            <v>528427</v>
          </cell>
          <cell r="J179">
            <v>528</v>
          </cell>
        </row>
        <row r="185">
          <cell r="D185">
            <v>2397704</v>
          </cell>
          <cell r="J185">
            <v>2398</v>
          </cell>
        </row>
        <row r="186">
          <cell r="D186">
            <v>73577</v>
          </cell>
          <cell r="J186">
            <v>74</v>
          </cell>
        </row>
        <row r="187">
          <cell r="D187">
            <v>18393</v>
          </cell>
          <cell r="J187">
            <v>18</v>
          </cell>
        </row>
        <row r="189">
          <cell r="D189">
            <v>2621756</v>
          </cell>
          <cell r="J189">
            <v>2622</v>
          </cell>
        </row>
        <row r="190">
          <cell r="D190">
            <v>318902</v>
          </cell>
          <cell r="J190">
            <v>319</v>
          </cell>
        </row>
        <row r="192">
          <cell r="D192">
            <v>711250</v>
          </cell>
          <cell r="J192">
            <v>711</v>
          </cell>
        </row>
        <row r="194">
          <cell r="D194">
            <v>15939</v>
          </cell>
          <cell r="J194">
            <v>16</v>
          </cell>
        </row>
        <row r="195">
          <cell r="D195">
            <v>651592</v>
          </cell>
          <cell r="J195">
            <v>652</v>
          </cell>
        </row>
        <row r="199">
          <cell r="D199">
            <v>804680</v>
          </cell>
          <cell r="J199">
            <v>805</v>
          </cell>
        </row>
        <row r="200">
          <cell r="J200">
            <v>0</v>
          </cell>
        </row>
        <row r="202">
          <cell r="D202">
            <v>769430</v>
          </cell>
          <cell r="J202">
            <v>769</v>
          </cell>
        </row>
        <row r="205">
          <cell r="D205">
            <v>20903</v>
          </cell>
          <cell r="J205">
            <v>21</v>
          </cell>
        </row>
        <row r="206">
          <cell r="D206">
            <v>34697</v>
          </cell>
          <cell r="J206">
            <v>35</v>
          </cell>
        </row>
        <row r="208">
          <cell r="D208">
            <v>54932</v>
          </cell>
          <cell r="J208">
            <v>55</v>
          </cell>
        </row>
        <row r="209">
          <cell r="J209">
            <v>1</v>
          </cell>
        </row>
        <row r="212">
          <cell r="J212">
            <v>0</v>
          </cell>
        </row>
        <row r="214">
          <cell r="D214">
            <v>3770</v>
          </cell>
          <cell r="J214">
            <v>4</v>
          </cell>
        </row>
        <row r="215">
          <cell r="D215">
            <v>73</v>
          </cell>
          <cell r="J2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11">
          <cell r="D11">
            <v>269652000</v>
          </cell>
          <cell r="K11">
            <v>269652</v>
          </cell>
        </row>
        <row r="12">
          <cell r="D12">
            <v>4817000</v>
          </cell>
          <cell r="K12">
            <v>4817</v>
          </cell>
        </row>
        <row r="16">
          <cell r="D16">
            <v>5277832</v>
          </cell>
          <cell r="K16">
            <v>5278</v>
          </cell>
        </row>
        <row r="17">
          <cell r="D17">
            <v>1423621</v>
          </cell>
          <cell r="K17">
            <v>1424</v>
          </cell>
        </row>
        <row r="18">
          <cell r="D18">
            <v>24636370</v>
          </cell>
          <cell r="K18">
            <v>24636</v>
          </cell>
        </row>
        <row r="19">
          <cell r="D19">
            <v>18845095</v>
          </cell>
          <cell r="K19">
            <v>18845</v>
          </cell>
        </row>
        <row r="20">
          <cell r="D20">
            <v>2921220</v>
          </cell>
          <cell r="K20">
            <v>2921</v>
          </cell>
        </row>
        <row r="21">
          <cell r="D21">
            <v>2100000</v>
          </cell>
          <cell r="K21">
            <v>2100</v>
          </cell>
        </row>
        <row r="22">
          <cell r="D22">
            <v>770055</v>
          </cell>
          <cell r="K22">
            <v>770</v>
          </cell>
        </row>
        <row r="23">
          <cell r="D23">
            <v>722395</v>
          </cell>
          <cell r="K23">
            <v>723</v>
          </cell>
        </row>
        <row r="25">
          <cell r="D25">
            <v>295588</v>
          </cell>
          <cell r="K25">
            <v>296</v>
          </cell>
        </row>
        <row r="26">
          <cell r="D26">
            <v>494262</v>
          </cell>
          <cell r="K26">
            <v>494</v>
          </cell>
        </row>
        <row r="28">
          <cell r="D28">
            <v>1216191</v>
          </cell>
          <cell r="K28">
            <v>1216</v>
          </cell>
        </row>
        <row r="29">
          <cell r="D29">
            <v>4493601</v>
          </cell>
          <cell r="K29">
            <v>4494</v>
          </cell>
        </row>
        <row r="30">
          <cell r="K30">
            <v>0</v>
          </cell>
        </row>
        <row r="32">
          <cell r="D32">
            <v>400399</v>
          </cell>
          <cell r="K32">
            <v>400</v>
          </cell>
        </row>
        <row r="33">
          <cell r="D33">
            <v>57826522</v>
          </cell>
          <cell r="K33">
            <v>57826</v>
          </cell>
        </row>
        <row r="35">
          <cell r="D35">
            <v>162561143</v>
          </cell>
          <cell r="K35">
            <v>162561</v>
          </cell>
        </row>
        <row r="36">
          <cell r="D36">
            <v>19200746</v>
          </cell>
          <cell r="K36">
            <v>19201</v>
          </cell>
        </row>
        <row r="37">
          <cell r="D37">
            <v>564138</v>
          </cell>
          <cell r="K37">
            <v>564</v>
          </cell>
        </row>
        <row r="38">
          <cell r="D38">
            <v>17191251</v>
          </cell>
          <cell r="K38">
            <v>17191</v>
          </cell>
        </row>
        <row r="39">
          <cell r="D39">
            <v>40963</v>
          </cell>
          <cell r="K39">
            <v>41</v>
          </cell>
        </row>
        <row r="41">
          <cell r="D41">
            <v>4927031</v>
          </cell>
          <cell r="K41">
            <v>4927</v>
          </cell>
        </row>
        <row r="42">
          <cell r="D42">
            <v>6538809</v>
          </cell>
          <cell r="K42">
            <v>6539</v>
          </cell>
        </row>
        <row r="46">
          <cell r="D46">
            <v>1233488</v>
          </cell>
          <cell r="K46">
            <v>1233</v>
          </cell>
        </row>
        <row r="47">
          <cell r="K47">
            <v>0</v>
          </cell>
        </row>
        <row r="50">
          <cell r="D50">
            <v>19509000</v>
          </cell>
          <cell r="K50">
            <v>19509</v>
          </cell>
        </row>
        <row r="51">
          <cell r="D51">
            <v>15066350</v>
          </cell>
          <cell r="K51">
            <v>15066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rts"/>
      <sheetName val="Aprīlis"/>
      <sheetName val="Maijs"/>
      <sheetName val="Jūnijs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0">
          <cell r="C10">
            <v>1529234</v>
          </cell>
          <cell r="H10">
            <v>1529</v>
          </cell>
        </row>
        <row r="11">
          <cell r="C11">
            <v>890253</v>
          </cell>
          <cell r="H11">
            <v>890</v>
          </cell>
        </row>
        <row r="15">
          <cell r="C15">
            <v>125106</v>
          </cell>
          <cell r="H15">
            <v>125</v>
          </cell>
        </row>
        <row r="16">
          <cell r="C16">
            <v>39579</v>
          </cell>
          <cell r="H16">
            <v>40</v>
          </cell>
        </row>
        <row r="18">
          <cell r="C18">
            <v>2641392</v>
          </cell>
          <cell r="H18">
            <v>2641</v>
          </cell>
        </row>
        <row r="19">
          <cell r="C19">
            <v>311265</v>
          </cell>
          <cell r="H19">
            <v>311</v>
          </cell>
        </row>
        <row r="20">
          <cell r="H20">
            <v>0</v>
          </cell>
        </row>
        <row r="22">
          <cell r="C22">
            <v>99452</v>
          </cell>
          <cell r="H22">
            <v>99</v>
          </cell>
        </row>
        <row r="23">
          <cell r="H23">
            <v>0</v>
          </cell>
        </row>
        <row r="25">
          <cell r="C25">
            <v>20696</v>
          </cell>
          <cell r="H25">
            <v>21</v>
          </cell>
        </row>
        <row r="26">
          <cell r="C26">
            <v>11967</v>
          </cell>
          <cell r="H26">
            <v>12</v>
          </cell>
        </row>
        <row r="27">
          <cell r="H27">
            <v>0</v>
          </cell>
        </row>
        <row r="28">
          <cell r="C28">
            <v>11024</v>
          </cell>
          <cell r="H28">
            <v>11</v>
          </cell>
        </row>
        <row r="29">
          <cell r="C29">
            <v>35119</v>
          </cell>
          <cell r="H29">
            <v>35</v>
          </cell>
        </row>
        <row r="31">
          <cell r="C31">
            <v>314370</v>
          </cell>
          <cell r="H31">
            <v>314</v>
          </cell>
        </row>
        <row r="32">
          <cell r="H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workbookViewId="0" topLeftCell="K1">
      <selection activeCell="K14" sqref="K14"/>
    </sheetView>
  </sheetViews>
  <sheetFormatPr defaultColWidth="9.140625" defaultRowHeight="12.75"/>
  <cols>
    <col min="1" max="1" width="39.28125" style="29" hidden="1" customWidth="1"/>
    <col min="2" max="2" width="13.28125" style="29" hidden="1" customWidth="1"/>
    <col min="3" max="3" width="11.57421875" style="203" hidden="1" customWidth="1"/>
    <col min="4" max="4" width="12.140625" style="29" hidden="1" customWidth="1"/>
    <col min="5" max="5" width="9.421875" style="148" hidden="1" customWidth="1"/>
    <col min="6" max="6" width="41.140625" style="29" hidden="1" customWidth="1"/>
    <col min="7" max="7" width="11.00390625" style="29" hidden="1" customWidth="1"/>
    <col min="8" max="8" width="11.8515625" style="29" hidden="1" customWidth="1"/>
    <col min="9" max="9" width="11.140625" style="29" hidden="1" customWidth="1"/>
    <col min="10" max="10" width="9.140625" style="29" hidden="1" customWidth="1"/>
    <col min="11" max="11" width="31.28125" style="29" customWidth="1"/>
    <col min="12" max="12" width="11.28125" style="29" customWidth="1"/>
    <col min="13" max="13" width="11.00390625" style="29" customWidth="1"/>
    <col min="14" max="14" width="10.7109375" style="29" customWidth="1"/>
    <col min="15" max="15" width="13.140625" style="29" customWidth="1"/>
    <col min="16" max="16384" width="9.140625" style="29" customWidth="1"/>
  </cols>
  <sheetData>
    <row r="1" spans="1:15" s="271" customFormat="1" ht="15.75" customHeight="1">
      <c r="A1" s="283" t="s">
        <v>432</v>
      </c>
      <c r="B1" s="283"/>
      <c r="C1" s="283"/>
      <c r="D1" s="283"/>
      <c r="E1" s="283"/>
      <c r="F1" s="283" t="s">
        <v>433</v>
      </c>
      <c r="G1" s="283"/>
      <c r="H1" s="283"/>
      <c r="I1" s="283"/>
      <c r="J1" s="283"/>
      <c r="K1" s="283" t="s">
        <v>391</v>
      </c>
      <c r="L1" s="283"/>
      <c r="M1" s="283"/>
      <c r="N1" s="283"/>
      <c r="O1" s="283"/>
    </row>
    <row r="2" spans="1:15" s="271" customFormat="1" ht="15.7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2.75" customHeight="1">
      <c r="A3" s="249"/>
      <c r="B3" s="3"/>
      <c r="C3" s="184"/>
      <c r="D3" s="73" t="s">
        <v>392</v>
      </c>
      <c r="E3" s="250"/>
      <c r="F3" s="249"/>
      <c r="G3" s="3"/>
      <c r="H3" s="184"/>
      <c r="I3" s="73" t="s">
        <v>392</v>
      </c>
      <c r="J3" s="250"/>
      <c r="K3" s="249"/>
      <c r="L3" s="3"/>
      <c r="M3" s="184"/>
      <c r="N3" s="73" t="s">
        <v>392</v>
      </c>
      <c r="O3" s="250"/>
    </row>
    <row r="4" spans="1:15" s="6" customFormat="1" ht="33.75">
      <c r="A4" s="48" t="s">
        <v>7</v>
      </c>
      <c r="B4" s="7" t="s">
        <v>393</v>
      </c>
      <c r="C4" s="7" t="s">
        <v>394</v>
      </c>
      <c r="D4" s="7" t="s">
        <v>395</v>
      </c>
      <c r="E4" s="251" t="s">
        <v>434</v>
      </c>
      <c r="F4" s="48" t="s">
        <v>7</v>
      </c>
      <c r="G4" s="7" t="s">
        <v>393</v>
      </c>
      <c r="H4" s="7" t="s">
        <v>394</v>
      </c>
      <c r="I4" s="7" t="s">
        <v>395</v>
      </c>
      <c r="J4" s="251" t="s">
        <v>435</v>
      </c>
      <c r="K4" s="48" t="s">
        <v>7</v>
      </c>
      <c r="L4" s="7" t="s">
        <v>393</v>
      </c>
      <c r="M4" s="7" t="s">
        <v>394</v>
      </c>
      <c r="N4" s="7" t="s">
        <v>395</v>
      </c>
      <c r="O4" s="251" t="s">
        <v>170</v>
      </c>
    </row>
    <row r="5" spans="1:15" s="1" customFormat="1" ht="12.75">
      <c r="A5" s="86" t="s">
        <v>396</v>
      </c>
      <c r="B5" s="237">
        <v>405514</v>
      </c>
      <c r="C5" s="95">
        <v>131581</v>
      </c>
      <c r="D5" s="237">
        <f>B5+C5</f>
        <v>537095</v>
      </c>
      <c r="E5" s="252">
        <v>140836</v>
      </c>
      <c r="F5" s="86" t="s">
        <v>396</v>
      </c>
      <c r="G5" s="237">
        <v>510019</v>
      </c>
      <c r="H5" s="95">
        <v>168552</v>
      </c>
      <c r="I5" s="237">
        <f>G5+H5</f>
        <v>678571</v>
      </c>
      <c r="J5" s="252">
        <f>I5-D5</f>
        <v>141476</v>
      </c>
      <c r="K5" s="86" t="s">
        <v>396</v>
      </c>
      <c r="L5" s="237">
        <v>613064</v>
      </c>
      <c r="M5" s="95">
        <v>210284</v>
      </c>
      <c r="N5" s="237">
        <f>L5+M5</f>
        <v>823348</v>
      </c>
      <c r="O5" s="252">
        <f>N5-I5</f>
        <v>144777</v>
      </c>
    </row>
    <row r="6" spans="1:15" s="175" customFormat="1" ht="22.5">
      <c r="A6" s="253" t="s">
        <v>397</v>
      </c>
      <c r="B6" s="162" t="s">
        <v>224</v>
      </c>
      <c r="C6" s="162" t="s">
        <v>224</v>
      </c>
      <c r="D6" s="212">
        <v>30831</v>
      </c>
      <c r="E6" s="254">
        <v>9242</v>
      </c>
      <c r="F6" s="253" t="s">
        <v>397</v>
      </c>
      <c r="G6" s="162" t="s">
        <v>224</v>
      </c>
      <c r="H6" s="162" t="s">
        <v>224</v>
      </c>
      <c r="I6" s="212">
        <v>39349</v>
      </c>
      <c r="J6" s="254">
        <f aca="true" t="shared" si="0" ref="J6:J39">I6-D6</f>
        <v>8518</v>
      </c>
      <c r="K6" s="253" t="s">
        <v>397</v>
      </c>
      <c r="L6" s="162" t="s">
        <v>224</v>
      </c>
      <c r="M6" s="162" t="s">
        <v>224</v>
      </c>
      <c r="N6" s="212">
        <f>52348+3052</f>
        <v>55400</v>
      </c>
      <c r="O6" s="254">
        <f aca="true" t="shared" si="1" ref="O6:O39">N6-I6</f>
        <v>16051</v>
      </c>
    </row>
    <row r="7" spans="1:15" s="175" customFormat="1" ht="22.5">
      <c r="A7" s="253" t="s">
        <v>398</v>
      </c>
      <c r="B7" s="162" t="s">
        <v>224</v>
      </c>
      <c r="C7" s="162" t="s">
        <v>224</v>
      </c>
      <c r="D7" s="212">
        <v>3961</v>
      </c>
      <c r="E7" s="254">
        <v>-584</v>
      </c>
      <c r="F7" s="253" t="s">
        <v>398</v>
      </c>
      <c r="G7" s="162" t="s">
        <v>224</v>
      </c>
      <c r="H7" s="162" t="s">
        <v>224</v>
      </c>
      <c r="I7" s="212">
        <v>4494</v>
      </c>
      <c r="J7" s="254">
        <f t="shared" si="0"/>
        <v>533</v>
      </c>
      <c r="K7" s="253" t="s">
        <v>398</v>
      </c>
      <c r="L7" s="162" t="s">
        <v>224</v>
      </c>
      <c r="M7" s="162" t="s">
        <v>224</v>
      </c>
      <c r="N7" s="212">
        <v>5232</v>
      </c>
      <c r="O7" s="254">
        <f t="shared" si="1"/>
        <v>738</v>
      </c>
    </row>
    <row r="8" spans="1:15" s="1" customFormat="1" ht="12.75">
      <c r="A8" s="255" t="s">
        <v>399</v>
      </c>
      <c r="B8" s="158" t="s">
        <v>224</v>
      </c>
      <c r="C8" s="158" t="s">
        <v>224</v>
      </c>
      <c r="D8" s="237">
        <f>D5-D6-D7</f>
        <v>502303</v>
      </c>
      <c r="E8" s="272">
        <f>E5-E6-E7</f>
        <v>132178</v>
      </c>
      <c r="F8" s="255" t="s">
        <v>399</v>
      </c>
      <c r="G8" s="158" t="s">
        <v>224</v>
      </c>
      <c r="H8" s="158" t="s">
        <v>224</v>
      </c>
      <c r="I8" s="237">
        <f>I5-I6-I7</f>
        <v>634728</v>
      </c>
      <c r="J8" s="252">
        <f t="shared" si="0"/>
        <v>132425</v>
      </c>
      <c r="K8" s="255" t="s">
        <v>399</v>
      </c>
      <c r="L8" s="158" t="s">
        <v>224</v>
      </c>
      <c r="M8" s="158" t="s">
        <v>224</v>
      </c>
      <c r="N8" s="237">
        <f>N5-N6-N7</f>
        <v>762716</v>
      </c>
      <c r="O8" s="252">
        <f t="shared" si="1"/>
        <v>127988</v>
      </c>
    </row>
    <row r="9" spans="1:15" s="124" customFormat="1" ht="12.75">
      <c r="A9" s="86" t="s">
        <v>400</v>
      </c>
      <c r="B9" s="237">
        <v>430174</v>
      </c>
      <c r="C9" s="95">
        <v>124192</v>
      </c>
      <c r="D9" s="237">
        <f>B9+C9</f>
        <v>554366</v>
      </c>
      <c r="E9" s="252">
        <f>153802-28</f>
        <v>153774</v>
      </c>
      <c r="F9" s="86" t="s">
        <v>400</v>
      </c>
      <c r="G9" s="237">
        <v>551865</v>
      </c>
      <c r="H9" s="95">
        <v>159035</v>
      </c>
      <c r="I9" s="237">
        <f>G9+H9</f>
        <v>710900</v>
      </c>
      <c r="J9" s="252">
        <f t="shared" si="0"/>
        <v>156534</v>
      </c>
      <c r="K9" s="86" t="s">
        <v>400</v>
      </c>
      <c r="L9" s="237">
        <f>676258+121</f>
        <v>676379</v>
      </c>
      <c r="M9" s="95">
        <v>204319</v>
      </c>
      <c r="N9" s="237">
        <f>L9+M9</f>
        <v>880698</v>
      </c>
      <c r="O9" s="252">
        <f>N9-I9</f>
        <v>169798</v>
      </c>
    </row>
    <row r="10" spans="1:15" s="273" customFormat="1" ht="22.5">
      <c r="A10" s="253" t="s">
        <v>401</v>
      </c>
      <c r="B10" s="162" t="s">
        <v>224</v>
      </c>
      <c r="C10" s="162" t="s">
        <v>224</v>
      </c>
      <c r="D10" s="212">
        <v>30831</v>
      </c>
      <c r="E10" s="254">
        <v>9242</v>
      </c>
      <c r="F10" s="253" t="s">
        <v>401</v>
      </c>
      <c r="G10" s="162" t="s">
        <v>224</v>
      </c>
      <c r="H10" s="162" t="s">
        <v>224</v>
      </c>
      <c r="I10" s="212">
        <v>39349</v>
      </c>
      <c r="J10" s="254">
        <f t="shared" si="0"/>
        <v>8518</v>
      </c>
      <c r="K10" s="253" t="s">
        <v>401</v>
      </c>
      <c r="L10" s="162" t="s">
        <v>224</v>
      </c>
      <c r="M10" s="162" t="s">
        <v>224</v>
      </c>
      <c r="N10" s="212">
        <v>55400</v>
      </c>
      <c r="O10" s="254">
        <f t="shared" si="1"/>
        <v>16051</v>
      </c>
    </row>
    <row r="11" spans="1:15" s="273" customFormat="1" ht="22.5">
      <c r="A11" s="253" t="s">
        <v>402</v>
      </c>
      <c r="B11" s="162" t="s">
        <v>224</v>
      </c>
      <c r="C11" s="162" t="s">
        <v>224</v>
      </c>
      <c r="D11" s="212">
        <v>3961</v>
      </c>
      <c r="E11" s="254">
        <v>-584</v>
      </c>
      <c r="F11" s="253" t="s">
        <v>402</v>
      </c>
      <c r="G11" s="162" t="s">
        <v>224</v>
      </c>
      <c r="H11" s="162" t="s">
        <v>224</v>
      </c>
      <c r="I11" s="212">
        <v>4494</v>
      </c>
      <c r="J11" s="254">
        <f t="shared" si="0"/>
        <v>533</v>
      </c>
      <c r="K11" s="253" t="s">
        <v>402</v>
      </c>
      <c r="L11" s="162" t="s">
        <v>224</v>
      </c>
      <c r="M11" s="162" t="s">
        <v>224</v>
      </c>
      <c r="N11" s="212">
        <v>5232</v>
      </c>
      <c r="O11" s="254">
        <f t="shared" si="1"/>
        <v>738</v>
      </c>
    </row>
    <row r="12" spans="1:15" s="124" customFormat="1" ht="12.75">
      <c r="A12" s="255" t="s">
        <v>403</v>
      </c>
      <c r="B12" s="158" t="s">
        <v>224</v>
      </c>
      <c r="C12" s="158" t="s">
        <v>224</v>
      </c>
      <c r="D12" s="237">
        <f>D9-D10-D11</f>
        <v>519574</v>
      </c>
      <c r="E12" s="272">
        <f>E9-E10-E11</f>
        <v>145116</v>
      </c>
      <c r="F12" s="255" t="s">
        <v>403</v>
      </c>
      <c r="G12" s="158" t="s">
        <v>224</v>
      </c>
      <c r="H12" s="158" t="s">
        <v>224</v>
      </c>
      <c r="I12" s="237">
        <f>I9-I10-I11</f>
        <v>667057</v>
      </c>
      <c r="J12" s="252">
        <f t="shared" si="0"/>
        <v>147483</v>
      </c>
      <c r="K12" s="255" t="s">
        <v>403</v>
      </c>
      <c r="L12" s="158" t="s">
        <v>224</v>
      </c>
      <c r="M12" s="158" t="s">
        <v>224</v>
      </c>
      <c r="N12" s="237">
        <f>N9-N10-N11</f>
        <v>820066</v>
      </c>
      <c r="O12" s="252">
        <f>N12-I12</f>
        <v>153009</v>
      </c>
    </row>
    <row r="13" spans="1:15" s="17" customFormat="1" ht="25.5">
      <c r="A13" s="255" t="s">
        <v>404</v>
      </c>
      <c r="B13" s="237">
        <f>B5-B9</f>
        <v>-24660</v>
      </c>
      <c r="C13" s="95">
        <f>C5-C9</f>
        <v>7389</v>
      </c>
      <c r="D13" s="237">
        <f>D8-D12</f>
        <v>-17271</v>
      </c>
      <c r="E13" s="272">
        <f>E8-E12</f>
        <v>-12938</v>
      </c>
      <c r="F13" s="255" t="s">
        <v>404</v>
      </c>
      <c r="G13" s="237">
        <f>G5-G9</f>
        <v>-41846</v>
      </c>
      <c r="H13" s="95">
        <f>H5-H9</f>
        <v>9517</v>
      </c>
      <c r="I13" s="237">
        <f>I8-I12</f>
        <v>-32329</v>
      </c>
      <c r="J13" s="252">
        <f t="shared" si="0"/>
        <v>-15058</v>
      </c>
      <c r="K13" s="255" t="s">
        <v>404</v>
      </c>
      <c r="L13" s="237">
        <f>L5-L9</f>
        <v>-63315</v>
      </c>
      <c r="M13" s="95">
        <f>M5-M9</f>
        <v>5965</v>
      </c>
      <c r="N13" s="237">
        <f>N8-N12</f>
        <v>-57350</v>
      </c>
      <c r="O13" s="252">
        <f t="shared" si="1"/>
        <v>-25021</v>
      </c>
    </row>
    <row r="14" spans="1:15" s="17" customFormat="1" ht="12.75">
      <c r="A14" s="256" t="s">
        <v>405</v>
      </c>
      <c r="B14" s="95">
        <f>B15-B18</f>
        <v>2182</v>
      </c>
      <c r="C14" s="95">
        <f>C15-C18</f>
        <v>-652</v>
      </c>
      <c r="D14" s="95">
        <f>D17-D20</f>
        <v>4511</v>
      </c>
      <c r="E14" s="272">
        <f>E17-E20</f>
        <v>966</v>
      </c>
      <c r="F14" s="256" t="s">
        <v>405</v>
      </c>
      <c r="G14" s="95">
        <f>G15-G18</f>
        <v>3779</v>
      </c>
      <c r="H14" s="95">
        <f>H15-H18</f>
        <v>-424</v>
      </c>
      <c r="I14" s="95">
        <f>I17-I20</f>
        <v>6113</v>
      </c>
      <c r="J14" s="252">
        <f t="shared" si="0"/>
        <v>1602</v>
      </c>
      <c r="K14" s="256" t="s">
        <v>405</v>
      </c>
      <c r="L14" s="95">
        <f>L15-L18</f>
        <v>5127</v>
      </c>
      <c r="M14" s="95">
        <f>M15-M18</f>
        <v>-233</v>
      </c>
      <c r="N14" s="95">
        <f>N17-N20</f>
        <v>6502</v>
      </c>
      <c r="O14" s="252">
        <f t="shared" si="1"/>
        <v>389</v>
      </c>
    </row>
    <row r="15" spans="1:15" s="17" customFormat="1" ht="12.75">
      <c r="A15" s="257" t="s">
        <v>406</v>
      </c>
      <c r="B15" s="127">
        <v>11179</v>
      </c>
      <c r="C15" s="98">
        <v>2104</v>
      </c>
      <c r="D15" s="127">
        <f>B15+C15</f>
        <v>13283</v>
      </c>
      <c r="E15" s="274">
        <v>3971</v>
      </c>
      <c r="F15" s="257" t="s">
        <v>406</v>
      </c>
      <c r="G15" s="127">
        <v>14328</v>
      </c>
      <c r="H15" s="98">
        <v>2660</v>
      </c>
      <c r="I15" s="127">
        <f>G15+H15</f>
        <v>16988</v>
      </c>
      <c r="J15" s="258">
        <f t="shared" si="0"/>
        <v>3705</v>
      </c>
      <c r="K15" s="257" t="s">
        <v>406</v>
      </c>
      <c r="L15" s="127">
        <f>17033</f>
        <v>17033</v>
      </c>
      <c r="M15" s="98">
        <v>3098</v>
      </c>
      <c r="N15" s="127">
        <f>L15+M15</f>
        <v>20131</v>
      </c>
      <c r="O15" s="258">
        <f t="shared" si="1"/>
        <v>3143</v>
      </c>
    </row>
    <row r="16" spans="1:15" s="168" customFormat="1" ht="22.5">
      <c r="A16" s="253" t="s">
        <v>407</v>
      </c>
      <c r="B16" s="162" t="s">
        <v>224</v>
      </c>
      <c r="C16" s="162" t="s">
        <v>224</v>
      </c>
      <c r="D16" s="212">
        <v>1197</v>
      </c>
      <c r="E16" s="275">
        <v>105</v>
      </c>
      <c r="F16" s="253" t="s">
        <v>407</v>
      </c>
      <c r="G16" s="162" t="s">
        <v>224</v>
      </c>
      <c r="H16" s="162" t="s">
        <v>224</v>
      </c>
      <c r="I16" s="212">
        <v>2067</v>
      </c>
      <c r="J16" s="254">
        <f t="shared" si="0"/>
        <v>870</v>
      </c>
      <c r="K16" s="253" t="s">
        <v>407</v>
      </c>
      <c r="L16" s="162" t="s">
        <v>224</v>
      </c>
      <c r="M16" s="162" t="s">
        <v>224</v>
      </c>
      <c r="N16" s="212">
        <v>3716</v>
      </c>
      <c r="O16" s="254">
        <f t="shared" si="1"/>
        <v>1649</v>
      </c>
    </row>
    <row r="17" spans="1:15" s="17" customFormat="1" ht="12.75">
      <c r="A17" s="256" t="s">
        <v>408</v>
      </c>
      <c r="B17" s="158" t="s">
        <v>224</v>
      </c>
      <c r="C17" s="158" t="s">
        <v>224</v>
      </c>
      <c r="D17" s="127">
        <f>D15-D16</f>
        <v>12086</v>
      </c>
      <c r="E17" s="274">
        <f>E15-E16</f>
        <v>3866</v>
      </c>
      <c r="F17" s="256" t="s">
        <v>408</v>
      </c>
      <c r="G17" s="158" t="s">
        <v>224</v>
      </c>
      <c r="H17" s="158" t="s">
        <v>224</v>
      </c>
      <c r="I17" s="127">
        <f>I15-I16</f>
        <v>14921</v>
      </c>
      <c r="J17" s="252">
        <f t="shared" si="0"/>
        <v>2835</v>
      </c>
      <c r="K17" s="256" t="s">
        <v>408</v>
      </c>
      <c r="L17" s="158" t="s">
        <v>224</v>
      </c>
      <c r="M17" s="158" t="s">
        <v>224</v>
      </c>
      <c r="N17" s="127">
        <f>N15-N16</f>
        <v>16415</v>
      </c>
      <c r="O17" s="252">
        <f t="shared" si="1"/>
        <v>1494</v>
      </c>
    </row>
    <row r="18" spans="1:15" s="17" customFormat="1" ht="12.75">
      <c r="A18" s="257" t="s">
        <v>409</v>
      </c>
      <c r="B18" s="127">
        <v>8997</v>
      </c>
      <c r="C18" s="98">
        <v>2756</v>
      </c>
      <c r="D18" s="127">
        <f>B18+C18</f>
        <v>11753</v>
      </c>
      <c r="E18" s="274">
        <v>3398</v>
      </c>
      <c r="F18" s="257" t="s">
        <v>409</v>
      </c>
      <c r="G18" s="127">
        <v>10549</v>
      </c>
      <c r="H18" s="98">
        <v>3084</v>
      </c>
      <c r="I18" s="127">
        <f>G18+H18</f>
        <v>13633</v>
      </c>
      <c r="J18" s="258">
        <f t="shared" si="0"/>
        <v>1880</v>
      </c>
      <c r="K18" s="257" t="s">
        <v>409</v>
      </c>
      <c r="L18" s="127">
        <v>11906</v>
      </c>
      <c r="M18" s="98">
        <v>3331</v>
      </c>
      <c r="N18" s="127">
        <f>L18+M18</f>
        <v>15237</v>
      </c>
      <c r="O18" s="258">
        <f t="shared" si="1"/>
        <v>1604</v>
      </c>
    </row>
    <row r="19" spans="1:15" s="17" customFormat="1" ht="22.5">
      <c r="A19" s="253" t="s">
        <v>410</v>
      </c>
      <c r="B19" s="158" t="s">
        <v>224</v>
      </c>
      <c r="C19" s="158" t="s">
        <v>224</v>
      </c>
      <c r="D19" s="212">
        <v>4178</v>
      </c>
      <c r="E19" s="275">
        <v>498</v>
      </c>
      <c r="F19" s="253" t="s">
        <v>410</v>
      </c>
      <c r="G19" s="158" t="s">
        <v>224</v>
      </c>
      <c r="H19" s="158" t="s">
        <v>224</v>
      </c>
      <c r="I19" s="212">
        <v>4825</v>
      </c>
      <c r="J19" s="254">
        <f t="shared" si="0"/>
        <v>647</v>
      </c>
      <c r="K19" s="253" t="s">
        <v>410</v>
      </c>
      <c r="L19" s="158" t="s">
        <v>224</v>
      </c>
      <c r="M19" s="158" t="s">
        <v>224</v>
      </c>
      <c r="N19" s="212">
        <f>5226+98</f>
        <v>5324</v>
      </c>
      <c r="O19" s="254">
        <f t="shared" si="1"/>
        <v>499</v>
      </c>
    </row>
    <row r="20" spans="1:15" s="17" customFormat="1" ht="12.75">
      <c r="A20" s="256" t="s">
        <v>411</v>
      </c>
      <c r="B20" s="158" t="s">
        <v>224</v>
      </c>
      <c r="C20" s="158" t="s">
        <v>224</v>
      </c>
      <c r="D20" s="127">
        <f>D18-D19</f>
        <v>7575</v>
      </c>
      <c r="E20" s="274">
        <f>E18-E19</f>
        <v>2900</v>
      </c>
      <c r="F20" s="256" t="s">
        <v>411</v>
      </c>
      <c r="G20" s="158" t="s">
        <v>224</v>
      </c>
      <c r="H20" s="158" t="s">
        <v>224</v>
      </c>
      <c r="I20" s="127">
        <f>I18-I19</f>
        <v>8808</v>
      </c>
      <c r="J20" s="252">
        <f t="shared" si="0"/>
        <v>1233</v>
      </c>
      <c r="K20" s="256" t="s">
        <v>411</v>
      </c>
      <c r="L20" s="158" t="s">
        <v>224</v>
      </c>
      <c r="M20" s="158" t="s">
        <v>224</v>
      </c>
      <c r="N20" s="127">
        <f>N18-N19</f>
        <v>9913</v>
      </c>
      <c r="O20" s="252">
        <f t="shared" si="1"/>
        <v>1105</v>
      </c>
    </row>
    <row r="21" spans="1:15" s="17" customFormat="1" ht="25.5">
      <c r="A21" s="255" t="s">
        <v>412</v>
      </c>
      <c r="B21" s="95">
        <f>B13-B14</f>
        <v>-26842</v>
      </c>
      <c r="C21" s="95">
        <f>C13-C14</f>
        <v>8041</v>
      </c>
      <c r="D21" s="237">
        <f>D13-D14</f>
        <v>-21782</v>
      </c>
      <c r="E21" s="272">
        <f>E13-E14</f>
        <v>-13904</v>
      </c>
      <c r="F21" s="255" t="s">
        <v>412</v>
      </c>
      <c r="G21" s="95">
        <f>G13-G14</f>
        <v>-45625</v>
      </c>
      <c r="H21" s="95">
        <f>H13-H14</f>
        <v>9941</v>
      </c>
      <c r="I21" s="237">
        <f>I13-I14</f>
        <v>-38442</v>
      </c>
      <c r="J21" s="252">
        <f t="shared" si="0"/>
        <v>-16660</v>
      </c>
      <c r="K21" s="255" t="s">
        <v>412</v>
      </c>
      <c r="L21" s="95">
        <f>L13-L14</f>
        <v>-68442</v>
      </c>
      <c r="M21" s="95">
        <f>M13-M14</f>
        <v>6198</v>
      </c>
      <c r="N21" s="237">
        <f>N13-N14</f>
        <v>-63852</v>
      </c>
      <c r="O21" s="252">
        <f t="shared" si="1"/>
        <v>-25410</v>
      </c>
    </row>
    <row r="22" spans="1:15" s="17" customFormat="1" ht="12.75">
      <c r="A22" s="86" t="s">
        <v>413</v>
      </c>
      <c r="B22" s="237">
        <f>B23+B39</f>
        <v>26842</v>
      </c>
      <c r="C22" s="95">
        <f>C23+C39</f>
        <v>-8041</v>
      </c>
      <c r="D22" s="237">
        <f>D23+D39</f>
        <v>21782</v>
      </c>
      <c r="E22" s="276">
        <f>E23+E39</f>
        <v>15068</v>
      </c>
      <c r="F22" s="86" t="s">
        <v>413</v>
      </c>
      <c r="G22" s="237">
        <f>G23+G39</f>
        <v>45625</v>
      </c>
      <c r="H22" s="95">
        <f>H23+H39</f>
        <v>-9941</v>
      </c>
      <c r="I22" s="237">
        <f>I23+I39</f>
        <v>38442</v>
      </c>
      <c r="J22" s="252">
        <f t="shared" si="0"/>
        <v>16660</v>
      </c>
      <c r="K22" s="86" t="s">
        <v>413</v>
      </c>
      <c r="L22" s="237">
        <f>L23+L39</f>
        <v>68442</v>
      </c>
      <c r="M22" s="95">
        <f>M23+M39</f>
        <v>-6198</v>
      </c>
      <c r="N22" s="237">
        <f>N23+N39</f>
        <v>63852</v>
      </c>
      <c r="O22" s="252">
        <f t="shared" si="1"/>
        <v>25410</v>
      </c>
    </row>
    <row r="23" spans="1:15" s="17" customFormat="1" ht="12.75">
      <c r="A23" s="86" t="s">
        <v>414</v>
      </c>
      <c r="B23" s="237">
        <f>B24+B29+B34+B38</f>
        <v>28468</v>
      </c>
      <c r="C23" s="95">
        <f>C24+C29+C34+C38</f>
        <v>-8041</v>
      </c>
      <c r="D23" s="95">
        <f>D24+D29+D34+D38</f>
        <v>23408</v>
      </c>
      <c r="E23" s="272">
        <f>E24+E29+E34+E38</f>
        <v>14466</v>
      </c>
      <c r="F23" s="86" t="s">
        <v>414</v>
      </c>
      <c r="G23" s="237">
        <f>G24+G29+G34+G38</f>
        <v>-47483</v>
      </c>
      <c r="H23" s="95">
        <f>H24+H29+H34+H38</f>
        <v>-9941</v>
      </c>
      <c r="I23" s="95">
        <f>I24+I29+I34+I38</f>
        <v>-54666</v>
      </c>
      <c r="J23" s="252">
        <f t="shared" si="0"/>
        <v>-78074</v>
      </c>
      <c r="K23" s="86" t="s">
        <v>414</v>
      </c>
      <c r="L23" s="237">
        <f>L24+L29+L34+L38</f>
        <v>-23422</v>
      </c>
      <c r="M23" s="95">
        <f>M24+M29+M34+M38</f>
        <v>-6198</v>
      </c>
      <c r="N23" s="95">
        <f>N24+N29+N34+N38</f>
        <v>-28012</v>
      </c>
      <c r="O23" s="252">
        <f t="shared" si="1"/>
        <v>26654</v>
      </c>
    </row>
    <row r="24" spans="1:15" s="22" customFormat="1" ht="12.75">
      <c r="A24" s="259" t="s">
        <v>415</v>
      </c>
      <c r="B24" s="98">
        <f>B25+B26</f>
        <v>-1165</v>
      </c>
      <c r="C24" s="98">
        <f>C25+C26</f>
        <v>-3344</v>
      </c>
      <c r="D24" s="98">
        <f>D25+D28</f>
        <v>-1051</v>
      </c>
      <c r="E24" s="277">
        <f>E25+E28</f>
        <v>324</v>
      </c>
      <c r="F24" s="259" t="s">
        <v>415</v>
      </c>
      <c r="G24" s="98">
        <f>G25+G26</f>
        <v>-1932</v>
      </c>
      <c r="H24" s="98">
        <f>H25+H26</f>
        <v>-2612</v>
      </c>
      <c r="I24" s="98">
        <f>I25+I28</f>
        <v>-1786</v>
      </c>
      <c r="J24" s="258">
        <f t="shared" si="0"/>
        <v>-735</v>
      </c>
      <c r="K24" s="259" t="s">
        <v>415</v>
      </c>
      <c r="L24" s="98">
        <f>L25+L26</f>
        <v>-1754</v>
      </c>
      <c r="M24" s="98">
        <f>M25+M26</f>
        <v>-1333</v>
      </c>
      <c r="N24" s="98">
        <f>N25+N28</f>
        <v>-1479</v>
      </c>
      <c r="O24" s="258">
        <f t="shared" si="1"/>
        <v>307</v>
      </c>
    </row>
    <row r="25" spans="1:15" s="22" customFormat="1" ht="22.5">
      <c r="A25" s="253" t="s">
        <v>416</v>
      </c>
      <c r="B25" s="212">
        <v>-1165</v>
      </c>
      <c r="C25" s="105">
        <v>114</v>
      </c>
      <c r="D25" s="212">
        <f>B25+C25</f>
        <v>-1051</v>
      </c>
      <c r="E25" s="275">
        <v>324</v>
      </c>
      <c r="F25" s="253" t="s">
        <v>416</v>
      </c>
      <c r="G25" s="212">
        <v>-1932</v>
      </c>
      <c r="H25" s="105">
        <v>146</v>
      </c>
      <c r="I25" s="212">
        <f>G25+H25</f>
        <v>-1786</v>
      </c>
      <c r="J25" s="254">
        <f t="shared" si="0"/>
        <v>-735</v>
      </c>
      <c r="K25" s="253" t="s">
        <v>416</v>
      </c>
      <c r="L25" s="212">
        <f>-1754</f>
        <v>-1754</v>
      </c>
      <c r="M25" s="105">
        <v>275</v>
      </c>
      <c r="N25" s="212">
        <f>L25+M25</f>
        <v>-1479</v>
      </c>
      <c r="O25" s="254">
        <f t="shared" si="1"/>
        <v>307</v>
      </c>
    </row>
    <row r="26" spans="1:15" s="278" customFormat="1" ht="22.5">
      <c r="A26" s="253" t="s">
        <v>417</v>
      </c>
      <c r="B26" s="212"/>
      <c r="C26" s="105">
        <v>-3458</v>
      </c>
      <c r="D26" s="212">
        <f>B26+C26</f>
        <v>-3458</v>
      </c>
      <c r="E26" s="275">
        <f>-2006-28</f>
        <v>-2034</v>
      </c>
      <c r="F26" s="253" t="s">
        <v>417</v>
      </c>
      <c r="G26" s="212"/>
      <c r="H26" s="105">
        <f>-3312+554</f>
        <v>-2758</v>
      </c>
      <c r="I26" s="212">
        <f>G26+H26</f>
        <v>-2758</v>
      </c>
      <c r="J26" s="254">
        <f t="shared" si="0"/>
        <v>700</v>
      </c>
      <c r="K26" s="253" t="s">
        <v>417</v>
      </c>
      <c r="L26" s="212"/>
      <c r="M26" s="105">
        <v>-1608</v>
      </c>
      <c r="N26" s="212">
        <f>L26+M26</f>
        <v>-1608</v>
      </c>
      <c r="O26" s="254">
        <f t="shared" si="1"/>
        <v>1150</v>
      </c>
    </row>
    <row r="27" spans="1:15" s="22" customFormat="1" ht="22.5">
      <c r="A27" s="260" t="s">
        <v>418</v>
      </c>
      <c r="B27" s="158" t="s">
        <v>224</v>
      </c>
      <c r="C27" s="98" t="s">
        <v>224</v>
      </c>
      <c r="D27" s="127">
        <v>3458</v>
      </c>
      <c r="E27" s="274">
        <v>-870</v>
      </c>
      <c r="F27" s="260" t="s">
        <v>418</v>
      </c>
      <c r="G27" s="158" t="s">
        <v>224</v>
      </c>
      <c r="H27" s="158" t="s">
        <v>224</v>
      </c>
      <c r="I27" s="127">
        <v>2758</v>
      </c>
      <c r="J27" s="258">
        <f t="shared" si="0"/>
        <v>-700</v>
      </c>
      <c r="K27" s="260" t="s">
        <v>418</v>
      </c>
      <c r="L27" s="158" t="s">
        <v>224</v>
      </c>
      <c r="M27" s="158" t="s">
        <v>224</v>
      </c>
      <c r="N27" s="127">
        <v>1608</v>
      </c>
      <c r="O27" s="258">
        <f t="shared" si="1"/>
        <v>-1150</v>
      </c>
    </row>
    <row r="28" spans="1:15" s="22" customFormat="1" ht="22.5">
      <c r="A28" s="253" t="s">
        <v>419</v>
      </c>
      <c r="B28" s="158" t="s">
        <v>224</v>
      </c>
      <c r="C28" s="98" t="s">
        <v>224</v>
      </c>
      <c r="D28" s="127">
        <f>D26+D27</f>
        <v>0</v>
      </c>
      <c r="E28" s="274"/>
      <c r="F28" s="253" t="s">
        <v>419</v>
      </c>
      <c r="G28" s="158" t="s">
        <v>224</v>
      </c>
      <c r="H28" s="158" t="s">
        <v>224</v>
      </c>
      <c r="I28" s="127">
        <f>I26+I27</f>
        <v>0</v>
      </c>
      <c r="J28" s="258">
        <f t="shared" si="0"/>
        <v>0</v>
      </c>
      <c r="K28" s="253" t="s">
        <v>419</v>
      </c>
      <c r="L28" s="158" t="s">
        <v>224</v>
      </c>
      <c r="M28" s="158" t="s">
        <v>224</v>
      </c>
      <c r="N28" s="127">
        <f>N26+N27</f>
        <v>0</v>
      </c>
      <c r="O28" s="258">
        <f t="shared" si="1"/>
        <v>0</v>
      </c>
    </row>
    <row r="29" spans="1:15" s="22" customFormat="1" ht="12.75">
      <c r="A29" s="261" t="s">
        <v>420</v>
      </c>
      <c r="B29" s="127">
        <f>SUM(B30:B33)</f>
        <v>4916</v>
      </c>
      <c r="C29" s="98">
        <f>SUM(C30:C33)</f>
        <v>0</v>
      </c>
      <c r="D29" s="127">
        <f aca="true" t="shared" si="2" ref="D29:D39">B29+C29</f>
        <v>4916</v>
      </c>
      <c r="E29" s="277">
        <f>SUM(E30:E33)</f>
        <v>21934</v>
      </c>
      <c r="F29" s="261" t="s">
        <v>420</v>
      </c>
      <c r="G29" s="127">
        <f>SUM(G30:G33)</f>
        <v>-59287</v>
      </c>
      <c r="H29" s="98">
        <f>SUM(H30:H33)</f>
        <v>0</v>
      </c>
      <c r="I29" s="127">
        <f aca="true" t="shared" si="3" ref="I29:I38">G29+H29</f>
        <v>-59287</v>
      </c>
      <c r="J29" s="258">
        <f t="shared" si="0"/>
        <v>-64203</v>
      </c>
      <c r="K29" s="261" t="s">
        <v>420</v>
      </c>
      <c r="L29" s="127">
        <f>SUM(L30:L33)</f>
        <v>-25311</v>
      </c>
      <c r="M29" s="98">
        <f>SUM(M30:M33)</f>
        <v>0</v>
      </c>
      <c r="N29" s="127">
        <f aca="true" t="shared" si="4" ref="N29:N38">L29+M29</f>
        <v>-25311</v>
      </c>
      <c r="O29" s="258">
        <f t="shared" si="1"/>
        <v>33976</v>
      </c>
    </row>
    <row r="30" spans="1:15" s="22" customFormat="1" ht="12">
      <c r="A30" s="253" t="s">
        <v>421</v>
      </c>
      <c r="B30" s="212"/>
      <c r="C30" s="98"/>
      <c r="D30" s="212">
        <f t="shared" si="2"/>
        <v>0</v>
      </c>
      <c r="E30" s="275"/>
      <c r="F30" s="253" t="s">
        <v>421</v>
      </c>
      <c r="G30" s="212"/>
      <c r="H30" s="98"/>
      <c r="I30" s="212">
        <f t="shared" si="3"/>
        <v>0</v>
      </c>
      <c r="J30" s="254">
        <f t="shared" si="0"/>
        <v>0</v>
      </c>
      <c r="K30" s="253" t="s">
        <v>421</v>
      </c>
      <c r="L30" s="212"/>
      <c r="M30" s="98"/>
      <c r="N30" s="212">
        <f t="shared" si="4"/>
        <v>0</v>
      </c>
      <c r="O30" s="254">
        <f t="shared" si="1"/>
        <v>0</v>
      </c>
    </row>
    <row r="31" spans="1:15" s="22" customFormat="1" ht="12">
      <c r="A31" s="253" t="s">
        <v>422</v>
      </c>
      <c r="B31" s="212">
        <v>-12833</v>
      </c>
      <c r="C31" s="98"/>
      <c r="D31" s="212">
        <f t="shared" si="2"/>
        <v>-12833</v>
      </c>
      <c r="E31" s="275">
        <v>9625</v>
      </c>
      <c r="F31" s="253" t="s">
        <v>422</v>
      </c>
      <c r="G31" s="212">
        <v>-81636</v>
      </c>
      <c r="H31" s="98"/>
      <c r="I31" s="212">
        <f t="shared" si="3"/>
        <v>-81636</v>
      </c>
      <c r="J31" s="254">
        <f t="shared" si="0"/>
        <v>-68803</v>
      </c>
      <c r="K31" s="253" t="s">
        <v>422</v>
      </c>
      <c r="L31" s="212">
        <v>-47060</v>
      </c>
      <c r="M31" s="98"/>
      <c r="N31" s="212">
        <f t="shared" si="4"/>
        <v>-47060</v>
      </c>
      <c r="O31" s="254">
        <f t="shared" si="1"/>
        <v>34576</v>
      </c>
    </row>
    <row r="32" spans="1:15" s="22" customFormat="1" ht="22.5">
      <c r="A32" s="253" t="s">
        <v>423</v>
      </c>
      <c r="B32" s="212">
        <v>-62</v>
      </c>
      <c r="C32" s="98"/>
      <c r="D32" s="212">
        <f t="shared" si="2"/>
        <v>-62</v>
      </c>
      <c r="E32" s="275">
        <v>12973</v>
      </c>
      <c r="F32" s="253" t="s">
        <v>423</v>
      </c>
      <c r="G32" s="212">
        <v>-369</v>
      </c>
      <c r="H32" s="98"/>
      <c r="I32" s="212">
        <f t="shared" si="3"/>
        <v>-369</v>
      </c>
      <c r="J32" s="254">
        <f t="shared" si="0"/>
        <v>-307</v>
      </c>
      <c r="K32" s="253" t="s">
        <v>423</v>
      </c>
      <c r="L32" s="212">
        <v>1132</v>
      </c>
      <c r="M32" s="98"/>
      <c r="N32" s="212">
        <f t="shared" si="4"/>
        <v>1132</v>
      </c>
      <c r="O32" s="254">
        <f t="shared" si="1"/>
        <v>1501</v>
      </c>
    </row>
    <row r="33" spans="1:15" s="22" customFormat="1" ht="22.5">
      <c r="A33" s="253" t="s">
        <v>424</v>
      </c>
      <c r="B33" s="212">
        <v>17811</v>
      </c>
      <c r="C33" s="98"/>
      <c r="D33" s="212">
        <f t="shared" si="2"/>
        <v>17811</v>
      </c>
      <c r="E33" s="275">
        <v>-664</v>
      </c>
      <c r="F33" s="253" t="s">
        <v>424</v>
      </c>
      <c r="G33" s="212">
        <v>22718</v>
      </c>
      <c r="H33" s="98"/>
      <c r="I33" s="212">
        <f t="shared" si="3"/>
        <v>22718</v>
      </c>
      <c r="J33" s="254">
        <f t="shared" si="0"/>
        <v>4907</v>
      </c>
      <c r="K33" s="253" t="s">
        <v>424</v>
      </c>
      <c r="L33" s="212">
        <v>20617</v>
      </c>
      <c r="M33" s="98"/>
      <c r="N33" s="212">
        <f t="shared" si="4"/>
        <v>20617</v>
      </c>
      <c r="O33" s="254">
        <f t="shared" si="1"/>
        <v>-2101</v>
      </c>
    </row>
    <row r="34" spans="1:15" s="22" customFormat="1" ht="12.75">
      <c r="A34" s="262" t="s">
        <v>425</v>
      </c>
      <c r="B34" s="212">
        <f>SUM(B35:B37)</f>
        <v>24717</v>
      </c>
      <c r="C34" s="105">
        <f>SUM(C35:C37)</f>
        <v>-5274</v>
      </c>
      <c r="D34" s="127">
        <f t="shared" si="2"/>
        <v>19443</v>
      </c>
      <c r="E34" s="279">
        <v>-7854</v>
      </c>
      <c r="F34" s="262" t="s">
        <v>425</v>
      </c>
      <c r="G34" s="127">
        <f>SUM(G35:G37)</f>
        <v>19736</v>
      </c>
      <c r="H34" s="105">
        <f>SUM(H35:H37)</f>
        <v>-7561</v>
      </c>
      <c r="I34" s="127">
        <f t="shared" si="3"/>
        <v>12175</v>
      </c>
      <c r="J34" s="258">
        <f t="shared" si="0"/>
        <v>-7268</v>
      </c>
      <c r="K34" s="262" t="s">
        <v>425</v>
      </c>
      <c r="L34" s="127">
        <f>SUM(L35:L37)</f>
        <v>9643</v>
      </c>
      <c r="M34" s="105">
        <f>SUM(M35:M37)</f>
        <v>-5185</v>
      </c>
      <c r="N34" s="127">
        <f t="shared" si="4"/>
        <v>4458</v>
      </c>
      <c r="O34" s="258">
        <f t="shared" si="1"/>
        <v>-7717</v>
      </c>
    </row>
    <row r="35" spans="1:15" s="22" customFormat="1" ht="12">
      <c r="A35" s="162" t="s">
        <v>426</v>
      </c>
      <c r="B35" s="212"/>
      <c r="C35" s="105">
        <v>-17</v>
      </c>
      <c r="D35" s="212">
        <f t="shared" si="2"/>
        <v>-17</v>
      </c>
      <c r="E35" s="275">
        <v>-31</v>
      </c>
      <c r="F35" s="162" t="s">
        <v>426</v>
      </c>
      <c r="G35" s="212"/>
      <c r="H35" s="105">
        <v>-26</v>
      </c>
      <c r="I35" s="212">
        <f t="shared" si="3"/>
        <v>-26</v>
      </c>
      <c r="J35" s="254">
        <f t="shared" si="0"/>
        <v>-9</v>
      </c>
      <c r="K35" s="162" t="s">
        <v>426</v>
      </c>
      <c r="L35" s="212"/>
      <c r="M35" s="105">
        <v>-56</v>
      </c>
      <c r="N35" s="212">
        <f t="shared" si="4"/>
        <v>-56</v>
      </c>
      <c r="O35" s="254">
        <f t="shared" si="1"/>
        <v>-30</v>
      </c>
    </row>
    <row r="36" spans="1:15" s="22" customFormat="1" ht="12">
      <c r="A36" s="162" t="s">
        <v>422</v>
      </c>
      <c r="B36" s="212">
        <v>19691</v>
      </c>
      <c r="C36" s="98"/>
      <c r="D36" s="212">
        <f t="shared" si="2"/>
        <v>19691</v>
      </c>
      <c r="E36" s="275">
        <v>170</v>
      </c>
      <c r="F36" s="162" t="s">
        <v>422</v>
      </c>
      <c r="G36" s="212">
        <v>15191</v>
      </c>
      <c r="H36" s="98"/>
      <c r="I36" s="212">
        <f t="shared" si="3"/>
        <v>15191</v>
      </c>
      <c r="J36" s="254">
        <f t="shared" si="0"/>
        <v>-4500</v>
      </c>
      <c r="K36" s="162" t="s">
        <v>422</v>
      </c>
      <c r="L36" s="212">
        <v>8691</v>
      </c>
      <c r="M36" s="98"/>
      <c r="N36" s="212">
        <f t="shared" si="4"/>
        <v>8691</v>
      </c>
      <c r="O36" s="254">
        <f t="shared" si="1"/>
        <v>-6500</v>
      </c>
    </row>
    <row r="37" spans="1:15" s="22" customFormat="1" ht="22.5">
      <c r="A37" s="253" t="s">
        <v>423</v>
      </c>
      <c r="B37" s="212">
        <v>5026</v>
      </c>
      <c r="C37" s="105">
        <v>-5257</v>
      </c>
      <c r="D37" s="212">
        <f t="shared" si="2"/>
        <v>-231</v>
      </c>
      <c r="E37" s="275">
        <v>-7802</v>
      </c>
      <c r="F37" s="253" t="s">
        <v>423</v>
      </c>
      <c r="G37" s="212">
        <v>4545</v>
      </c>
      <c r="H37" s="105">
        <v>-7535</v>
      </c>
      <c r="I37" s="212">
        <f t="shared" si="3"/>
        <v>-2990</v>
      </c>
      <c r="J37" s="254">
        <f t="shared" si="0"/>
        <v>-2759</v>
      </c>
      <c r="K37" s="253" t="s">
        <v>423</v>
      </c>
      <c r="L37" s="212">
        <v>952</v>
      </c>
      <c r="M37" s="105">
        <v>-5129</v>
      </c>
      <c r="N37" s="212">
        <f t="shared" si="4"/>
        <v>-4177</v>
      </c>
      <c r="O37" s="254">
        <f t="shared" si="1"/>
        <v>-1187</v>
      </c>
    </row>
    <row r="38" spans="1:15" s="22" customFormat="1" ht="12.75">
      <c r="A38" s="262" t="s">
        <v>427</v>
      </c>
      <c r="B38" s="127"/>
      <c r="C38" s="98">
        <v>577</v>
      </c>
      <c r="D38" s="127">
        <v>100</v>
      </c>
      <c r="E38" s="274">
        <v>62</v>
      </c>
      <c r="F38" s="262" t="s">
        <v>427</v>
      </c>
      <c r="G38" s="127">
        <v>-6000</v>
      </c>
      <c r="H38" s="98">
        <f>786-554</f>
        <v>232</v>
      </c>
      <c r="I38" s="212">
        <f t="shared" si="3"/>
        <v>-5768</v>
      </c>
      <c r="J38" s="254">
        <f t="shared" si="0"/>
        <v>-5868</v>
      </c>
      <c r="K38" s="262" t="s">
        <v>427</v>
      </c>
      <c r="L38" s="127">
        <v>-6000</v>
      </c>
      <c r="M38" s="98">
        <v>320</v>
      </c>
      <c r="N38" s="212">
        <f t="shared" si="4"/>
        <v>-5680</v>
      </c>
      <c r="O38" s="254">
        <f t="shared" si="1"/>
        <v>88</v>
      </c>
    </row>
    <row r="39" spans="1:15" s="22" customFormat="1" ht="12.75">
      <c r="A39" s="9" t="s">
        <v>428</v>
      </c>
      <c r="B39" s="237">
        <v>-1626</v>
      </c>
      <c r="C39" s="95"/>
      <c r="D39" s="237">
        <f t="shared" si="2"/>
        <v>-1626</v>
      </c>
      <c r="E39" s="272">
        <v>602</v>
      </c>
      <c r="F39" s="9" t="s">
        <v>428</v>
      </c>
      <c r="G39" s="237">
        <f>93108</f>
        <v>93108</v>
      </c>
      <c r="H39" s="95"/>
      <c r="I39" s="237">
        <f>G39+H39</f>
        <v>93108</v>
      </c>
      <c r="J39" s="252">
        <f t="shared" si="0"/>
        <v>94734</v>
      </c>
      <c r="K39" s="9" t="s">
        <v>428</v>
      </c>
      <c r="L39" s="237">
        <v>91864</v>
      </c>
      <c r="M39" s="95"/>
      <c r="N39" s="237">
        <f>L39+M39</f>
        <v>91864</v>
      </c>
      <c r="O39" s="252">
        <f t="shared" si="1"/>
        <v>-1244</v>
      </c>
    </row>
    <row r="40" spans="1:15" ht="12.75">
      <c r="A40" s="183" t="s">
        <v>429</v>
      </c>
      <c r="B40" s="263"/>
      <c r="C40" s="119"/>
      <c r="D40" s="65"/>
      <c r="E40" s="250"/>
      <c r="F40" s="183" t="s">
        <v>429</v>
      </c>
      <c r="G40" s="263"/>
      <c r="H40" s="119"/>
      <c r="I40" s="65"/>
      <c r="J40" s="250"/>
      <c r="K40" s="183" t="s">
        <v>429</v>
      </c>
      <c r="L40" s="263"/>
      <c r="M40" s="119"/>
      <c r="N40" s="65"/>
      <c r="O40" s="250"/>
    </row>
    <row r="41" spans="1:15" ht="12.75">
      <c r="A41" s="3"/>
      <c r="B41" s="264"/>
      <c r="C41" s="119"/>
      <c r="D41" s="266"/>
      <c r="E41" s="267"/>
      <c r="F41" s="3"/>
      <c r="G41" s="264"/>
      <c r="H41" s="119"/>
      <c r="I41" s="266"/>
      <c r="J41" s="267"/>
      <c r="K41" s="3"/>
      <c r="L41" s="264"/>
      <c r="M41" s="119"/>
      <c r="N41" s="266"/>
      <c r="O41" s="267"/>
    </row>
    <row r="42" spans="1:15" ht="12.75">
      <c r="A42" s="282"/>
      <c r="B42" s="282"/>
      <c r="C42" s="282"/>
      <c r="D42" s="282"/>
      <c r="E42" s="250"/>
      <c r="F42" s="282"/>
      <c r="G42" s="282"/>
      <c r="H42" s="282"/>
      <c r="I42" s="282"/>
      <c r="J42" s="250"/>
      <c r="K42" s="282"/>
      <c r="L42" s="282"/>
      <c r="M42" s="282"/>
      <c r="N42" s="282"/>
      <c r="O42" s="250"/>
    </row>
    <row r="43" spans="1:15" ht="12.75">
      <c r="A43" s="282"/>
      <c r="B43" s="282"/>
      <c r="C43" s="282"/>
      <c r="D43" s="282"/>
      <c r="E43" s="250"/>
      <c r="F43" s="282"/>
      <c r="G43" s="282"/>
      <c r="H43" s="282"/>
      <c r="I43" s="282"/>
      <c r="J43" s="250"/>
      <c r="K43" s="41" t="s">
        <v>430</v>
      </c>
      <c r="L43" s="73"/>
      <c r="M43" s="73"/>
      <c r="N43" s="73"/>
      <c r="O43" s="250"/>
    </row>
    <row r="44" spans="1:15" ht="12.75">
      <c r="A44" s="282" t="s">
        <v>436</v>
      </c>
      <c r="B44" s="282"/>
      <c r="C44" s="282"/>
      <c r="D44" s="282"/>
      <c r="E44" s="250"/>
      <c r="F44" s="282" t="s">
        <v>437</v>
      </c>
      <c r="G44" s="282"/>
      <c r="H44" s="282"/>
      <c r="I44" s="282"/>
      <c r="J44" s="250"/>
      <c r="K44" s="73"/>
      <c r="L44" s="73"/>
      <c r="M44" s="73"/>
      <c r="N44" s="73"/>
      <c r="O44" s="250"/>
    </row>
    <row r="45" spans="3:15" s="6" customFormat="1" ht="11.25">
      <c r="C45" s="268"/>
      <c r="D45" s="269"/>
      <c r="E45" s="270"/>
      <c r="H45" s="268"/>
      <c r="I45" s="269"/>
      <c r="J45" s="270"/>
      <c r="M45" s="268"/>
      <c r="N45" s="269"/>
      <c r="O45" s="270"/>
    </row>
    <row r="46" spans="3:15" s="6" customFormat="1" ht="11.25">
      <c r="C46" s="183"/>
      <c r="E46" s="145"/>
      <c r="H46" s="183"/>
      <c r="J46" s="145"/>
      <c r="M46" s="183"/>
      <c r="O46" s="145"/>
    </row>
    <row r="47" spans="1:15" ht="12.75">
      <c r="A47" s="6" t="s">
        <v>431</v>
      </c>
      <c r="B47" s="263"/>
      <c r="C47" s="119"/>
      <c r="D47" s="65"/>
      <c r="E47" s="250"/>
      <c r="F47" s="6" t="s">
        <v>431</v>
      </c>
      <c r="G47" s="263"/>
      <c r="H47" s="119"/>
      <c r="I47" s="65"/>
      <c r="J47" s="250"/>
      <c r="K47" s="6" t="s">
        <v>431</v>
      </c>
      <c r="L47" s="263"/>
      <c r="M47" s="119"/>
      <c r="N47" s="65"/>
      <c r="O47" s="250"/>
    </row>
    <row r="48" spans="1:15" ht="12.75">
      <c r="A48" s="6" t="s">
        <v>123</v>
      </c>
      <c r="B48" s="263"/>
      <c r="C48" s="119"/>
      <c r="D48" s="65"/>
      <c r="E48" s="250"/>
      <c r="F48" s="6" t="s">
        <v>438</v>
      </c>
      <c r="G48" s="263"/>
      <c r="H48" s="119"/>
      <c r="I48" s="65"/>
      <c r="J48" s="250"/>
      <c r="K48" s="6" t="s">
        <v>93</v>
      </c>
      <c r="L48" s="263"/>
      <c r="M48" s="119"/>
      <c r="N48" s="65"/>
      <c r="O48" s="250"/>
    </row>
    <row r="49" spans="1:15" ht="12.75">
      <c r="A49" s="1"/>
      <c r="B49" s="1"/>
      <c r="C49" s="119"/>
      <c r="D49" s="1"/>
      <c r="E49" s="250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19"/>
      <c r="D50" s="280"/>
      <c r="E50" s="281"/>
      <c r="F50" s="280"/>
      <c r="G50" s="280"/>
      <c r="H50" s="280"/>
      <c r="I50" s="280"/>
      <c r="J50" s="280"/>
      <c r="K50"/>
      <c r="L50"/>
      <c r="M50"/>
      <c r="N50"/>
      <c r="O50"/>
    </row>
    <row r="51" spans="11:15" ht="12.75">
      <c r="K51"/>
      <c r="L51"/>
      <c r="M51"/>
      <c r="N51"/>
      <c r="O51"/>
    </row>
    <row r="52" spans="11:15" ht="12.75">
      <c r="K52"/>
      <c r="L52"/>
      <c r="M52"/>
      <c r="N52"/>
      <c r="O52"/>
    </row>
    <row r="53" spans="11:15" ht="12.75">
      <c r="K53"/>
      <c r="L53"/>
      <c r="M53"/>
      <c r="N53"/>
      <c r="O53"/>
    </row>
    <row r="54" spans="11:15" ht="12.75">
      <c r="K54"/>
      <c r="L54"/>
      <c r="M54"/>
      <c r="N54"/>
      <c r="O54"/>
    </row>
    <row r="55" spans="11:15" ht="12.75">
      <c r="K55"/>
      <c r="L55"/>
      <c r="M55"/>
      <c r="N55"/>
      <c r="O55"/>
    </row>
    <row r="56" spans="11:15" ht="12.75">
      <c r="K56"/>
      <c r="L56"/>
      <c r="M56"/>
      <c r="N56"/>
      <c r="O56"/>
    </row>
    <row r="57" spans="11:15" ht="12.75">
      <c r="K57"/>
      <c r="L57"/>
      <c r="M57"/>
      <c r="N57"/>
      <c r="O57"/>
    </row>
    <row r="58" spans="11:15" ht="12.75">
      <c r="K58"/>
      <c r="L58"/>
      <c r="M58"/>
      <c r="N58"/>
      <c r="O58"/>
    </row>
    <row r="59" spans="11:15" ht="12.75">
      <c r="K59"/>
      <c r="L59"/>
      <c r="M59"/>
      <c r="N59"/>
      <c r="O59"/>
    </row>
    <row r="60" spans="11:15" ht="12.75">
      <c r="K60"/>
      <c r="L60"/>
      <c r="M60"/>
      <c r="N60"/>
      <c r="O60"/>
    </row>
    <row r="61" spans="11:15" ht="12.75">
      <c r="K61"/>
      <c r="L61"/>
      <c r="M61"/>
      <c r="N61"/>
      <c r="O61"/>
    </row>
    <row r="62" spans="11:15" ht="12.75">
      <c r="K62"/>
      <c r="L62"/>
      <c r="M62"/>
      <c r="N62"/>
      <c r="O62"/>
    </row>
    <row r="63" spans="11:15" ht="12.75">
      <c r="K63"/>
      <c r="L63"/>
      <c r="M63"/>
      <c r="N63"/>
      <c r="O63"/>
    </row>
    <row r="64" spans="11:15" ht="12.75">
      <c r="K64"/>
      <c r="L64"/>
      <c r="M64"/>
      <c r="N64"/>
      <c r="O64"/>
    </row>
    <row r="65" spans="11:15" ht="12.75">
      <c r="K65"/>
      <c r="L65"/>
      <c r="M65"/>
      <c r="N65"/>
      <c r="O65"/>
    </row>
    <row r="66" spans="11:15" ht="12.75">
      <c r="K66"/>
      <c r="L66"/>
      <c r="M66"/>
      <c r="N66"/>
      <c r="O66"/>
    </row>
    <row r="67" spans="11:15" ht="12.75">
      <c r="K67"/>
      <c r="L67"/>
      <c r="M67"/>
      <c r="N67"/>
      <c r="O67"/>
    </row>
    <row r="68" spans="11:15" ht="12.75">
      <c r="K68"/>
      <c r="L68"/>
      <c r="M68"/>
      <c r="N68"/>
      <c r="O68"/>
    </row>
    <row r="69" spans="11:15" ht="12.75">
      <c r="K69"/>
      <c r="L69"/>
      <c r="M69"/>
      <c r="N69"/>
      <c r="O69"/>
    </row>
    <row r="70" spans="11:15" ht="12.75">
      <c r="K70"/>
      <c r="L70"/>
      <c r="M70"/>
      <c r="N70"/>
      <c r="O70"/>
    </row>
    <row r="71" spans="11:15" ht="12.75">
      <c r="K71"/>
      <c r="L71"/>
      <c r="M71"/>
      <c r="N71"/>
      <c r="O71"/>
    </row>
    <row r="72" spans="11:15" ht="12.75">
      <c r="K72"/>
      <c r="L72"/>
      <c r="M72"/>
      <c r="N72"/>
      <c r="O72"/>
    </row>
    <row r="73" spans="11:15" ht="12.75">
      <c r="K73"/>
      <c r="L73"/>
      <c r="M73"/>
      <c r="N73"/>
      <c r="O73"/>
    </row>
    <row r="74" spans="11:15" ht="12.75">
      <c r="K74"/>
      <c r="L74"/>
      <c r="M74"/>
      <c r="N74"/>
      <c r="O74"/>
    </row>
    <row r="75" spans="11:15" ht="12.75">
      <c r="K75"/>
      <c r="L75"/>
      <c r="M75"/>
      <c r="N75"/>
      <c r="O75"/>
    </row>
    <row r="76" spans="11:15" ht="12.75">
      <c r="K76"/>
      <c r="L76"/>
      <c r="M76"/>
      <c r="N76"/>
      <c r="O76"/>
    </row>
    <row r="77" spans="11:15" ht="12.75">
      <c r="K77"/>
      <c r="L77"/>
      <c r="M77"/>
      <c r="N77"/>
      <c r="O77"/>
    </row>
    <row r="78" spans="11:15" ht="12.75">
      <c r="K78"/>
      <c r="L78"/>
      <c r="M78"/>
      <c r="N78"/>
      <c r="O78"/>
    </row>
    <row r="79" spans="11:15" ht="12.75">
      <c r="K79"/>
      <c r="L79"/>
      <c r="M79"/>
      <c r="N79"/>
      <c r="O79"/>
    </row>
    <row r="80" spans="11:15" ht="12.75">
      <c r="K80"/>
      <c r="L80"/>
      <c r="M80"/>
      <c r="N80"/>
      <c r="O80"/>
    </row>
    <row r="81" spans="11:15" ht="12.75">
      <c r="K81"/>
      <c r="L81"/>
      <c r="M81"/>
      <c r="N81"/>
      <c r="O81"/>
    </row>
    <row r="82" spans="11:15" ht="12.75">
      <c r="K82"/>
      <c r="L82"/>
      <c r="M82"/>
      <c r="N82"/>
      <c r="O82"/>
    </row>
    <row r="83" spans="11:15" ht="12.75">
      <c r="K83"/>
      <c r="L83"/>
      <c r="M83"/>
      <c r="N83"/>
      <c r="O83"/>
    </row>
    <row r="84" spans="11:15" ht="12.75">
      <c r="K84"/>
      <c r="L84"/>
      <c r="M84"/>
      <c r="N84"/>
      <c r="O84"/>
    </row>
    <row r="85" spans="11:15" ht="12.75">
      <c r="K85"/>
      <c r="L85"/>
      <c r="M85"/>
      <c r="N85"/>
      <c r="O85"/>
    </row>
    <row r="86" spans="11:15" ht="12.75">
      <c r="K86"/>
      <c r="L86"/>
      <c r="M86"/>
      <c r="N86"/>
      <c r="O86"/>
    </row>
    <row r="87" spans="11:15" ht="12.75">
      <c r="K87"/>
      <c r="L87"/>
      <c r="M87"/>
      <c r="N87"/>
      <c r="O87"/>
    </row>
    <row r="88" spans="11:15" ht="12.75">
      <c r="K88"/>
      <c r="L88"/>
      <c r="M88"/>
      <c r="N88"/>
      <c r="O88"/>
    </row>
    <row r="89" spans="11:15" ht="12.75">
      <c r="K89"/>
      <c r="L89"/>
      <c r="M89"/>
      <c r="N89"/>
      <c r="O89"/>
    </row>
    <row r="90" spans="11:15" ht="12.75">
      <c r="K90"/>
      <c r="L90"/>
      <c r="M90"/>
      <c r="N90"/>
      <c r="O90"/>
    </row>
    <row r="91" spans="11:15" ht="12.75">
      <c r="K91"/>
      <c r="L91"/>
      <c r="M91"/>
      <c r="N91"/>
      <c r="O91"/>
    </row>
    <row r="92" spans="11:15" ht="12.75">
      <c r="K92"/>
      <c r="L92"/>
      <c r="M92"/>
      <c r="N92"/>
      <c r="O92"/>
    </row>
    <row r="93" spans="11:15" ht="12.75">
      <c r="K93"/>
      <c r="L93"/>
      <c r="M93"/>
      <c r="N93"/>
      <c r="O93"/>
    </row>
    <row r="94" spans="11:15" ht="12.75">
      <c r="K94"/>
      <c r="L94"/>
      <c r="M94"/>
      <c r="N94"/>
      <c r="O94"/>
    </row>
    <row r="95" spans="11:15" ht="12.75">
      <c r="K95"/>
      <c r="L95"/>
      <c r="M95"/>
      <c r="N95"/>
      <c r="O95"/>
    </row>
    <row r="96" spans="11:15" ht="12.75">
      <c r="K96"/>
      <c r="L96"/>
      <c r="M96"/>
      <c r="N96"/>
      <c r="O96"/>
    </row>
    <row r="97" spans="11:15" ht="12.75">
      <c r="K97"/>
      <c r="L97"/>
      <c r="M97"/>
      <c r="N97"/>
      <c r="O97"/>
    </row>
    <row r="98" spans="11:15" ht="12.75">
      <c r="K98"/>
      <c r="L98"/>
      <c r="M98"/>
      <c r="N98"/>
      <c r="O98"/>
    </row>
    <row r="99" spans="11:15" ht="12.75">
      <c r="K99"/>
      <c r="L99"/>
      <c r="M99"/>
      <c r="N99"/>
      <c r="O99"/>
    </row>
    <row r="100" spans="11:15" ht="12.75">
      <c r="K100"/>
      <c r="L100"/>
      <c r="M100"/>
      <c r="N100"/>
      <c r="O100"/>
    </row>
    <row r="101" spans="11:15" ht="12.75">
      <c r="K101"/>
      <c r="L101"/>
      <c r="M101"/>
      <c r="N101"/>
      <c r="O101"/>
    </row>
    <row r="102" spans="11:15" ht="12.75">
      <c r="K102"/>
      <c r="L102"/>
      <c r="M102"/>
      <c r="N102"/>
      <c r="O102"/>
    </row>
    <row r="103" spans="11:15" ht="12.75">
      <c r="K103"/>
      <c r="L103"/>
      <c r="M103"/>
      <c r="N103"/>
      <c r="O103"/>
    </row>
    <row r="104" spans="11:15" ht="12.75">
      <c r="K104"/>
      <c r="L104"/>
      <c r="M104"/>
      <c r="N104"/>
      <c r="O104"/>
    </row>
    <row r="105" spans="11:15" ht="12.75">
      <c r="K105"/>
      <c r="L105"/>
      <c r="M105"/>
      <c r="N105"/>
      <c r="O105"/>
    </row>
    <row r="106" spans="11:15" ht="12.75">
      <c r="K106"/>
      <c r="L106"/>
      <c r="M106"/>
      <c r="N106"/>
      <c r="O106"/>
    </row>
    <row r="107" spans="11:15" ht="12.75">
      <c r="K107"/>
      <c r="L107"/>
      <c r="M107"/>
      <c r="N107"/>
      <c r="O107"/>
    </row>
    <row r="108" spans="11:15" ht="12.75">
      <c r="K108"/>
      <c r="L108"/>
      <c r="M108"/>
      <c r="N108"/>
      <c r="O108"/>
    </row>
    <row r="109" spans="11:15" ht="12.75">
      <c r="K109"/>
      <c r="L109"/>
      <c r="M109"/>
      <c r="N109"/>
      <c r="O109"/>
    </row>
    <row r="110" spans="11:15" ht="12.75">
      <c r="K110"/>
      <c r="L110"/>
      <c r="M110"/>
      <c r="N110"/>
      <c r="O110"/>
    </row>
    <row r="111" spans="11:15" ht="12.75">
      <c r="K111"/>
      <c r="L111"/>
      <c r="M111"/>
      <c r="N111"/>
      <c r="O111"/>
    </row>
    <row r="112" spans="11:15" ht="12.75">
      <c r="K112"/>
      <c r="L112"/>
      <c r="M112"/>
      <c r="N112"/>
      <c r="O112"/>
    </row>
    <row r="113" spans="11:15" ht="12.75">
      <c r="K113"/>
      <c r="L113"/>
      <c r="M113"/>
      <c r="N113"/>
      <c r="O113"/>
    </row>
    <row r="114" spans="11:15" ht="12.75">
      <c r="K114"/>
      <c r="L114"/>
      <c r="M114"/>
      <c r="N114"/>
      <c r="O114"/>
    </row>
    <row r="115" spans="11:15" ht="12.75">
      <c r="K115"/>
      <c r="L115"/>
      <c r="M115"/>
      <c r="N115"/>
      <c r="O115"/>
    </row>
    <row r="116" spans="11:15" ht="12.75">
      <c r="K116"/>
      <c r="L116"/>
      <c r="M116"/>
      <c r="N116"/>
      <c r="O116"/>
    </row>
    <row r="117" spans="11:15" ht="12.75">
      <c r="K117"/>
      <c r="L117"/>
      <c r="M117"/>
      <c r="N117"/>
      <c r="O117"/>
    </row>
    <row r="118" spans="11:15" ht="12.75">
      <c r="K118"/>
      <c r="L118"/>
      <c r="M118"/>
      <c r="N118"/>
      <c r="O118"/>
    </row>
    <row r="119" spans="11:15" ht="12.75">
      <c r="K119"/>
      <c r="L119"/>
      <c r="M119"/>
      <c r="N119"/>
      <c r="O119"/>
    </row>
    <row r="120" spans="11:15" ht="12.75">
      <c r="K120"/>
      <c r="L120"/>
      <c r="M120"/>
      <c r="N120"/>
      <c r="O120"/>
    </row>
    <row r="121" spans="11:15" ht="12.75">
      <c r="K121"/>
      <c r="L121"/>
      <c r="M121"/>
      <c r="N121"/>
      <c r="O121"/>
    </row>
    <row r="122" spans="11:15" ht="12.75">
      <c r="K122"/>
      <c r="L122"/>
      <c r="M122"/>
      <c r="N122"/>
      <c r="O122"/>
    </row>
    <row r="123" spans="11:15" ht="12.75">
      <c r="K123"/>
      <c r="L123"/>
      <c r="M123"/>
      <c r="N123"/>
      <c r="O123"/>
    </row>
    <row r="124" spans="11:15" ht="12.75">
      <c r="K124"/>
      <c r="L124"/>
      <c r="M124"/>
      <c r="N124"/>
      <c r="O124"/>
    </row>
    <row r="125" spans="11:15" ht="12.75">
      <c r="K125"/>
      <c r="L125"/>
      <c r="M125"/>
      <c r="N125"/>
      <c r="O125"/>
    </row>
    <row r="126" spans="11:15" ht="12.75">
      <c r="K126"/>
      <c r="L126"/>
      <c r="M126"/>
      <c r="N126"/>
      <c r="O126"/>
    </row>
    <row r="127" spans="11:15" ht="12.75">
      <c r="K127"/>
      <c r="L127"/>
      <c r="M127"/>
      <c r="N127"/>
      <c r="O127"/>
    </row>
    <row r="128" spans="11:15" ht="12.75">
      <c r="K128"/>
      <c r="L128"/>
      <c r="M128"/>
      <c r="N128"/>
      <c r="O128"/>
    </row>
    <row r="129" spans="11:15" ht="12.75">
      <c r="K129"/>
      <c r="L129"/>
      <c r="M129"/>
      <c r="N129"/>
      <c r="O129"/>
    </row>
    <row r="130" spans="11:15" ht="12.75">
      <c r="K130"/>
      <c r="L130"/>
      <c r="M130"/>
      <c r="N130"/>
      <c r="O130"/>
    </row>
    <row r="131" spans="11:15" ht="12.75">
      <c r="K131"/>
      <c r="L131"/>
      <c r="M131"/>
      <c r="N131"/>
      <c r="O131"/>
    </row>
    <row r="132" spans="11:15" ht="12.75">
      <c r="K132"/>
      <c r="L132"/>
      <c r="M132"/>
      <c r="N132"/>
      <c r="O132"/>
    </row>
    <row r="133" spans="11:15" ht="12.75">
      <c r="K133"/>
      <c r="L133"/>
      <c r="M133"/>
      <c r="N133"/>
      <c r="O133"/>
    </row>
    <row r="134" spans="11:15" ht="12.75">
      <c r="K134"/>
      <c r="L134"/>
      <c r="M134"/>
      <c r="N134"/>
      <c r="O134"/>
    </row>
    <row r="135" spans="11:15" ht="12.75">
      <c r="K135"/>
      <c r="L135"/>
      <c r="M135"/>
      <c r="N135"/>
      <c r="O135"/>
    </row>
    <row r="136" spans="11:15" ht="12.75">
      <c r="K136"/>
      <c r="L136"/>
      <c r="M136"/>
      <c r="N136"/>
      <c r="O136"/>
    </row>
    <row r="137" spans="11:15" ht="12.75">
      <c r="K137"/>
      <c r="L137"/>
      <c r="M137"/>
      <c r="N137"/>
      <c r="O137"/>
    </row>
    <row r="138" spans="11:15" ht="12.75">
      <c r="K138"/>
      <c r="L138"/>
      <c r="M138"/>
      <c r="N138"/>
      <c r="O138"/>
    </row>
    <row r="139" spans="11:15" ht="12.75">
      <c r="K139"/>
      <c r="L139"/>
      <c r="M139"/>
      <c r="N139"/>
      <c r="O139"/>
    </row>
    <row r="140" spans="11:15" ht="12.75">
      <c r="K140"/>
      <c r="L140"/>
      <c r="M140"/>
      <c r="N140"/>
      <c r="O140"/>
    </row>
    <row r="141" spans="11:15" ht="12.75">
      <c r="K141"/>
      <c r="L141"/>
      <c r="M141"/>
      <c r="N141"/>
      <c r="O141"/>
    </row>
    <row r="142" spans="11:15" ht="12.75">
      <c r="K142"/>
      <c r="L142"/>
      <c r="M142"/>
      <c r="N142"/>
      <c r="O142"/>
    </row>
    <row r="143" spans="11:15" ht="12.75">
      <c r="K143"/>
      <c r="L143"/>
      <c r="M143"/>
      <c r="N143"/>
      <c r="O143"/>
    </row>
    <row r="144" spans="11:15" ht="12.75">
      <c r="K144"/>
      <c r="L144"/>
      <c r="M144"/>
      <c r="N144"/>
      <c r="O144"/>
    </row>
    <row r="145" spans="11:15" ht="12.75">
      <c r="K145"/>
      <c r="L145"/>
      <c r="M145"/>
      <c r="N145"/>
      <c r="O145"/>
    </row>
    <row r="146" spans="11:15" ht="12.75">
      <c r="K146"/>
      <c r="L146"/>
      <c r="M146"/>
      <c r="N146"/>
      <c r="O146"/>
    </row>
    <row r="147" spans="11:15" ht="12.75">
      <c r="K147"/>
      <c r="L147"/>
      <c r="M147"/>
      <c r="N147"/>
      <c r="O147"/>
    </row>
    <row r="148" spans="11:15" ht="12.75">
      <c r="K148"/>
      <c r="L148"/>
      <c r="M148"/>
      <c r="N148"/>
      <c r="O148"/>
    </row>
    <row r="149" spans="11:15" ht="12.75">
      <c r="K149"/>
      <c r="L149"/>
      <c r="M149"/>
      <c r="N149"/>
      <c r="O149"/>
    </row>
    <row r="150" spans="11:15" ht="12.75">
      <c r="K150"/>
      <c r="L150"/>
      <c r="M150"/>
      <c r="N150"/>
      <c r="O150"/>
    </row>
    <row r="151" spans="11:15" ht="12.75">
      <c r="K151"/>
      <c r="L151"/>
      <c r="M151"/>
      <c r="N151"/>
      <c r="O151"/>
    </row>
    <row r="152" spans="11:15" ht="12.75">
      <c r="K152"/>
      <c r="L152"/>
      <c r="M152"/>
      <c r="N152"/>
      <c r="O152"/>
    </row>
    <row r="153" spans="11:15" ht="12.75">
      <c r="K153"/>
      <c r="L153"/>
      <c r="M153"/>
      <c r="N153"/>
      <c r="O153"/>
    </row>
    <row r="154" spans="11:15" ht="12.75">
      <c r="K154"/>
      <c r="L154"/>
      <c r="M154"/>
      <c r="N154"/>
      <c r="O154"/>
    </row>
    <row r="155" spans="11:15" ht="12.75">
      <c r="K155"/>
      <c r="L155"/>
      <c r="M155"/>
      <c r="N155"/>
      <c r="O155"/>
    </row>
    <row r="156" spans="11:15" ht="12.75">
      <c r="K156"/>
      <c r="L156"/>
      <c r="M156"/>
      <c r="N156"/>
      <c r="O156"/>
    </row>
    <row r="157" spans="11:15" ht="12.75">
      <c r="K157"/>
      <c r="L157"/>
      <c r="M157"/>
      <c r="N157"/>
      <c r="O157"/>
    </row>
    <row r="158" spans="11:15" ht="12.75">
      <c r="K158"/>
      <c r="L158"/>
      <c r="M158"/>
      <c r="N158"/>
      <c r="O158"/>
    </row>
    <row r="159" spans="11:15" ht="12.75">
      <c r="K159"/>
      <c r="L159"/>
      <c r="M159"/>
      <c r="N159"/>
      <c r="O159"/>
    </row>
    <row r="160" spans="11:15" ht="12.75">
      <c r="K160"/>
      <c r="L160"/>
      <c r="M160"/>
      <c r="N160"/>
      <c r="O160"/>
    </row>
    <row r="161" spans="11:15" ht="12.75">
      <c r="K161"/>
      <c r="L161"/>
      <c r="M161"/>
      <c r="N161"/>
      <c r="O161"/>
    </row>
    <row r="162" spans="11:15" ht="12.75">
      <c r="K162"/>
      <c r="L162"/>
      <c r="M162"/>
      <c r="N162"/>
      <c r="O162"/>
    </row>
    <row r="163" spans="11:15" ht="12.75">
      <c r="K163"/>
      <c r="L163"/>
      <c r="M163"/>
      <c r="N163"/>
      <c r="O163"/>
    </row>
    <row r="164" spans="11:15" ht="12.75">
      <c r="K164"/>
      <c r="L164"/>
      <c r="M164"/>
      <c r="N164"/>
      <c r="O164"/>
    </row>
    <row r="165" spans="11:15" ht="12.75">
      <c r="K165"/>
      <c r="L165"/>
      <c r="M165"/>
      <c r="N165"/>
      <c r="O165"/>
    </row>
    <row r="166" spans="11:15" ht="12.75">
      <c r="K166"/>
      <c r="L166"/>
      <c r="M166"/>
      <c r="N166"/>
      <c r="O166"/>
    </row>
    <row r="167" spans="11:15" ht="12.75">
      <c r="K167"/>
      <c r="L167"/>
      <c r="M167"/>
      <c r="N167"/>
      <c r="O167"/>
    </row>
    <row r="168" spans="11:15" ht="12.75">
      <c r="K168"/>
      <c r="L168"/>
      <c r="M168"/>
      <c r="N168"/>
      <c r="O168"/>
    </row>
    <row r="169" spans="11:15" ht="12.75">
      <c r="K169"/>
      <c r="L169"/>
      <c r="M169"/>
      <c r="N169"/>
      <c r="O169"/>
    </row>
    <row r="170" spans="11:15" ht="12.75">
      <c r="K170"/>
      <c r="L170"/>
      <c r="M170"/>
      <c r="N170"/>
      <c r="O170"/>
    </row>
    <row r="171" spans="11:15" ht="12.75">
      <c r="K171"/>
      <c r="L171"/>
      <c r="M171"/>
      <c r="N171"/>
      <c r="O171"/>
    </row>
    <row r="172" spans="11:15" ht="12.75">
      <c r="K172"/>
      <c r="L172"/>
      <c r="M172"/>
      <c r="N172"/>
      <c r="O172"/>
    </row>
    <row r="173" spans="11:15" ht="12.75">
      <c r="K173"/>
      <c r="L173"/>
      <c r="M173"/>
      <c r="N173"/>
      <c r="O173"/>
    </row>
    <row r="174" spans="11:15" ht="12.75">
      <c r="K174"/>
      <c r="L174"/>
      <c r="M174"/>
      <c r="N174"/>
      <c r="O174"/>
    </row>
    <row r="175" spans="11:15" ht="12.75">
      <c r="K175"/>
      <c r="L175"/>
      <c r="M175"/>
      <c r="N175"/>
      <c r="O175"/>
    </row>
    <row r="176" spans="11:15" ht="12.75">
      <c r="K176"/>
      <c r="L176"/>
      <c r="M176"/>
      <c r="N176"/>
      <c r="O176"/>
    </row>
    <row r="177" spans="11:15" ht="12.75">
      <c r="K177"/>
      <c r="L177"/>
      <c r="M177"/>
      <c r="N177"/>
      <c r="O177"/>
    </row>
    <row r="178" spans="11:15" ht="12.75">
      <c r="K178"/>
      <c r="L178"/>
      <c r="M178"/>
      <c r="N178"/>
      <c r="O178"/>
    </row>
    <row r="179" spans="11:15" ht="12.75">
      <c r="K179"/>
      <c r="L179"/>
      <c r="M179"/>
      <c r="N179"/>
      <c r="O179"/>
    </row>
    <row r="180" spans="11:15" ht="12.75">
      <c r="K180"/>
      <c r="L180"/>
      <c r="M180"/>
      <c r="N180"/>
      <c r="O180"/>
    </row>
    <row r="181" spans="11:15" ht="12.75">
      <c r="K181"/>
      <c r="L181"/>
      <c r="M181"/>
      <c r="N181"/>
      <c r="O181"/>
    </row>
    <row r="182" spans="11:15" ht="12.75">
      <c r="K182"/>
      <c r="L182"/>
      <c r="M182"/>
      <c r="N182"/>
      <c r="O182"/>
    </row>
    <row r="183" spans="11:15" ht="12.75">
      <c r="K183"/>
      <c r="L183"/>
      <c r="M183"/>
      <c r="N183"/>
      <c r="O183"/>
    </row>
    <row r="184" spans="11:15" ht="12.75">
      <c r="K184"/>
      <c r="L184"/>
      <c r="M184"/>
      <c r="N184"/>
      <c r="O184"/>
    </row>
    <row r="185" spans="11:15" ht="12.75">
      <c r="K185"/>
      <c r="L185"/>
      <c r="M185"/>
      <c r="N185"/>
      <c r="O185"/>
    </row>
    <row r="186" spans="11:15" ht="12.75">
      <c r="K186"/>
      <c r="L186"/>
      <c r="M186"/>
      <c r="N186"/>
      <c r="O186"/>
    </row>
    <row r="187" spans="11:15" ht="12.75">
      <c r="K187"/>
      <c r="L187"/>
      <c r="M187"/>
      <c r="N187"/>
      <c r="O187"/>
    </row>
    <row r="188" spans="11:15" ht="12.75">
      <c r="K188"/>
      <c r="L188"/>
      <c r="M188"/>
      <c r="N188"/>
      <c r="O188"/>
    </row>
    <row r="189" spans="11:15" ht="12.75">
      <c r="K189"/>
      <c r="L189"/>
      <c r="M189"/>
      <c r="N189"/>
      <c r="O189"/>
    </row>
    <row r="190" spans="11:15" ht="12.75">
      <c r="K190"/>
      <c r="L190"/>
      <c r="M190"/>
      <c r="N190"/>
      <c r="O190"/>
    </row>
    <row r="191" spans="11:15" ht="12.75">
      <c r="K191"/>
      <c r="L191"/>
      <c r="M191"/>
      <c r="N191"/>
      <c r="O191"/>
    </row>
    <row r="192" spans="11:15" ht="12.75">
      <c r="K192"/>
      <c r="L192"/>
      <c r="M192"/>
      <c r="N192"/>
      <c r="O192"/>
    </row>
    <row r="193" spans="11:15" ht="12.75">
      <c r="K193"/>
      <c r="L193"/>
      <c r="M193"/>
      <c r="N193"/>
      <c r="O193"/>
    </row>
    <row r="194" spans="11:15" ht="12.75">
      <c r="K194"/>
      <c r="L194"/>
      <c r="M194"/>
      <c r="N194"/>
      <c r="O194"/>
    </row>
    <row r="195" spans="11:15" ht="12.75">
      <c r="K195"/>
      <c r="L195"/>
      <c r="M195"/>
      <c r="N195"/>
      <c r="O195"/>
    </row>
    <row r="196" spans="11:15" ht="12.75">
      <c r="K196"/>
      <c r="L196"/>
      <c r="M196"/>
      <c r="N196"/>
      <c r="O196"/>
    </row>
    <row r="197" spans="11:15" ht="12.75">
      <c r="K197"/>
      <c r="L197"/>
      <c r="M197"/>
      <c r="N197"/>
      <c r="O197"/>
    </row>
    <row r="198" spans="11:15" ht="12.75">
      <c r="K198"/>
      <c r="L198"/>
      <c r="M198"/>
      <c r="N198"/>
      <c r="O198"/>
    </row>
    <row r="199" spans="11:15" ht="12.75">
      <c r="K199"/>
      <c r="L199"/>
      <c r="M199"/>
      <c r="N199"/>
      <c r="O199"/>
    </row>
    <row r="200" spans="11:15" ht="12.75">
      <c r="K200"/>
      <c r="L200"/>
      <c r="M200"/>
      <c r="N200"/>
      <c r="O200"/>
    </row>
    <row r="201" spans="11:15" ht="12.75">
      <c r="K201"/>
      <c r="L201"/>
      <c r="M201"/>
      <c r="N201"/>
      <c r="O201"/>
    </row>
    <row r="202" spans="11:15" ht="12.75">
      <c r="K202"/>
      <c r="L202"/>
      <c r="M202"/>
      <c r="N202"/>
      <c r="O202"/>
    </row>
    <row r="203" spans="11:15" ht="12.75">
      <c r="K203"/>
      <c r="L203"/>
      <c r="M203"/>
      <c r="N203"/>
      <c r="O203"/>
    </row>
    <row r="204" spans="11:15" ht="12.75">
      <c r="K204"/>
      <c r="L204"/>
      <c r="M204"/>
      <c r="N204"/>
      <c r="O204"/>
    </row>
    <row r="205" spans="11:15" ht="12.75">
      <c r="K205"/>
      <c r="L205"/>
      <c r="M205"/>
      <c r="N205"/>
      <c r="O205"/>
    </row>
    <row r="206" spans="11:15" ht="12.75">
      <c r="K206"/>
      <c r="L206"/>
      <c r="M206"/>
      <c r="N206"/>
      <c r="O206"/>
    </row>
    <row r="207" spans="11:15" ht="12.75">
      <c r="K207"/>
      <c r="L207"/>
      <c r="M207"/>
      <c r="N207"/>
      <c r="O207"/>
    </row>
    <row r="208" spans="11:15" ht="12.75">
      <c r="K208"/>
      <c r="L208"/>
      <c r="M208"/>
      <c r="N208"/>
      <c r="O208"/>
    </row>
    <row r="209" spans="11:15" ht="12.75">
      <c r="K209"/>
      <c r="L209"/>
      <c r="M209"/>
      <c r="N209"/>
      <c r="O209"/>
    </row>
    <row r="210" spans="11:15" ht="12.75">
      <c r="K210"/>
      <c r="L210"/>
      <c r="M210"/>
      <c r="N210"/>
      <c r="O210"/>
    </row>
    <row r="211" spans="11:15" ht="12.75">
      <c r="K211"/>
      <c r="L211"/>
      <c r="M211"/>
      <c r="N211"/>
      <c r="O211"/>
    </row>
    <row r="212" spans="11:15" ht="12.75">
      <c r="K212"/>
      <c r="L212"/>
      <c r="M212"/>
      <c r="N212"/>
      <c r="O212"/>
    </row>
    <row r="213" spans="11:15" ht="12.75">
      <c r="K213"/>
      <c r="L213"/>
      <c r="M213"/>
      <c r="N213"/>
      <c r="O213"/>
    </row>
    <row r="214" spans="11:15" ht="12.75">
      <c r="K214"/>
      <c r="L214"/>
      <c r="M214"/>
      <c r="N214"/>
      <c r="O214"/>
    </row>
    <row r="215" spans="11:15" ht="12.75">
      <c r="K215"/>
      <c r="L215"/>
      <c r="M215"/>
      <c r="N215"/>
      <c r="O215"/>
    </row>
    <row r="216" spans="11:15" ht="12.75">
      <c r="K216"/>
      <c r="L216"/>
      <c r="M216"/>
      <c r="N216"/>
      <c r="O216"/>
    </row>
    <row r="217" spans="11:15" ht="12.75">
      <c r="K217"/>
      <c r="L217"/>
      <c r="M217"/>
      <c r="N217"/>
      <c r="O217"/>
    </row>
    <row r="218" spans="11:15" ht="12.75">
      <c r="K218"/>
      <c r="L218"/>
      <c r="M218"/>
      <c r="N218"/>
      <c r="O218"/>
    </row>
    <row r="219" spans="11:15" ht="12.75">
      <c r="K219"/>
      <c r="L219"/>
      <c r="M219"/>
      <c r="N219"/>
      <c r="O219"/>
    </row>
    <row r="220" spans="11:15" ht="12.75">
      <c r="K220"/>
      <c r="L220"/>
      <c r="M220"/>
      <c r="N220"/>
      <c r="O220"/>
    </row>
    <row r="221" spans="11:15" ht="12.75">
      <c r="K221"/>
      <c r="L221"/>
      <c r="M221"/>
      <c r="N221"/>
      <c r="O221"/>
    </row>
    <row r="222" spans="11:15" ht="12.75">
      <c r="K222"/>
      <c r="L222"/>
      <c r="M222"/>
      <c r="N222"/>
      <c r="O222"/>
    </row>
    <row r="223" spans="11:15" ht="12.75">
      <c r="K223"/>
      <c r="L223"/>
      <c r="M223"/>
      <c r="N223"/>
      <c r="O223"/>
    </row>
    <row r="224" spans="11:15" ht="12.75">
      <c r="K224"/>
      <c r="L224"/>
      <c r="M224"/>
      <c r="N224"/>
      <c r="O224"/>
    </row>
    <row r="225" spans="11:15" ht="12.75">
      <c r="K225"/>
      <c r="L225"/>
      <c r="M225"/>
      <c r="N225"/>
      <c r="O225"/>
    </row>
    <row r="226" spans="11:15" ht="12.75">
      <c r="K226"/>
      <c r="L226"/>
      <c r="M226"/>
      <c r="N226"/>
      <c r="O226"/>
    </row>
    <row r="227" spans="11:15" ht="12.75">
      <c r="K227"/>
      <c r="L227"/>
      <c r="M227"/>
      <c r="N227"/>
      <c r="O227"/>
    </row>
    <row r="228" spans="11:15" ht="12.75">
      <c r="K228"/>
      <c r="L228"/>
      <c r="M228"/>
      <c r="N228"/>
      <c r="O228"/>
    </row>
    <row r="229" spans="11:15" ht="12.75">
      <c r="K229"/>
      <c r="L229"/>
      <c r="M229"/>
      <c r="N229"/>
      <c r="O229"/>
    </row>
    <row r="230" spans="11:15" ht="12.75">
      <c r="K230"/>
      <c r="L230"/>
      <c r="M230"/>
      <c r="N230"/>
      <c r="O230"/>
    </row>
    <row r="231" spans="11:15" ht="12.75">
      <c r="K231"/>
      <c r="L231"/>
      <c r="M231"/>
      <c r="N231"/>
      <c r="O231"/>
    </row>
    <row r="232" spans="11:15" ht="12.75">
      <c r="K232"/>
      <c r="L232"/>
      <c r="M232"/>
      <c r="N232"/>
      <c r="O232"/>
    </row>
    <row r="233" spans="11:15" ht="12.75">
      <c r="K233"/>
      <c r="L233"/>
      <c r="M233"/>
      <c r="N233"/>
      <c r="O233"/>
    </row>
    <row r="234" spans="11:15" ht="12.75">
      <c r="K234"/>
      <c r="L234"/>
      <c r="M234"/>
      <c r="N234"/>
      <c r="O234"/>
    </row>
    <row r="235" spans="11:15" ht="12.75">
      <c r="K235"/>
      <c r="L235"/>
      <c r="M235"/>
      <c r="N235"/>
      <c r="O235"/>
    </row>
    <row r="236" spans="11:15" ht="12.75">
      <c r="K236"/>
      <c r="L236"/>
      <c r="M236"/>
      <c r="N236"/>
      <c r="O236"/>
    </row>
    <row r="237" spans="11:15" ht="12.75">
      <c r="K237"/>
      <c r="L237"/>
      <c r="M237"/>
      <c r="N237"/>
      <c r="O237"/>
    </row>
    <row r="238" spans="11:15" ht="12.75">
      <c r="K238"/>
      <c r="L238"/>
      <c r="M238"/>
      <c r="N238"/>
      <c r="O238"/>
    </row>
    <row r="239" spans="11:15" ht="12.75">
      <c r="K239"/>
      <c r="L239"/>
      <c r="M239"/>
      <c r="N239"/>
      <c r="O239"/>
    </row>
    <row r="240" spans="11:15" ht="12.75">
      <c r="K240"/>
      <c r="L240"/>
      <c r="M240"/>
      <c r="N240"/>
      <c r="O240"/>
    </row>
    <row r="241" spans="11:15" ht="12.75">
      <c r="K241"/>
      <c r="L241"/>
      <c r="M241"/>
      <c r="N241"/>
      <c r="O241"/>
    </row>
    <row r="242" spans="11:15" ht="12.75">
      <c r="K242"/>
      <c r="L242"/>
      <c r="M242"/>
      <c r="N242"/>
      <c r="O242"/>
    </row>
    <row r="243" spans="11:15" ht="12.75">
      <c r="K243"/>
      <c r="L243"/>
      <c r="M243"/>
      <c r="N243"/>
      <c r="O243"/>
    </row>
    <row r="244" spans="11:15" ht="12.75">
      <c r="K244"/>
      <c r="L244"/>
      <c r="M244"/>
      <c r="N244"/>
      <c r="O244"/>
    </row>
    <row r="245" spans="11:15" ht="12.75">
      <c r="K245"/>
      <c r="L245"/>
      <c r="M245"/>
      <c r="N245"/>
      <c r="O245"/>
    </row>
    <row r="246" spans="11:15" ht="12.75">
      <c r="K246"/>
      <c r="L246"/>
      <c r="M246"/>
      <c r="N246"/>
      <c r="O246"/>
    </row>
    <row r="247" spans="11:15" ht="12.75">
      <c r="K247"/>
      <c r="L247"/>
      <c r="M247"/>
      <c r="N247"/>
      <c r="O247"/>
    </row>
    <row r="248" spans="11:15" ht="12.75">
      <c r="K248"/>
      <c r="L248"/>
      <c r="M248"/>
      <c r="N248"/>
      <c r="O248"/>
    </row>
    <row r="249" spans="11:15" ht="12.75">
      <c r="K249"/>
      <c r="L249"/>
      <c r="M249"/>
      <c r="N249"/>
      <c r="O249"/>
    </row>
    <row r="250" spans="11:15" ht="12.75">
      <c r="K250"/>
      <c r="L250"/>
      <c r="M250"/>
      <c r="N250"/>
      <c r="O250"/>
    </row>
    <row r="251" spans="11:15" ht="12.75">
      <c r="K251"/>
      <c r="L251"/>
      <c r="M251"/>
      <c r="N251"/>
      <c r="O251"/>
    </row>
    <row r="252" spans="11:15" ht="12.75">
      <c r="K252"/>
      <c r="L252"/>
      <c r="M252"/>
      <c r="N252"/>
      <c r="O252"/>
    </row>
    <row r="253" spans="11:15" ht="12.75">
      <c r="K253"/>
      <c r="L253"/>
      <c r="M253"/>
      <c r="N253"/>
      <c r="O253"/>
    </row>
    <row r="254" spans="11:15" ht="12.75">
      <c r="K254"/>
      <c r="L254"/>
      <c r="M254"/>
      <c r="N254"/>
      <c r="O254"/>
    </row>
    <row r="255" spans="11:15" ht="12.75">
      <c r="K255"/>
      <c r="L255"/>
      <c r="M255"/>
      <c r="N255"/>
      <c r="O255"/>
    </row>
    <row r="256" spans="11:15" ht="12.75">
      <c r="K256"/>
      <c r="L256"/>
      <c r="M256"/>
      <c r="N256"/>
      <c r="O256"/>
    </row>
    <row r="257" spans="11:15" ht="12.75">
      <c r="K257"/>
      <c r="L257"/>
      <c r="M257"/>
      <c r="N257"/>
      <c r="O257"/>
    </row>
    <row r="258" spans="11:15" ht="12.75">
      <c r="K258"/>
      <c r="L258"/>
      <c r="M258"/>
      <c r="N258"/>
      <c r="O258"/>
    </row>
    <row r="259" spans="11:15" ht="12.75">
      <c r="K259"/>
      <c r="L259"/>
      <c r="M259"/>
      <c r="N259"/>
      <c r="O259"/>
    </row>
    <row r="260" spans="11:15" ht="12.75">
      <c r="K260"/>
      <c r="L260"/>
      <c r="M260"/>
      <c r="N260"/>
      <c r="O260"/>
    </row>
    <row r="261" spans="11:15" ht="12.75">
      <c r="K261"/>
      <c r="L261"/>
      <c r="M261"/>
      <c r="N261"/>
      <c r="O261"/>
    </row>
    <row r="262" spans="11:15" ht="12.75">
      <c r="K262"/>
      <c r="L262"/>
      <c r="M262"/>
      <c r="N262"/>
      <c r="O262"/>
    </row>
    <row r="263" spans="11:15" ht="12.75">
      <c r="K263"/>
      <c r="L263"/>
      <c r="M263"/>
      <c r="N263"/>
      <c r="O263"/>
    </row>
    <row r="264" spans="11:15" ht="12.75">
      <c r="K264"/>
      <c r="L264"/>
      <c r="M264"/>
      <c r="N264"/>
      <c r="O264"/>
    </row>
    <row r="265" spans="11:15" ht="12.75">
      <c r="K265"/>
      <c r="L265"/>
      <c r="M265"/>
      <c r="N265"/>
      <c r="O265"/>
    </row>
    <row r="266" spans="11:15" ht="12.75">
      <c r="K266"/>
      <c r="L266"/>
      <c r="M266"/>
      <c r="N266"/>
      <c r="O266"/>
    </row>
    <row r="267" spans="11:15" ht="12.75">
      <c r="K267"/>
      <c r="L267"/>
      <c r="M267"/>
      <c r="N267"/>
      <c r="O267"/>
    </row>
    <row r="268" spans="11:15" ht="12.75">
      <c r="K268"/>
      <c r="L268"/>
      <c r="M268"/>
      <c r="N268"/>
      <c r="O268"/>
    </row>
    <row r="269" spans="11:15" ht="12.75">
      <c r="K269"/>
      <c r="L269"/>
      <c r="M269"/>
      <c r="N269"/>
      <c r="O269"/>
    </row>
    <row r="270" spans="11:15" ht="12.75">
      <c r="K270"/>
      <c r="L270"/>
      <c r="M270"/>
      <c r="N270"/>
      <c r="O270"/>
    </row>
    <row r="271" spans="11:15" ht="12.75">
      <c r="K271"/>
      <c r="L271"/>
      <c r="M271"/>
      <c r="N271"/>
      <c r="O271"/>
    </row>
    <row r="272" spans="11:15" ht="12.75">
      <c r="K272"/>
      <c r="L272"/>
      <c r="M272"/>
      <c r="N272"/>
      <c r="O272"/>
    </row>
    <row r="273" spans="11:15" ht="12.75">
      <c r="K273"/>
      <c r="L273"/>
      <c r="M273"/>
      <c r="N273"/>
      <c r="O273"/>
    </row>
    <row r="274" spans="11:15" ht="12.75">
      <c r="K274"/>
      <c r="L274"/>
      <c r="M274"/>
      <c r="N274"/>
      <c r="O274"/>
    </row>
    <row r="275" spans="11:15" ht="12.75">
      <c r="K275"/>
      <c r="L275"/>
      <c r="M275"/>
      <c r="N275"/>
      <c r="O275"/>
    </row>
    <row r="276" spans="11:15" ht="12.75">
      <c r="K276"/>
      <c r="L276"/>
      <c r="M276"/>
      <c r="N276"/>
      <c r="O276"/>
    </row>
    <row r="277" spans="11:15" ht="12.75">
      <c r="K277"/>
      <c r="L277"/>
      <c r="M277"/>
      <c r="N277"/>
      <c r="O277"/>
    </row>
    <row r="278" spans="11:15" ht="12.75">
      <c r="K278"/>
      <c r="L278"/>
      <c r="M278"/>
      <c r="N278"/>
      <c r="O278"/>
    </row>
    <row r="279" spans="11:15" ht="12.75">
      <c r="K279"/>
      <c r="L279"/>
      <c r="M279"/>
      <c r="N279"/>
      <c r="O279"/>
    </row>
    <row r="280" spans="11:15" ht="12.75">
      <c r="K280"/>
      <c r="L280"/>
      <c r="M280"/>
      <c r="N280"/>
      <c r="O280"/>
    </row>
    <row r="281" spans="11:15" ht="12.75">
      <c r="K281"/>
      <c r="L281"/>
      <c r="M281"/>
      <c r="N281"/>
      <c r="O281"/>
    </row>
    <row r="282" spans="11:15" ht="12.75">
      <c r="K282"/>
      <c r="L282"/>
      <c r="M282"/>
      <c r="N282"/>
      <c r="O282"/>
    </row>
    <row r="283" spans="11:15" ht="12.75">
      <c r="K283"/>
      <c r="L283"/>
      <c r="M283"/>
      <c r="N283"/>
      <c r="O283"/>
    </row>
    <row r="284" spans="11:15" ht="12.75">
      <c r="K284"/>
      <c r="L284"/>
      <c r="M284"/>
      <c r="N284"/>
      <c r="O284"/>
    </row>
    <row r="285" spans="11:15" ht="12.75">
      <c r="K285"/>
      <c r="L285"/>
      <c r="M285"/>
      <c r="N285"/>
      <c r="O285"/>
    </row>
    <row r="286" spans="11:15" ht="12.75">
      <c r="K286"/>
      <c r="L286"/>
      <c r="M286"/>
      <c r="N286"/>
      <c r="O286"/>
    </row>
    <row r="287" spans="11:15" ht="12.75">
      <c r="K287"/>
      <c r="L287"/>
      <c r="M287"/>
      <c r="N287"/>
      <c r="O287"/>
    </row>
    <row r="288" spans="11:15" ht="12.75">
      <c r="K288"/>
      <c r="L288"/>
      <c r="M288"/>
      <c r="N288"/>
      <c r="O288"/>
    </row>
    <row r="289" spans="11:15" ht="12.75">
      <c r="K289"/>
      <c r="L289"/>
      <c r="M289"/>
      <c r="N289"/>
      <c r="O289"/>
    </row>
    <row r="290" spans="11:15" ht="12.75">
      <c r="K290"/>
      <c r="L290"/>
      <c r="M290"/>
      <c r="N290"/>
      <c r="O290"/>
    </row>
    <row r="291" spans="11:15" ht="12.75">
      <c r="K291"/>
      <c r="L291"/>
      <c r="M291"/>
      <c r="N291"/>
      <c r="O291"/>
    </row>
    <row r="292" spans="11:15" ht="12.75">
      <c r="K292"/>
      <c r="L292"/>
      <c r="M292"/>
      <c r="N292"/>
      <c r="O292"/>
    </row>
    <row r="293" spans="11:15" ht="12.75">
      <c r="K293"/>
      <c r="L293"/>
      <c r="M293"/>
      <c r="N293"/>
      <c r="O293"/>
    </row>
    <row r="294" spans="11:15" ht="12.75">
      <c r="K294"/>
      <c r="L294"/>
      <c r="M294"/>
      <c r="N294"/>
      <c r="O294"/>
    </row>
    <row r="295" spans="11:15" ht="12.75">
      <c r="K295"/>
      <c r="L295"/>
      <c r="M295"/>
      <c r="N295"/>
      <c r="O295"/>
    </row>
    <row r="296" spans="11:15" ht="12.75">
      <c r="K296"/>
      <c r="L296"/>
      <c r="M296"/>
      <c r="N296"/>
      <c r="O296"/>
    </row>
  </sheetData>
  <mergeCells count="10">
    <mergeCell ref="A1:E2"/>
    <mergeCell ref="A42:D42"/>
    <mergeCell ref="F1:J2"/>
    <mergeCell ref="K1:O2"/>
    <mergeCell ref="F42:I42"/>
    <mergeCell ref="K42:N42"/>
    <mergeCell ref="A43:D43"/>
    <mergeCell ref="F43:I43"/>
    <mergeCell ref="A44:D44"/>
    <mergeCell ref="F44:I4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2"/>
  <sheetViews>
    <sheetView workbookViewId="0" topLeftCell="G1">
      <selection activeCell="B9" sqref="B9"/>
    </sheetView>
  </sheetViews>
  <sheetFormatPr defaultColWidth="9.140625" defaultRowHeight="12.75"/>
  <cols>
    <col min="1" max="1" width="0.13671875" style="29" hidden="1" customWidth="1"/>
    <col min="2" max="2" width="10.421875" style="29" hidden="1" customWidth="1"/>
    <col min="3" max="3" width="15.00390625" style="29" hidden="1" customWidth="1"/>
    <col min="4" max="4" width="13.7109375" style="29" hidden="1" customWidth="1"/>
    <col min="5" max="5" width="11.28125" style="29" hidden="1" customWidth="1"/>
    <col min="6" max="6" width="12.421875" style="29" hidden="1" customWidth="1"/>
    <col min="7" max="7" width="40.8515625" style="29" customWidth="1"/>
    <col min="8" max="8" width="8.7109375" style="29" customWidth="1"/>
    <col min="9" max="9" width="12.00390625" style="29" customWidth="1"/>
    <col min="10" max="10" width="9.57421875" style="29" customWidth="1"/>
    <col min="11" max="11" width="8.28125" style="29" customWidth="1"/>
    <col min="12" max="12" width="10.8515625" style="29" customWidth="1"/>
    <col min="13" max="16384" width="9.140625" style="29" customWidth="1"/>
  </cols>
  <sheetData>
    <row r="1" spans="3:10" ht="12.75">
      <c r="C1" s="1"/>
      <c r="D1" s="1"/>
      <c r="I1" s="1"/>
      <c r="J1" s="1"/>
    </row>
    <row r="2" spans="1:12" ht="12.75">
      <c r="A2" s="1" t="s">
        <v>94</v>
      </c>
      <c r="C2" s="1"/>
      <c r="D2" s="1"/>
      <c r="E2" s="1"/>
      <c r="F2" s="41" t="s">
        <v>95</v>
      </c>
      <c r="G2" s="1" t="s">
        <v>94</v>
      </c>
      <c r="I2" s="1"/>
      <c r="J2" s="1"/>
      <c r="K2" s="1"/>
      <c r="L2" s="42" t="s">
        <v>95</v>
      </c>
    </row>
    <row r="3" spans="1:12" ht="15.75">
      <c r="A3" s="43" t="s">
        <v>96</v>
      </c>
      <c r="G3" s="284" t="s">
        <v>97</v>
      </c>
      <c r="H3" s="284"/>
      <c r="I3" s="284"/>
      <c r="J3" s="284"/>
      <c r="K3" s="284"/>
      <c r="L3" s="284"/>
    </row>
    <row r="4" spans="1:12" ht="15.75">
      <c r="A4" s="43" t="s">
        <v>98</v>
      </c>
      <c r="G4" s="284" t="s">
        <v>99</v>
      </c>
      <c r="H4" s="284"/>
      <c r="I4" s="284"/>
      <c r="J4" s="284"/>
      <c r="K4" s="284"/>
      <c r="L4" s="284"/>
    </row>
    <row r="7" spans="6:12" ht="12">
      <c r="F7" s="44"/>
      <c r="L7" s="44"/>
    </row>
    <row r="8" spans="4:12" ht="12.75">
      <c r="D8" s="1"/>
      <c r="F8" s="39" t="s">
        <v>100</v>
      </c>
      <c r="J8" s="1"/>
      <c r="L8" s="45" t="s">
        <v>100</v>
      </c>
    </row>
    <row r="9" spans="1:12" ht="60" customHeight="1">
      <c r="A9" s="46" t="s">
        <v>7</v>
      </c>
      <c r="B9" s="47" t="s">
        <v>101</v>
      </c>
      <c r="C9" s="47" t="s">
        <v>8</v>
      </c>
      <c r="D9" s="47" t="s">
        <v>9</v>
      </c>
      <c r="E9" s="47" t="s">
        <v>102</v>
      </c>
      <c r="F9" s="47" t="s">
        <v>103</v>
      </c>
      <c r="G9" s="46" t="s">
        <v>7</v>
      </c>
      <c r="H9" s="47" t="s">
        <v>101</v>
      </c>
      <c r="I9" s="47" t="s">
        <v>8</v>
      </c>
      <c r="J9" s="47" t="s">
        <v>9</v>
      </c>
      <c r="K9" s="47" t="s">
        <v>102</v>
      </c>
      <c r="L9" s="47" t="s">
        <v>103</v>
      </c>
    </row>
    <row r="10" spans="1:12" ht="12" customHeight="1">
      <c r="A10" s="48">
        <v>1</v>
      </c>
      <c r="B10" s="48">
        <v>2</v>
      </c>
      <c r="C10" s="7">
        <v>3</v>
      </c>
      <c r="D10" s="7">
        <v>4</v>
      </c>
      <c r="E10" s="7">
        <v>5</v>
      </c>
      <c r="F10" s="49">
        <v>6</v>
      </c>
      <c r="G10" s="48">
        <v>1</v>
      </c>
      <c r="H10" s="48">
        <v>2</v>
      </c>
      <c r="I10" s="7">
        <v>3</v>
      </c>
      <c r="J10" s="7">
        <v>4</v>
      </c>
      <c r="K10" s="7">
        <v>5</v>
      </c>
      <c r="L10" s="49">
        <v>6</v>
      </c>
    </row>
    <row r="11" spans="1:12" ht="18" customHeight="1">
      <c r="A11" s="50" t="s">
        <v>104</v>
      </c>
      <c r="B11" s="51"/>
      <c r="C11" s="52">
        <f>SUM(C12:C25)</f>
        <v>870883731</v>
      </c>
      <c r="D11" s="52">
        <f>SUM(D12:D25)</f>
        <v>380038268</v>
      </c>
      <c r="E11" s="53">
        <f>IF(ISERROR(D11/C11)," ",(D11/C11))</f>
        <v>0.43638232575962543</v>
      </c>
      <c r="F11" s="52">
        <f>SUM(F12:F25)</f>
        <v>4267130</v>
      </c>
      <c r="G11" s="50" t="s">
        <v>104</v>
      </c>
      <c r="H11" s="51"/>
      <c r="I11" s="54">
        <f>SUM(I12:I25)</f>
        <v>870884</v>
      </c>
      <c r="J11" s="54">
        <f>SUM(J12:J25)</f>
        <v>380038</v>
      </c>
      <c r="K11" s="13">
        <f>IF(ISERROR(J11/I11)," ",(J11/I11))</f>
        <v>0.43638188323588445</v>
      </c>
      <c r="L11" s="54">
        <f>SUM(L12:L25)</f>
        <v>4267</v>
      </c>
    </row>
    <row r="12" spans="1:12" ht="18" customHeight="1">
      <c r="A12" s="55" t="s">
        <v>105</v>
      </c>
      <c r="B12" s="56">
        <v>1</v>
      </c>
      <c r="C12" s="57">
        <v>132568</v>
      </c>
      <c r="D12" s="57">
        <v>3845</v>
      </c>
      <c r="E12" s="58">
        <f aca="true" t="shared" si="0" ref="E12:E25">IF(ISERROR(D12/C12)," ",(D12/C12))</f>
        <v>0.02900398286162573</v>
      </c>
      <c r="F12" s="59">
        <f>1868460+39473+126469+303007</f>
        <v>2337409</v>
      </c>
      <c r="G12" s="60" t="s">
        <v>105</v>
      </c>
      <c r="H12" s="61">
        <v>1</v>
      </c>
      <c r="I12" s="62">
        <f>ROUND(C12/1000,0)</f>
        <v>133</v>
      </c>
      <c r="J12" s="62">
        <f>ROUND(D12/1000,0)</f>
        <v>4</v>
      </c>
      <c r="K12" s="20">
        <f aca="true" t="shared" si="1" ref="K12:K25">IF(ISERROR(J12/I12)," ",(J12/I12))</f>
        <v>0.03007518796992481</v>
      </c>
      <c r="L12" s="62">
        <f>ROUND(F12/1000,0)</f>
        <v>2337</v>
      </c>
    </row>
    <row r="13" spans="1:12" ht="18.75" customHeight="1">
      <c r="A13" s="22" t="s">
        <v>106</v>
      </c>
      <c r="B13" s="56">
        <v>2</v>
      </c>
      <c r="C13" s="57"/>
      <c r="D13" s="57"/>
      <c r="E13" s="58" t="str">
        <f t="shared" si="0"/>
        <v> </v>
      </c>
      <c r="F13" s="22">
        <f>87196+97</f>
        <v>87293</v>
      </c>
      <c r="G13" s="21" t="s">
        <v>106</v>
      </c>
      <c r="H13" s="61">
        <v>2</v>
      </c>
      <c r="I13" s="62">
        <f aca="true" t="shared" si="2" ref="I13:J25">ROUND(C13/1000,0)</f>
        <v>0</v>
      </c>
      <c r="J13" s="62">
        <f t="shared" si="2"/>
        <v>0</v>
      </c>
      <c r="K13" s="20" t="str">
        <f t="shared" si="1"/>
        <v> </v>
      </c>
      <c r="L13" s="62">
        <f>ROUND(F13/1000,0)</f>
        <v>87</v>
      </c>
    </row>
    <row r="14" spans="1:12" ht="17.25" customHeight="1">
      <c r="A14" s="22" t="s">
        <v>107</v>
      </c>
      <c r="B14" s="56">
        <v>3</v>
      </c>
      <c r="C14" s="57"/>
      <c r="D14" s="57"/>
      <c r="E14" s="58" t="str">
        <f t="shared" si="0"/>
        <v> </v>
      </c>
      <c r="F14" s="22">
        <f>96041</f>
        <v>96041</v>
      </c>
      <c r="G14" s="21" t="s">
        <v>107</v>
      </c>
      <c r="H14" s="61">
        <v>3</v>
      </c>
      <c r="I14" s="62">
        <f t="shared" si="2"/>
        <v>0</v>
      </c>
      <c r="J14" s="62">
        <f t="shared" si="2"/>
        <v>0</v>
      </c>
      <c r="K14" s="20" t="str">
        <f t="shared" si="1"/>
        <v> </v>
      </c>
      <c r="L14" s="62">
        <f>ROUND(F14/1000,0)</f>
        <v>96</v>
      </c>
    </row>
    <row r="15" spans="1:12" ht="16.5" customHeight="1">
      <c r="A15" s="22" t="s">
        <v>108</v>
      </c>
      <c r="B15" s="56">
        <v>4</v>
      </c>
      <c r="C15" s="57">
        <v>717950</v>
      </c>
      <c r="D15" s="57">
        <v>434</v>
      </c>
      <c r="E15" s="58">
        <f t="shared" si="0"/>
        <v>0.0006044989205376419</v>
      </c>
      <c r="F15" s="22">
        <f>735463+149658</f>
        <v>885121</v>
      </c>
      <c r="G15" s="21" t="s">
        <v>108</v>
      </c>
      <c r="H15" s="61">
        <v>4</v>
      </c>
      <c r="I15" s="62">
        <f t="shared" si="2"/>
        <v>718</v>
      </c>
      <c r="J15" s="62">
        <f t="shared" si="2"/>
        <v>0</v>
      </c>
      <c r="K15" s="20">
        <f t="shared" si="1"/>
        <v>0</v>
      </c>
      <c r="L15" s="62">
        <f>ROUND(F15/1000,0)</f>
        <v>885</v>
      </c>
    </row>
    <row r="16" spans="1:12" ht="18.75" customHeight="1">
      <c r="A16" s="22" t="s">
        <v>109</v>
      </c>
      <c r="B16" s="56">
        <v>5</v>
      </c>
      <c r="C16" s="57">
        <v>147053440</v>
      </c>
      <c r="D16" s="57">
        <v>63825412</v>
      </c>
      <c r="E16" s="58">
        <f t="shared" si="0"/>
        <v>0.43402869052230264</v>
      </c>
      <c r="F16" s="22">
        <f>83679</f>
        <v>83679</v>
      </c>
      <c r="G16" s="21" t="s">
        <v>109</v>
      </c>
      <c r="H16" s="61">
        <v>5</v>
      </c>
      <c r="I16" s="62">
        <f t="shared" si="2"/>
        <v>147053</v>
      </c>
      <c r="J16" s="62">
        <f>ROUND(D16/1000,0)</f>
        <v>63825</v>
      </c>
      <c r="K16" s="20">
        <f t="shared" si="1"/>
        <v>0.43402718747662405</v>
      </c>
      <c r="L16" s="62">
        <f aca="true" t="shared" si="3" ref="L16:L25">ROUND(F16/1000,0)</f>
        <v>84</v>
      </c>
    </row>
    <row r="17" spans="1:12" ht="18" customHeight="1">
      <c r="A17" s="22" t="s">
        <v>110</v>
      </c>
      <c r="B17" s="56">
        <v>6</v>
      </c>
      <c r="C17" s="57">
        <v>510061089</v>
      </c>
      <c r="D17" s="57">
        <v>254359376</v>
      </c>
      <c r="E17" s="58">
        <f t="shared" si="0"/>
        <v>0.4986841409500265</v>
      </c>
      <c r="F17" s="22">
        <f>14472+213130</f>
        <v>227602</v>
      </c>
      <c r="G17" s="21" t="s">
        <v>110</v>
      </c>
      <c r="H17" s="61">
        <v>6</v>
      </c>
      <c r="I17" s="62">
        <f t="shared" si="2"/>
        <v>510061</v>
      </c>
      <c r="J17" s="62">
        <f t="shared" si="2"/>
        <v>254359</v>
      </c>
      <c r="K17" s="20">
        <f t="shared" si="1"/>
        <v>0.49868349079815943</v>
      </c>
      <c r="L17" s="62">
        <f t="shared" si="3"/>
        <v>228</v>
      </c>
    </row>
    <row r="18" spans="1:12" ht="24" customHeight="1">
      <c r="A18" s="23" t="s">
        <v>111</v>
      </c>
      <c r="B18" s="56">
        <v>7</v>
      </c>
      <c r="C18" s="57">
        <v>10127000</v>
      </c>
      <c r="D18" s="57">
        <f>3530640+670552-76514</f>
        <v>4124678</v>
      </c>
      <c r="E18" s="58">
        <f t="shared" si="0"/>
        <v>0.4072951515749975</v>
      </c>
      <c r="F18" s="22">
        <f>39981+14603</f>
        <v>54584</v>
      </c>
      <c r="G18" s="63" t="s">
        <v>111</v>
      </c>
      <c r="H18" s="61">
        <v>7</v>
      </c>
      <c r="I18" s="62">
        <f t="shared" si="2"/>
        <v>10127</v>
      </c>
      <c r="J18" s="62">
        <f t="shared" si="2"/>
        <v>4125</v>
      </c>
      <c r="K18" s="20">
        <f t="shared" si="1"/>
        <v>0.4073269477634048</v>
      </c>
      <c r="L18" s="62">
        <f t="shared" si="3"/>
        <v>55</v>
      </c>
    </row>
    <row r="19" spans="1:12" ht="15.75" customHeight="1">
      <c r="A19" s="22" t="s">
        <v>112</v>
      </c>
      <c r="B19" s="56">
        <v>8</v>
      </c>
      <c r="C19" s="57">
        <v>4225000</v>
      </c>
      <c r="D19" s="57">
        <f>1028583+1423000+60427+76514</f>
        <v>2588524</v>
      </c>
      <c r="E19" s="58">
        <f t="shared" si="0"/>
        <v>0.6126684023668639</v>
      </c>
      <c r="F19" s="22">
        <f>173396+5438</f>
        <v>178834</v>
      </c>
      <c r="G19" s="21" t="s">
        <v>112</v>
      </c>
      <c r="H19" s="61">
        <v>8</v>
      </c>
      <c r="I19" s="62">
        <f t="shared" si="2"/>
        <v>4225</v>
      </c>
      <c r="J19" s="62">
        <f t="shared" si="2"/>
        <v>2589</v>
      </c>
      <c r="K19" s="20">
        <f t="shared" si="1"/>
        <v>0.6127810650887574</v>
      </c>
      <c r="L19" s="62">
        <f t="shared" si="3"/>
        <v>179</v>
      </c>
    </row>
    <row r="20" spans="1:12" ht="20.25" customHeight="1">
      <c r="A20" s="22" t="s">
        <v>113</v>
      </c>
      <c r="B20" s="56">
        <v>9</v>
      </c>
      <c r="C20" s="57"/>
      <c r="D20" s="57"/>
      <c r="E20" s="58" t="str">
        <f t="shared" si="0"/>
        <v> </v>
      </c>
      <c r="F20" s="22"/>
      <c r="G20" s="21" t="s">
        <v>113</v>
      </c>
      <c r="H20" s="61">
        <v>9</v>
      </c>
      <c r="I20" s="62">
        <f t="shared" si="2"/>
        <v>0</v>
      </c>
      <c r="J20" s="62">
        <f t="shared" si="2"/>
        <v>0</v>
      </c>
      <c r="K20" s="20" t="str">
        <f t="shared" si="1"/>
        <v> </v>
      </c>
      <c r="L20" s="62">
        <f t="shared" si="3"/>
        <v>0</v>
      </c>
    </row>
    <row r="21" spans="1:12" ht="24.75" customHeight="1">
      <c r="A21" s="23" t="s">
        <v>114</v>
      </c>
      <c r="B21" s="56">
        <v>10</v>
      </c>
      <c r="C21" s="57">
        <v>24600000</v>
      </c>
      <c r="D21" s="57">
        <f>333965+9455182</f>
        <v>9789147</v>
      </c>
      <c r="E21" s="58">
        <f t="shared" si="0"/>
        <v>0.3979328048780488</v>
      </c>
      <c r="F21" s="22">
        <f>33780+126627</f>
        <v>160407</v>
      </c>
      <c r="G21" s="63" t="s">
        <v>114</v>
      </c>
      <c r="H21" s="61">
        <v>10</v>
      </c>
      <c r="I21" s="62">
        <f t="shared" si="2"/>
        <v>24600</v>
      </c>
      <c r="J21" s="62">
        <f t="shared" si="2"/>
        <v>9789</v>
      </c>
      <c r="K21" s="20">
        <f t="shared" si="1"/>
        <v>0.3979268292682927</v>
      </c>
      <c r="L21" s="62">
        <f t="shared" si="3"/>
        <v>160</v>
      </c>
    </row>
    <row r="22" spans="1:12" ht="27.75" customHeight="1">
      <c r="A22" s="23" t="s">
        <v>115</v>
      </c>
      <c r="B22" s="56">
        <v>11</v>
      </c>
      <c r="C22" s="57"/>
      <c r="D22" s="57"/>
      <c r="E22" s="58" t="str">
        <f t="shared" si="0"/>
        <v> </v>
      </c>
      <c r="F22" s="22"/>
      <c r="G22" s="63" t="s">
        <v>115</v>
      </c>
      <c r="H22" s="61">
        <v>11</v>
      </c>
      <c r="I22" s="62">
        <f t="shared" si="2"/>
        <v>0</v>
      </c>
      <c r="J22" s="62">
        <f t="shared" si="2"/>
        <v>0</v>
      </c>
      <c r="K22" s="20" t="str">
        <f t="shared" si="1"/>
        <v> </v>
      </c>
      <c r="L22" s="62">
        <f t="shared" si="3"/>
        <v>0</v>
      </c>
    </row>
    <row r="23" spans="1:12" ht="18" customHeight="1">
      <c r="A23" s="22" t="s">
        <v>116</v>
      </c>
      <c r="B23" s="56">
        <v>12</v>
      </c>
      <c r="C23" s="57">
        <v>122569984</v>
      </c>
      <c r="D23" s="57">
        <f>339341+1566482+37630277</f>
        <v>39536100</v>
      </c>
      <c r="E23" s="58">
        <f t="shared" si="0"/>
        <v>0.322559395944769</v>
      </c>
      <c r="F23" s="22"/>
      <c r="G23" s="21" t="s">
        <v>116</v>
      </c>
      <c r="H23" s="61">
        <v>12</v>
      </c>
      <c r="I23" s="62">
        <f t="shared" si="2"/>
        <v>122570</v>
      </c>
      <c r="J23" s="62">
        <f t="shared" si="2"/>
        <v>39536</v>
      </c>
      <c r="K23" s="20">
        <f t="shared" si="1"/>
        <v>0.3225585379782981</v>
      </c>
      <c r="L23" s="62">
        <f t="shared" si="3"/>
        <v>0</v>
      </c>
    </row>
    <row r="24" spans="1:12" ht="18.75" customHeight="1">
      <c r="A24" s="22" t="s">
        <v>117</v>
      </c>
      <c r="B24" s="56">
        <v>13</v>
      </c>
      <c r="C24" s="57">
        <v>51396700</v>
      </c>
      <c r="D24" s="57">
        <f>4226991+1206644+317117+4000+56000</f>
        <v>5810752</v>
      </c>
      <c r="E24" s="58">
        <f t="shared" si="0"/>
        <v>0.11305690832290789</v>
      </c>
      <c r="F24" s="22">
        <f>6209+5049</f>
        <v>11258</v>
      </c>
      <c r="G24" s="21" t="s">
        <v>117</v>
      </c>
      <c r="H24" s="61">
        <v>13</v>
      </c>
      <c r="I24" s="62">
        <f t="shared" si="2"/>
        <v>51397</v>
      </c>
      <c r="J24" s="62">
        <f t="shared" si="2"/>
        <v>5811</v>
      </c>
      <c r="K24" s="20">
        <f t="shared" si="1"/>
        <v>0.11306107360351772</v>
      </c>
      <c r="L24" s="62">
        <f t="shared" si="3"/>
        <v>11</v>
      </c>
    </row>
    <row r="25" spans="1:12" ht="24" customHeight="1">
      <c r="A25" s="23" t="s">
        <v>118</v>
      </c>
      <c r="B25" s="56">
        <v>14</v>
      </c>
      <c r="C25" s="57"/>
      <c r="D25" s="57"/>
      <c r="E25" s="58" t="str">
        <f t="shared" si="0"/>
        <v> </v>
      </c>
      <c r="F25" s="22">
        <f>144902</f>
        <v>144902</v>
      </c>
      <c r="G25" s="63" t="s">
        <v>118</v>
      </c>
      <c r="H25" s="61">
        <v>14</v>
      </c>
      <c r="I25" s="62">
        <f t="shared" si="2"/>
        <v>0</v>
      </c>
      <c r="J25" s="62">
        <f t="shared" si="2"/>
        <v>0</v>
      </c>
      <c r="K25" s="20" t="str">
        <f t="shared" si="1"/>
        <v> </v>
      </c>
      <c r="L25" s="62">
        <f t="shared" si="3"/>
        <v>145</v>
      </c>
    </row>
    <row r="26" spans="2:11" ht="12.75">
      <c r="B26" s="64"/>
      <c r="C26" s="65"/>
      <c r="D26" s="65"/>
      <c r="E26" s="66"/>
      <c r="H26" s="64"/>
      <c r="I26" s="65"/>
      <c r="J26" s="65"/>
      <c r="K26" s="66"/>
    </row>
    <row r="27" spans="1:11" ht="14.25">
      <c r="A27" s="67"/>
      <c r="B27" s="68"/>
      <c r="C27" s="65"/>
      <c r="D27" s="65"/>
      <c r="E27" s="66"/>
      <c r="G27" s="67"/>
      <c r="H27" s="68"/>
      <c r="I27" s="65"/>
      <c r="J27" s="65"/>
      <c r="K27" s="66"/>
    </row>
    <row r="28" spans="1:11" ht="14.25">
      <c r="A28" s="67"/>
      <c r="B28" s="68"/>
      <c r="C28" s="65"/>
      <c r="D28" s="65"/>
      <c r="E28" s="66"/>
      <c r="G28" s="67"/>
      <c r="H28" s="68"/>
      <c r="I28" s="65"/>
      <c r="J28" s="65"/>
      <c r="K28" s="66"/>
    </row>
    <row r="29" spans="1:11" ht="14.25">
      <c r="A29" s="67"/>
      <c r="B29" s="68"/>
      <c r="C29" s="65"/>
      <c r="D29" s="65"/>
      <c r="E29" s="66"/>
      <c r="G29" s="67"/>
      <c r="H29" s="68"/>
      <c r="I29" s="65"/>
      <c r="J29" s="65"/>
      <c r="K29" s="66"/>
    </row>
    <row r="30" spans="1:11" ht="14.25">
      <c r="A30" s="67"/>
      <c r="B30" s="68"/>
      <c r="C30" s="65"/>
      <c r="D30" s="65"/>
      <c r="E30" s="66"/>
      <c r="G30" s="67"/>
      <c r="H30" s="68"/>
      <c r="I30" s="65"/>
      <c r="J30" s="65"/>
      <c r="K30" s="66"/>
    </row>
    <row r="31" spans="1:11" ht="14.25">
      <c r="A31" s="67"/>
      <c r="B31" s="68"/>
      <c r="C31" s="65"/>
      <c r="D31" s="65"/>
      <c r="E31" s="66"/>
      <c r="G31" s="67"/>
      <c r="H31" s="68"/>
      <c r="I31" s="65"/>
      <c r="J31" s="65"/>
      <c r="K31" s="66"/>
    </row>
    <row r="32" spans="1:11" ht="14.25">
      <c r="A32" s="67"/>
      <c r="B32" s="68"/>
      <c r="C32" s="65"/>
      <c r="D32" s="65"/>
      <c r="E32" s="66"/>
      <c r="G32" s="67"/>
      <c r="H32" s="68"/>
      <c r="I32" s="65"/>
      <c r="J32" s="65"/>
      <c r="K32" s="66"/>
    </row>
    <row r="33" spans="1:11" ht="14.25">
      <c r="A33" s="67"/>
      <c r="B33" s="68"/>
      <c r="C33" s="65"/>
      <c r="D33" s="65"/>
      <c r="E33" s="66"/>
      <c r="G33" s="67"/>
      <c r="H33" s="68"/>
      <c r="I33" s="65"/>
      <c r="J33" s="65"/>
      <c r="K33" s="66"/>
    </row>
    <row r="34" spans="1:11" ht="15.75" customHeight="1">
      <c r="A34" s="29" t="s">
        <v>119</v>
      </c>
      <c r="B34" s="64"/>
      <c r="C34" s="69" t="s">
        <v>120</v>
      </c>
      <c r="D34" s="69"/>
      <c r="E34" s="66"/>
      <c r="G34" s="29" t="s">
        <v>119</v>
      </c>
      <c r="H34" s="64"/>
      <c r="I34" s="69" t="s">
        <v>121</v>
      </c>
      <c r="J34" s="69"/>
      <c r="K34" s="66"/>
    </row>
    <row r="35" spans="2:11" ht="12">
      <c r="B35" s="64"/>
      <c r="C35" s="69"/>
      <c r="D35" s="69"/>
      <c r="E35" s="66"/>
      <c r="H35" s="64"/>
      <c r="I35" s="69"/>
      <c r="J35" s="69"/>
      <c r="K35" s="66"/>
    </row>
    <row r="36" spans="3:11" ht="15.75" customHeight="1">
      <c r="C36" s="69"/>
      <c r="D36" s="69"/>
      <c r="E36" s="70"/>
      <c r="I36" s="69"/>
      <c r="J36" s="69"/>
      <c r="K36" s="70"/>
    </row>
    <row r="37" spans="3:11" ht="12.75" hidden="1">
      <c r="C37" s="65"/>
      <c r="D37" s="65"/>
      <c r="E37" s="66"/>
      <c r="I37" s="65"/>
      <c r="J37" s="65"/>
      <c r="K37" s="66"/>
    </row>
    <row r="38" spans="3:11" ht="12.75">
      <c r="C38" s="65"/>
      <c r="D38" s="65"/>
      <c r="E38" s="66"/>
      <c r="I38" s="65"/>
      <c r="J38" s="65"/>
      <c r="K38" s="66"/>
    </row>
    <row r="39" spans="3:11" ht="12.75">
      <c r="C39" s="65"/>
      <c r="D39" s="65"/>
      <c r="E39" s="66"/>
      <c r="I39" s="65"/>
      <c r="J39" s="65"/>
      <c r="K39" s="66"/>
    </row>
    <row r="40" spans="1:11" ht="12.75">
      <c r="A40" s="29" t="s">
        <v>122</v>
      </c>
      <c r="C40" s="65"/>
      <c r="D40" s="65"/>
      <c r="E40" s="66"/>
      <c r="G40" s="29" t="s">
        <v>122</v>
      </c>
      <c r="I40" s="65"/>
      <c r="J40" s="65"/>
      <c r="K40" s="66"/>
    </row>
    <row r="41" spans="1:11" ht="12.75">
      <c r="A41" s="29" t="s">
        <v>123</v>
      </c>
      <c r="C41" s="65"/>
      <c r="D41" s="65"/>
      <c r="E41" s="66"/>
      <c r="G41" s="29" t="s">
        <v>93</v>
      </c>
      <c r="I41" s="65"/>
      <c r="J41" s="65"/>
      <c r="K41" s="66"/>
    </row>
    <row r="42" spans="3:11" ht="12.75">
      <c r="C42" s="65"/>
      <c r="D42" s="65"/>
      <c r="E42" s="66"/>
      <c r="I42" s="65"/>
      <c r="J42" s="65"/>
      <c r="K42" s="66"/>
    </row>
    <row r="43" spans="3:11" ht="12.75">
      <c r="C43" s="65"/>
      <c r="D43" s="65"/>
      <c r="E43" s="66"/>
      <c r="I43" s="65"/>
      <c r="J43" s="65"/>
      <c r="K43" s="66"/>
    </row>
    <row r="44" spans="3:11" ht="12.75">
      <c r="C44" s="65"/>
      <c r="D44" s="65"/>
      <c r="E44" s="66"/>
      <c r="I44" s="65"/>
      <c r="J44" s="65"/>
      <c r="K44" s="66"/>
    </row>
    <row r="45" spans="1:11" ht="14.25">
      <c r="A45" s="67"/>
      <c r="B45" s="67"/>
      <c r="C45" s="65"/>
      <c r="D45" s="65"/>
      <c r="E45" s="66"/>
      <c r="G45" s="67"/>
      <c r="H45" s="67"/>
      <c r="I45" s="65"/>
      <c r="J45" s="65"/>
      <c r="K45" s="66"/>
    </row>
    <row r="46" spans="3:11" ht="12.75">
      <c r="C46" s="65"/>
      <c r="D46" s="65"/>
      <c r="E46" s="66"/>
      <c r="I46" s="65"/>
      <c r="J46" s="65"/>
      <c r="K46" s="66"/>
    </row>
    <row r="47" spans="3:11" ht="12.75">
      <c r="C47" s="65"/>
      <c r="D47" s="65"/>
      <c r="E47" s="66"/>
      <c r="I47" s="65"/>
      <c r="J47" s="65"/>
      <c r="K47" s="66"/>
    </row>
    <row r="48" spans="3:11" ht="12.75">
      <c r="C48" s="65"/>
      <c r="D48" s="65"/>
      <c r="E48" s="66"/>
      <c r="I48" s="65"/>
      <c r="J48" s="65"/>
      <c r="K48" s="66"/>
    </row>
    <row r="49" spans="3:11" ht="12.75">
      <c r="C49" s="65"/>
      <c r="D49" s="65"/>
      <c r="E49" s="66"/>
      <c r="I49" s="65"/>
      <c r="J49" s="65"/>
      <c r="K49" s="66"/>
    </row>
    <row r="50" spans="3:11" ht="12.75">
      <c r="C50" s="65"/>
      <c r="D50" s="65"/>
      <c r="E50" s="66"/>
      <c r="I50" s="65"/>
      <c r="J50" s="65"/>
      <c r="K50" s="66"/>
    </row>
    <row r="51" spans="3:11" ht="12.75">
      <c r="C51" s="69"/>
      <c r="D51" s="65"/>
      <c r="E51" s="66"/>
      <c r="I51" s="69"/>
      <c r="J51" s="65"/>
      <c r="K51" s="66"/>
    </row>
    <row r="52" spans="3:11" ht="12.75">
      <c r="C52" s="69"/>
      <c r="D52" s="65"/>
      <c r="E52" s="66"/>
      <c r="I52" s="69"/>
      <c r="J52" s="65"/>
      <c r="K52" s="66"/>
    </row>
    <row r="53" spans="3:11" ht="12.75">
      <c r="C53" s="69"/>
      <c r="D53" s="65"/>
      <c r="E53" s="66"/>
      <c r="I53" s="69"/>
      <c r="J53" s="65"/>
      <c r="K53" s="66"/>
    </row>
    <row r="54" spans="3:11" ht="12.75">
      <c r="C54" s="69"/>
      <c r="D54" s="1"/>
      <c r="E54" s="66"/>
      <c r="I54" s="69"/>
      <c r="J54" s="1"/>
      <c r="K54" s="66"/>
    </row>
    <row r="55" spans="3:11" ht="12.75">
      <c r="C55" s="69"/>
      <c r="D55" s="1"/>
      <c r="E55" s="66"/>
      <c r="I55" s="69"/>
      <c r="J55" s="1"/>
      <c r="K55" s="66"/>
    </row>
    <row r="56" spans="3:11" ht="12.75">
      <c r="C56" s="69"/>
      <c r="D56" s="1"/>
      <c r="E56" s="66"/>
      <c r="I56" s="69"/>
      <c r="J56" s="1"/>
      <c r="K56" s="66"/>
    </row>
    <row r="57" spans="3:11" ht="12.75">
      <c r="C57" s="69"/>
      <c r="D57" s="1"/>
      <c r="E57" s="66"/>
      <c r="I57" s="69"/>
      <c r="J57" s="1"/>
      <c r="K57" s="66"/>
    </row>
    <row r="58" spans="3:11" ht="12.75">
      <c r="C58" s="69"/>
      <c r="D58" s="1"/>
      <c r="E58" s="66"/>
      <c r="I58" s="69"/>
      <c r="J58" s="1"/>
      <c r="K58" s="66"/>
    </row>
    <row r="59" spans="3:11" ht="12.75">
      <c r="C59" s="69"/>
      <c r="D59" s="1"/>
      <c r="E59" s="66"/>
      <c r="I59" s="69"/>
      <c r="J59" s="1"/>
      <c r="K59" s="66"/>
    </row>
    <row r="60" spans="3:11" ht="12.75">
      <c r="C60" s="69"/>
      <c r="D60" s="1"/>
      <c r="E60" s="66"/>
      <c r="I60" s="69"/>
      <c r="J60" s="1"/>
      <c r="K60" s="66"/>
    </row>
    <row r="61" spans="3:11" ht="12.75">
      <c r="C61" s="69"/>
      <c r="D61" s="1"/>
      <c r="E61" s="66"/>
      <c r="I61" s="69"/>
      <c r="J61" s="1"/>
      <c r="K61" s="66"/>
    </row>
    <row r="62" spans="3:11" ht="12.75">
      <c r="C62" s="69"/>
      <c r="D62" s="1"/>
      <c r="E62" s="66"/>
      <c r="I62" s="69"/>
      <c r="J62" s="1"/>
      <c r="K62" s="66"/>
    </row>
    <row r="63" spans="3:11" ht="12.75">
      <c r="C63" s="69"/>
      <c r="D63" s="1"/>
      <c r="E63" s="66"/>
      <c r="I63" s="69"/>
      <c r="J63" s="1"/>
      <c r="K63" s="66"/>
    </row>
    <row r="64" spans="3:11" ht="12.75">
      <c r="C64" s="69"/>
      <c r="D64" s="1"/>
      <c r="E64" s="66"/>
      <c r="I64" s="69"/>
      <c r="J64" s="1"/>
      <c r="K64" s="66"/>
    </row>
    <row r="65" spans="3:11" ht="12.75">
      <c r="C65" s="69"/>
      <c r="D65" s="1"/>
      <c r="E65" s="66"/>
      <c r="I65" s="69"/>
      <c r="J65" s="1"/>
      <c r="K65" s="66"/>
    </row>
    <row r="66" spans="3:11" ht="12.75">
      <c r="C66" s="69"/>
      <c r="D66" s="1"/>
      <c r="E66" s="66"/>
      <c r="I66" s="69"/>
      <c r="J66" s="1"/>
      <c r="K66" s="66"/>
    </row>
    <row r="67" spans="3:11" ht="12.75">
      <c r="C67" s="69"/>
      <c r="D67" s="1"/>
      <c r="E67" s="66"/>
      <c r="I67" s="69"/>
      <c r="J67" s="1"/>
      <c r="K67" s="66"/>
    </row>
    <row r="68" spans="3:11" ht="12.75">
      <c r="C68" s="69"/>
      <c r="D68" s="1"/>
      <c r="E68" s="66"/>
      <c r="I68" s="69"/>
      <c r="J68" s="1"/>
      <c r="K68" s="66"/>
    </row>
    <row r="69" spans="3:11" ht="12.75">
      <c r="C69" s="69"/>
      <c r="D69" s="1"/>
      <c r="E69" s="66"/>
      <c r="I69" s="69"/>
      <c r="J69" s="1"/>
      <c r="K69" s="66"/>
    </row>
    <row r="70" spans="3:11" ht="12.75">
      <c r="C70" s="69"/>
      <c r="D70" s="1"/>
      <c r="E70" s="66"/>
      <c r="I70" s="69"/>
      <c r="J70" s="1"/>
      <c r="K70" s="66"/>
    </row>
    <row r="71" spans="3:11" ht="12.75">
      <c r="C71" s="69"/>
      <c r="D71" s="1"/>
      <c r="E71" s="66"/>
      <c r="I71" s="69"/>
      <c r="J71" s="1"/>
      <c r="K71" s="66"/>
    </row>
    <row r="72" spans="3:11" ht="12.75">
      <c r="C72" s="69"/>
      <c r="D72" s="1"/>
      <c r="E72" s="66"/>
      <c r="I72" s="69"/>
      <c r="J72" s="1"/>
      <c r="K72" s="66"/>
    </row>
    <row r="73" spans="3:11" ht="12.75">
      <c r="C73" s="69"/>
      <c r="D73" s="1"/>
      <c r="E73" s="66"/>
      <c r="I73" s="69"/>
      <c r="J73" s="1"/>
      <c r="K73" s="66"/>
    </row>
    <row r="74" spans="3:11" ht="12">
      <c r="C74" s="69"/>
      <c r="E74" s="66"/>
      <c r="I74" s="69"/>
      <c r="K74" s="66"/>
    </row>
    <row r="75" spans="3:11" ht="12">
      <c r="C75" s="69"/>
      <c r="E75" s="66"/>
      <c r="I75" s="69"/>
      <c r="K75" s="66"/>
    </row>
    <row r="76" spans="3:11" ht="12">
      <c r="C76" s="69"/>
      <c r="E76" s="66"/>
      <c r="I76" s="69"/>
      <c r="K76" s="66"/>
    </row>
    <row r="77" spans="3:11" ht="12">
      <c r="C77" s="69"/>
      <c r="E77" s="66"/>
      <c r="I77" s="69"/>
      <c r="K77" s="66"/>
    </row>
    <row r="78" spans="3:11" ht="12">
      <c r="C78" s="69"/>
      <c r="E78" s="66"/>
      <c r="I78" s="69"/>
      <c r="K78" s="66"/>
    </row>
    <row r="79" spans="3:11" ht="12">
      <c r="C79" s="69"/>
      <c r="E79" s="66"/>
      <c r="I79" s="69"/>
      <c r="K79" s="66"/>
    </row>
    <row r="80" spans="3:11" ht="12">
      <c r="C80" s="69"/>
      <c r="E80" s="66"/>
      <c r="I80" s="69"/>
      <c r="K80" s="66"/>
    </row>
    <row r="81" spans="2:10" ht="12">
      <c r="B81" s="69"/>
      <c r="D81" s="66"/>
      <c r="H81" s="69"/>
      <c r="J81" s="66"/>
    </row>
    <row r="82" spans="2:10" ht="12">
      <c r="B82" s="69"/>
      <c r="D82" s="66"/>
      <c r="H82" s="69"/>
      <c r="J82" s="66"/>
    </row>
    <row r="83" spans="2:10" ht="12">
      <c r="B83" s="69"/>
      <c r="D83" s="66"/>
      <c r="H83" s="69"/>
      <c r="J83" s="66"/>
    </row>
    <row r="84" spans="2:10" ht="12">
      <c r="B84" s="69"/>
      <c r="D84" s="66"/>
      <c r="H84" s="69"/>
      <c r="J84" s="66"/>
    </row>
    <row r="85" spans="2:10" ht="12">
      <c r="B85" s="69"/>
      <c r="D85" s="66"/>
      <c r="H85" s="69"/>
      <c r="J85" s="66"/>
    </row>
    <row r="86" spans="2:10" ht="12">
      <c r="B86" s="69"/>
      <c r="D86" s="66"/>
      <c r="H86" s="69"/>
      <c r="J86" s="66"/>
    </row>
    <row r="87" spans="2:10" ht="12">
      <c r="B87" s="69"/>
      <c r="D87" s="66"/>
      <c r="H87" s="69"/>
      <c r="J87" s="66"/>
    </row>
    <row r="88" spans="2:10" ht="12">
      <c r="B88" s="69"/>
      <c r="D88" s="66"/>
      <c r="H88" s="69"/>
      <c r="J88" s="66"/>
    </row>
    <row r="89" spans="2:10" ht="12">
      <c r="B89" s="69"/>
      <c r="D89" s="66"/>
      <c r="H89" s="69"/>
      <c r="J89" s="66"/>
    </row>
    <row r="90" spans="2:10" ht="12">
      <c r="B90" s="69"/>
      <c r="D90" s="66"/>
      <c r="H90" s="69"/>
      <c r="J90" s="66"/>
    </row>
    <row r="91" spans="2:10" ht="12">
      <c r="B91" s="69"/>
      <c r="D91" s="66"/>
      <c r="H91" s="69"/>
      <c r="J91" s="66"/>
    </row>
    <row r="92" spans="2:10" ht="12">
      <c r="B92" s="69"/>
      <c r="D92" s="66"/>
      <c r="H92" s="69"/>
      <c r="J92" s="66"/>
    </row>
    <row r="93" spans="2:10" ht="12">
      <c r="B93" s="69"/>
      <c r="D93" s="66"/>
      <c r="H93" s="69"/>
      <c r="J93" s="66"/>
    </row>
    <row r="94" spans="2:10" ht="12">
      <c r="B94" s="69"/>
      <c r="D94" s="66"/>
      <c r="H94" s="69"/>
      <c r="J94" s="66"/>
    </row>
    <row r="95" spans="2:10" ht="12">
      <c r="B95" s="69"/>
      <c r="D95" s="66"/>
      <c r="H95" s="69"/>
      <c r="J95" s="66"/>
    </row>
    <row r="96" spans="2:10" ht="12">
      <c r="B96" s="69"/>
      <c r="D96" s="66"/>
      <c r="H96" s="69"/>
      <c r="J96" s="66"/>
    </row>
    <row r="97" spans="2:10" ht="12">
      <c r="B97" s="69"/>
      <c r="D97" s="66"/>
      <c r="H97" s="69"/>
      <c r="J97" s="66"/>
    </row>
    <row r="98" spans="2:10" ht="12">
      <c r="B98" s="69"/>
      <c r="D98" s="66"/>
      <c r="H98" s="69"/>
      <c r="J98" s="66"/>
    </row>
    <row r="99" spans="2:10" ht="12">
      <c r="B99" s="69"/>
      <c r="D99" s="66"/>
      <c r="H99" s="69"/>
      <c r="J99" s="66"/>
    </row>
    <row r="100" spans="2:10" ht="12">
      <c r="B100" s="69"/>
      <c r="D100" s="66"/>
      <c r="H100" s="69"/>
      <c r="J100" s="66"/>
    </row>
    <row r="101" spans="2:8" ht="12">
      <c r="B101" s="69"/>
      <c r="H101" s="69"/>
    </row>
    <row r="102" spans="2:8" ht="12">
      <c r="B102" s="69"/>
      <c r="H102" s="69"/>
    </row>
    <row r="103" spans="2:8" ht="12">
      <c r="B103" s="69"/>
      <c r="H103" s="69"/>
    </row>
    <row r="104" spans="2:8" ht="12">
      <c r="B104" s="69"/>
      <c r="H104" s="69"/>
    </row>
    <row r="105" spans="2:8" ht="12">
      <c r="B105" s="69"/>
      <c r="H105" s="69"/>
    </row>
    <row r="106" spans="2:8" ht="12">
      <c r="B106" s="69"/>
      <c r="H106" s="69"/>
    </row>
    <row r="107" spans="2:8" ht="12">
      <c r="B107" s="69"/>
      <c r="H107" s="69"/>
    </row>
    <row r="108" spans="2:8" ht="12">
      <c r="B108" s="69"/>
      <c r="H108" s="69"/>
    </row>
    <row r="109" spans="2:8" ht="12">
      <c r="B109" s="69"/>
      <c r="H109" s="69"/>
    </row>
    <row r="236" spans="1:12" ht="12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1:12" ht="12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1:12" ht="12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1:12" ht="12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12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1:12" ht="12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1:12" ht="1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1:12" ht="12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1:12" ht="12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1:12" ht="12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1:12" ht="12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1:12" ht="12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1:12" ht="12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1:12" ht="12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2" ht="12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1:12" ht="12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1:12" ht="1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1:12" ht="12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1:12" ht="12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1:12" ht="12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1:12" ht="12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  <row r="257" spans="1:12" ht="12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</row>
    <row r="258" spans="1:12" ht="12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</row>
    <row r="259" spans="1:12" ht="12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</row>
    <row r="260" spans="1:12" ht="12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</row>
    <row r="261" spans="1:12" ht="12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1:12" ht="1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</row>
  </sheetData>
  <mergeCells count="2">
    <mergeCell ref="G3:L3"/>
    <mergeCell ref="G4:L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N125"/>
  <sheetViews>
    <sheetView workbookViewId="0" topLeftCell="A1">
      <selection activeCell="A14" sqref="A14"/>
    </sheetView>
  </sheetViews>
  <sheetFormatPr defaultColWidth="9.140625" defaultRowHeight="12.75"/>
  <cols>
    <col min="1" max="1" width="58.57421875" style="288" customWidth="1"/>
    <col min="2" max="2" width="9.8515625" style="288" customWidth="1"/>
    <col min="3" max="3" width="11.00390625" style="288" customWidth="1"/>
    <col min="4" max="4" width="10.421875" style="288" customWidth="1"/>
    <col min="5" max="5" width="11.140625" style="288" customWidth="1"/>
    <col min="6" max="16384" width="8.00390625" style="288" customWidth="1"/>
  </cols>
  <sheetData>
    <row r="1" spans="1:5" ht="12.75">
      <c r="A1" s="287" t="s">
        <v>3</v>
      </c>
      <c r="B1" s="287"/>
      <c r="C1" s="287"/>
      <c r="D1" s="287"/>
      <c r="E1" s="372" t="s">
        <v>696</v>
      </c>
    </row>
    <row r="2" spans="1:5" ht="12.75">
      <c r="A2" s="300"/>
      <c r="B2" s="300"/>
      <c r="C2" s="300"/>
      <c r="D2" s="300"/>
      <c r="E2" s="300"/>
    </row>
    <row r="3" spans="1:5" ht="18">
      <c r="A3" s="386" t="s">
        <v>697</v>
      </c>
      <c r="B3" s="508"/>
      <c r="C3" s="287"/>
      <c r="D3" s="287"/>
      <c r="E3" s="287"/>
    </row>
    <row r="4" spans="1:5" ht="18">
      <c r="A4" s="386" t="s">
        <v>649</v>
      </c>
      <c r="B4" s="508"/>
      <c r="C4" s="287"/>
      <c r="D4" s="287"/>
      <c r="E4" s="287"/>
    </row>
    <row r="5" spans="1:5" ht="18">
      <c r="A5" s="508"/>
      <c r="B5" s="508"/>
      <c r="C5" s="287"/>
      <c r="D5" s="295"/>
      <c r="E5" s="295" t="s">
        <v>6</v>
      </c>
    </row>
    <row r="6" spans="1:5" ht="35.25" customHeight="1">
      <c r="A6" s="487" t="s">
        <v>7</v>
      </c>
      <c r="B6" s="487" t="s">
        <v>444</v>
      </c>
      <c r="C6" s="487" t="s">
        <v>9</v>
      </c>
      <c r="D6" s="487" t="s">
        <v>10</v>
      </c>
      <c r="E6" s="487" t="s">
        <v>170</v>
      </c>
    </row>
    <row r="7" spans="1:5" s="371" customFormat="1" ht="12.75" customHeight="1">
      <c r="A7" s="487">
        <v>1</v>
      </c>
      <c r="B7" s="487">
        <v>2</v>
      </c>
      <c r="C7" s="487">
        <v>3</v>
      </c>
      <c r="D7" s="487">
        <v>4</v>
      </c>
      <c r="E7" s="487">
        <v>5</v>
      </c>
    </row>
    <row r="8" spans="1:5" ht="16.5" customHeight="1">
      <c r="A8" s="509" t="s">
        <v>698</v>
      </c>
      <c r="B8" s="492">
        <f>B16+B20</f>
        <v>397935</v>
      </c>
      <c r="C8" s="492">
        <f>C16+C20</f>
        <v>210284</v>
      </c>
      <c r="D8" s="366">
        <f aca="true" t="shared" si="0" ref="D8:D24">C8/B8*100</f>
        <v>52.84</v>
      </c>
      <c r="E8" s="492">
        <f>E16+E20</f>
        <v>41732</v>
      </c>
    </row>
    <row r="9" spans="1:5" ht="12">
      <c r="A9" s="510" t="s">
        <v>699</v>
      </c>
      <c r="B9" s="492">
        <f>SUM(B10:B13)</f>
        <v>386721</v>
      </c>
      <c r="C9" s="492">
        <f>SUM(C10:C13)</f>
        <v>203241</v>
      </c>
      <c r="D9" s="366">
        <f t="shared" si="0"/>
        <v>52.55</v>
      </c>
      <c r="E9" s="492">
        <f>SUM(E10:E13)</f>
        <v>39475</v>
      </c>
    </row>
    <row r="10" spans="1:5" ht="12">
      <c r="A10" s="510" t="s">
        <v>700</v>
      </c>
      <c r="B10" s="492">
        <v>214394</v>
      </c>
      <c r="C10" s="492">
        <v>110977</v>
      </c>
      <c r="D10" s="366">
        <f t="shared" si="0"/>
        <v>51.76</v>
      </c>
      <c r="E10" s="492">
        <v>17415</v>
      </c>
    </row>
    <row r="11" spans="1:5" ht="12">
      <c r="A11" s="510" t="s">
        <v>701</v>
      </c>
      <c r="B11" s="492">
        <v>18280</v>
      </c>
      <c r="C11" s="492">
        <v>8734</v>
      </c>
      <c r="D11" s="366">
        <f t="shared" si="0"/>
        <v>47.78</v>
      </c>
      <c r="E11" s="492">
        <v>1223</v>
      </c>
    </row>
    <row r="12" spans="1:5" ht="12">
      <c r="A12" s="510" t="s">
        <v>702</v>
      </c>
      <c r="B12" s="492">
        <v>24745</v>
      </c>
      <c r="C12" s="492">
        <v>13292</v>
      </c>
      <c r="D12" s="366">
        <f t="shared" si="0"/>
        <v>53.72</v>
      </c>
      <c r="E12" s="492">
        <v>2142</v>
      </c>
    </row>
    <row r="13" spans="1:5" ht="12">
      <c r="A13" s="510" t="s">
        <v>703</v>
      </c>
      <c r="B13" s="492">
        <v>129302</v>
      </c>
      <c r="C13" s="492">
        <v>70238</v>
      </c>
      <c r="D13" s="366">
        <f t="shared" si="0"/>
        <v>54.32</v>
      </c>
      <c r="E13" s="492">
        <v>18695</v>
      </c>
    </row>
    <row r="14" spans="1:5" ht="12">
      <c r="A14" s="511" t="s">
        <v>704</v>
      </c>
      <c r="B14" s="492">
        <v>5943</v>
      </c>
      <c r="C14" s="492">
        <v>2336</v>
      </c>
      <c r="D14" s="366">
        <f t="shared" si="0"/>
        <v>39.31</v>
      </c>
      <c r="E14" s="492">
        <v>567</v>
      </c>
    </row>
    <row r="15" spans="1:5" ht="22.5">
      <c r="A15" s="511" t="s">
        <v>705</v>
      </c>
      <c r="B15" s="492">
        <v>24051</v>
      </c>
      <c r="C15" s="492">
        <v>11707</v>
      </c>
      <c r="D15" s="366">
        <f t="shared" si="0"/>
        <v>48.68</v>
      </c>
      <c r="E15" s="492">
        <v>2020</v>
      </c>
    </row>
    <row r="16" spans="1:5" ht="19.5" customHeight="1">
      <c r="A16" s="509" t="s">
        <v>706</v>
      </c>
      <c r="B16" s="492">
        <f>B9-B15-B14</f>
        <v>356727</v>
      </c>
      <c r="C16" s="492">
        <f>C9-C15-C14</f>
        <v>189198</v>
      </c>
      <c r="D16" s="366">
        <f t="shared" si="0"/>
        <v>53.04</v>
      </c>
      <c r="E16" s="492">
        <f>E9-E15-E14</f>
        <v>36888</v>
      </c>
    </row>
    <row r="17" spans="1:5" ht="12">
      <c r="A17" s="510" t="s">
        <v>707</v>
      </c>
      <c r="B17" s="492">
        <f>SUM(B18:B19)</f>
        <v>41208</v>
      </c>
      <c r="C17" s="492">
        <f>SUM(C18:C19)</f>
        <v>21086</v>
      </c>
      <c r="D17" s="366">
        <f t="shared" si="0"/>
        <v>51.17</v>
      </c>
      <c r="E17" s="492">
        <f>SUM(E18:E19)</f>
        <v>4844</v>
      </c>
    </row>
    <row r="18" spans="1:5" ht="12">
      <c r="A18" s="510" t="s">
        <v>708</v>
      </c>
      <c r="B18" s="492">
        <v>37282</v>
      </c>
      <c r="C18" s="492">
        <v>18064</v>
      </c>
      <c r="D18" s="366">
        <f t="shared" si="0"/>
        <v>48.45</v>
      </c>
      <c r="E18" s="492">
        <v>3800</v>
      </c>
    </row>
    <row r="19" spans="1:5" ht="12">
      <c r="A19" s="510" t="s">
        <v>709</v>
      </c>
      <c r="B19" s="492">
        <v>3926</v>
      </c>
      <c r="C19" s="492">
        <v>3022</v>
      </c>
      <c r="D19" s="366">
        <f t="shared" si="0"/>
        <v>76.97</v>
      </c>
      <c r="E19" s="492">
        <v>1044</v>
      </c>
    </row>
    <row r="20" spans="1:5" ht="23.25" customHeight="1">
      <c r="A20" s="509" t="s">
        <v>710</v>
      </c>
      <c r="B20" s="492">
        <v>41208</v>
      </c>
      <c r="C20" s="492">
        <v>21086</v>
      </c>
      <c r="D20" s="366">
        <f t="shared" si="0"/>
        <v>51.17</v>
      </c>
      <c r="E20" s="492">
        <v>4844</v>
      </c>
    </row>
    <row r="21" spans="1:5" ht="35.25" customHeight="1">
      <c r="A21" s="509" t="s">
        <v>711</v>
      </c>
      <c r="B21" s="492">
        <f>SUM(B22:B24)</f>
        <v>408269</v>
      </c>
      <c r="C21" s="492">
        <f>SUM(C22:C24)</f>
        <v>204319</v>
      </c>
      <c r="D21" s="366">
        <f t="shared" si="0"/>
        <v>50.05</v>
      </c>
      <c r="E21" s="492">
        <f>SUM(E22:E24)</f>
        <v>45284</v>
      </c>
    </row>
    <row r="22" spans="1:5" ht="34.5" customHeight="1">
      <c r="A22" s="512" t="s">
        <v>712</v>
      </c>
      <c r="B22" s="492">
        <f aca="true" t="shared" si="1" ref="B22:C24">B34+B43</f>
        <v>359810</v>
      </c>
      <c r="C22" s="492">
        <f t="shared" si="1"/>
        <v>177544</v>
      </c>
      <c r="D22" s="366">
        <f t="shared" si="0"/>
        <v>49.34</v>
      </c>
      <c r="E22" s="492">
        <f>E34+E43</f>
        <v>38156</v>
      </c>
    </row>
    <row r="23" spans="1:5" ht="30.75" customHeight="1">
      <c r="A23" s="512" t="s">
        <v>713</v>
      </c>
      <c r="B23" s="492">
        <f t="shared" si="1"/>
        <v>30443</v>
      </c>
      <c r="C23" s="492">
        <f t="shared" si="1"/>
        <v>11392</v>
      </c>
      <c r="D23" s="366">
        <f t="shared" si="0"/>
        <v>37.42</v>
      </c>
      <c r="E23" s="492">
        <f>E35+E44</f>
        <v>2225</v>
      </c>
    </row>
    <row r="24" spans="1:5" ht="31.5" customHeight="1">
      <c r="A24" s="512" t="s">
        <v>714</v>
      </c>
      <c r="B24" s="492">
        <f t="shared" si="1"/>
        <v>18016</v>
      </c>
      <c r="C24" s="492">
        <f t="shared" si="1"/>
        <v>15383</v>
      </c>
      <c r="D24" s="366">
        <f t="shared" si="0"/>
        <v>85.39</v>
      </c>
      <c r="E24" s="492">
        <f>E36+E45</f>
        <v>4903</v>
      </c>
    </row>
    <row r="25" spans="1:5" ht="59.25" customHeight="1">
      <c r="A25" s="509" t="s">
        <v>715</v>
      </c>
      <c r="B25" s="492">
        <f>B8-B21</f>
        <v>-10334</v>
      </c>
      <c r="C25" s="492">
        <f>C8-C21</f>
        <v>5965</v>
      </c>
      <c r="D25" s="492"/>
      <c r="E25" s="492">
        <f>E8-E21</f>
        <v>-3552</v>
      </c>
    </row>
    <row r="26" spans="1:5" ht="30" customHeight="1">
      <c r="A26" s="509" t="s">
        <v>716</v>
      </c>
      <c r="B26" s="492">
        <f>B38+B47</f>
        <v>-6274</v>
      </c>
      <c r="C26" s="492">
        <f>C38+C47</f>
        <v>-233</v>
      </c>
      <c r="D26" s="492"/>
      <c r="E26" s="492">
        <f>E38+E47</f>
        <v>191</v>
      </c>
    </row>
    <row r="27" spans="1:5" ht="38.25" customHeight="1">
      <c r="A27" s="509" t="s">
        <v>717</v>
      </c>
      <c r="B27" s="492">
        <f>B21+B26</f>
        <v>401995</v>
      </c>
      <c r="C27" s="492">
        <f>C21+C26</f>
        <v>204086</v>
      </c>
      <c r="D27" s="366">
        <f>C27/B27*100</f>
        <v>50.77</v>
      </c>
      <c r="E27" s="492">
        <f>E21+E26</f>
        <v>45475</v>
      </c>
    </row>
    <row r="28" spans="1:5" ht="41.25" customHeight="1">
      <c r="A28" s="509" t="s">
        <v>718</v>
      </c>
      <c r="B28" s="492">
        <f>SUM(B25-B26)</f>
        <v>-4060</v>
      </c>
      <c r="C28" s="492">
        <f>SUM(C25-C26)</f>
        <v>6198</v>
      </c>
      <c r="D28" s="492"/>
      <c r="E28" s="492">
        <f>SUM(E25-E26)</f>
        <v>-3743</v>
      </c>
    </row>
    <row r="29" spans="1:5" ht="18.75" customHeight="1">
      <c r="A29" s="513" t="s">
        <v>719</v>
      </c>
      <c r="B29" s="492">
        <v>384605</v>
      </c>
      <c r="C29" s="492">
        <v>197970</v>
      </c>
      <c r="D29" s="366">
        <f aca="true" t="shared" si="2" ref="D29:D36">C29/B29*100</f>
        <v>51.47</v>
      </c>
      <c r="E29" s="492">
        <v>43382</v>
      </c>
    </row>
    <row r="30" spans="1:5" ht="12">
      <c r="A30" s="511" t="s">
        <v>720</v>
      </c>
      <c r="B30" s="492">
        <v>29994</v>
      </c>
      <c r="C30" s="492">
        <v>14043</v>
      </c>
      <c r="D30" s="366">
        <f t="shared" si="2"/>
        <v>46.82</v>
      </c>
      <c r="E30" s="492">
        <v>2587</v>
      </c>
    </row>
    <row r="31" spans="1:5" ht="17.25" customHeight="1">
      <c r="A31" s="513" t="s">
        <v>721</v>
      </c>
      <c r="B31" s="492">
        <f>SUM(B29-B30)</f>
        <v>354611</v>
      </c>
      <c r="C31" s="492">
        <f>SUM(C29-C30)</f>
        <v>183927</v>
      </c>
      <c r="D31" s="366">
        <f t="shared" si="2"/>
        <v>51.87</v>
      </c>
      <c r="E31" s="492">
        <f>SUM(E29-E30)</f>
        <v>40795</v>
      </c>
    </row>
    <row r="32" spans="1:5" ht="15.75" customHeight="1">
      <c r="A32" s="514" t="s">
        <v>722</v>
      </c>
      <c r="B32" s="492">
        <v>351907</v>
      </c>
      <c r="C32" s="492">
        <v>176384</v>
      </c>
      <c r="D32" s="366">
        <f t="shared" si="2"/>
        <v>50.12</v>
      </c>
      <c r="E32" s="492">
        <v>37806</v>
      </c>
    </row>
    <row r="33" spans="1:5" ht="12">
      <c r="A33" s="511" t="s">
        <v>720</v>
      </c>
      <c r="B33" s="492">
        <v>29994</v>
      </c>
      <c r="C33" s="492">
        <v>14043</v>
      </c>
      <c r="D33" s="366">
        <f t="shared" si="2"/>
        <v>46.82</v>
      </c>
      <c r="E33" s="492">
        <v>2587</v>
      </c>
    </row>
    <row r="34" spans="1:5" ht="12">
      <c r="A34" s="514" t="s">
        <v>723</v>
      </c>
      <c r="B34" s="492">
        <f>B32-B33</f>
        <v>321913</v>
      </c>
      <c r="C34" s="492">
        <f>C32-C33</f>
        <v>162341</v>
      </c>
      <c r="D34" s="366">
        <f t="shared" si="2"/>
        <v>50.43</v>
      </c>
      <c r="E34" s="492">
        <f>E32-E33</f>
        <v>35219</v>
      </c>
    </row>
    <row r="35" spans="1:5" ht="12">
      <c r="A35" s="514" t="s">
        <v>724</v>
      </c>
      <c r="B35" s="492">
        <v>17179</v>
      </c>
      <c r="C35" s="492">
        <v>7586</v>
      </c>
      <c r="D35" s="366">
        <f t="shared" si="2"/>
        <v>44.16</v>
      </c>
      <c r="E35" s="492">
        <v>1938</v>
      </c>
    </row>
    <row r="36" spans="1:5" ht="12">
      <c r="A36" s="514" t="s">
        <v>725</v>
      </c>
      <c r="B36" s="492">
        <v>15519</v>
      </c>
      <c r="C36" s="492">
        <v>14000</v>
      </c>
      <c r="D36" s="366">
        <f t="shared" si="2"/>
        <v>90.21</v>
      </c>
      <c r="E36" s="492">
        <v>3638</v>
      </c>
    </row>
    <row r="37" spans="1:5" s="515" customFormat="1" ht="42" customHeight="1">
      <c r="A37" s="509" t="s">
        <v>726</v>
      </c>
      <c r="B37" s="492">
        <f>B16-B31</f>
        <v>2116</v>
      </c>
      <c r="C37" s="492">
        <f>C16-C31</f>
        <v>5271</v>
      </c>
      <c r="D37" s="366"/>
      <c r="E37" s="492">
        <f>E16-E31</f>
        <v>-3907</v>
      </c>
    </row>
    <row r="38" spans="1:5" s="515" customFormat="1" ht="27" customHeight="1">
      <c r="A38" s="513" t="s">
        <v>727</v>
      </c>
      <c r="B38" s="492">
        <f>B39-B40</f>
        <v>-243</v>
      </c>
      <c r="C38" s="492">
        <f>C39-C40</f>
        <v>689</v>
      </c>
      <c r="D38" s="492"/>
      <c r="E38" s="492">
        <f>E39-E40</f>
        <v>126</v>
      </c>
    </row>
    <row r="39" spans="1:5" s="515" customFormat="1" ht="15.75" customHeight="1">
      <c r="A39" s="514" t="s">
        <v>728</v>
      </c>
      <c r="B39" s="492">
        <v>685</v>
      </c>
      <c r="C39" s="492">
        <v>1169</v>
      </c>
      <c r="D39" s="492"/>
      <c r="E39" s="492">
        <v>160</v>
      </c>
    </row>
    <row r="40" spans="1:5" s="515" customFormat="1" ht="18" customHeight="1">
      <c r="A40" s="514" t="s">
        <v>729</v>
      </c>
      <c r="B40" s="492">
        <v>928</v>
      </c>
      <c r="C40" s="492">
        <v>480</v>
      </c>
      <c r="D40" s="492"/>
      <c r="E40" s="492">
        <v>34</v>
      </c>
    </row>
    <row r="41" spans="1:5" s="515" customFormat="1" ht="38.25" customHeight="1">
      <c r="A41" s="509" t="s">
        <v>730</v>
      </c>
      <c r="B41" s="492">
        <f>SUM(B37-B38)</f>
        <v>2359</v>
      </c>
      <c r="C41" s="492">
        <f>SUM(C37-C38)</f>
        <v>4582</v>
      </c>
      <c r="D41" s="366"/>
      <c r="E41" s="492">
        <f>SUM(E37-E38)</f>
        <v>-4033</v>
      </c>
    </row>
    <row r="42" spans="1:5" s="515" customFormat="1" ht="23.25" customHeight="1">
      <c r="A42" s="513" t="s">
        <v>731</v>
      </c>
      <c r="B42" s="492">
        <f>SUM(B43:B45)</f>
        <v>53658</v>
      </c>
      <c r="C42" s="492">
        <f>SUM(C43:C45)</f>
        <v>20392</v>
      </c>
      <c r="D42" s="366">
        <f>C42/B42*100</f>
        <v>38</v>
      </c>
      <c r="E42" s="492">
        <f>SUM(E43:E45)</f>
        <v>4489</v>
      </c>
    </row>
    <row r="43" spans="1:5" s="515" customFormat="1" ht="12">
      <c r="A43" s="514" t="s">
        <v>732</v>
      </c>
      <c r="B43" s="492">
        <v>37897</v>
      </c>
      <c r="C43" s="492">
        <v>15203</v>
      </c>
      <c r="D43" s="366">
        <f>C43/B43*100</f>
        <v>40.12</v>
      </c>
      <c r="E43" s="492">
        <v>2937</v>
      </c>
    </row>
    <row r="44" spans="1:5" s="515" customFormat="1" ht="12">
      <c r="A44" s="514" t="s">
        <v>733</v>
      </c>
      <c r="B44" s="492">
        <v>13264</v>
      </c>
      <c r="C44" s="492">
        <v>3806</v>
      </c>
      <c r="D44" s="366">
        <f>C44/B44*100</f>
        <v>28.69</v>
      </c>
      <c r="E44" s="492">
        <v>287</v>
      </c>
    </row>
    <row r="45" spans="1:5" s="515" customFormat="1" ht="12">
      <c r="A45" s="514" t="s">
        <v>734</v>
      </c>
      <c r="B45" s="492">
        <v>2497</v>
      </c>
      <c r="C45" s="492">
        <v>1383</v>
      </c>
      <c r="D45" s="366">
        <f>C45/B45*100</f>
        <v>55.39</v>
      </c>
      <c r="E45" s="492">
        <v>1265</v>
      </c>
    </row>
    <row r="46" spans="1:14" s="515" customFormat="1" ht="46.5" customHeight="1">
      <c r="A46" s="509" t="s">
        <v>735</v>
      </c>
      <c r="B46" s="492">
        <f>SUM(B20-B42)</f>
        <v>-12450</v>
      </c>
      <c r="C46" s="492">
        <f>SUM(C20-C42)</f>
        <v>694</v>
      </c>
      <c r="D46" s="492"/>
      <c r="E46" s="492">
        <f>SUM(E20-E42)</f>
        <v>355</v>
      </c>
      <c r="N46" s="300"/>
    </row>
    <row r="47" spans="1:5" s="515" customFormat="1" ht="18.75" customHeight="1">
      <c r="A47" s="513" t="s">
        <v>736</v>
      </c>
      <c r="B47" s="492">
        <f>B48-B49</f>
        <v>-6031</v>
      </c>
      <c r="C47" s="492">
        <f>C48-C49</f>
        <v>-922</v>
      </c>
      <c r="D47" s="492"/>
      <c r="E47" s="492">
        <f>E48-E49</f>
        <v>65</v>
      </c>
    </row>
    <row r="48" spans="1:5" s="515" customFormat="1" ht="12">
      <c r="A48" s="514" t="s">
        <v>737</v>
      </c>
      <c r="B48" s="492">
        <v>1027</v>
      </c>
      <c r="C48" s="492">
        <v>1929</v>
      </c>
      <c r="D48" s="492"/>
      <c r="E48" s="492">
        <v>278</v>
      </c>
    </row>
    <row r="49" spans="1:5" s="515" customFormat="1" ht="12">
      <c r="A49" s="514" t="s">
        <v>738</v>
      </c>
      <c r="B49" s="492">
        <v>7058</v>
      </c>
      <c r="C49" s="492">
        <v>2851</v>
      </c>
      <c r="E49" s="492">
        <v>213</v>
      </c>
    </row>
    <row r="50" spans="1:5" s="515" customFormat="1" ht="46.5" customHeight="1">
      <c r="A50" s="509" t="s">
        <v>0</v>
      </c>
      <c r="B50" s="492">
        <f>SUM(B46-B47)</f>
        <v>-6419</v>
      </c>
      <c r="C50" s="492">
        <f>SUM(C46-C47)</f>
        <v>1616</v>
      </c>
      <c r="E50" s="492">
        <f>SUM(E46-E47)</f>
        <v>290</v>
      </c>
    </row>
    <row r="51" s="300" customFormat="1" ht="12.75">
      <c r="A51" s="382"/>
    </row>
    <row r="52" s="300" customFormat="1" ht="12.75">
      <c r="A52" s="382"/>
    </row>
    <row r="53" s="300" customFormat="1" ht="12.75">
      <c r="A53" s="382"/>
    </row>
    <row r="54" s="300" customFormat="1" ht="12.75">
      <c r="A54" s="382"/>
    </row>
    <row r="55" s="300" customFormat="1" ht="12.75">
      <c r="A55" s="382"/>
    </row>
    <row r="56" s="300" customFormat="1" ht="12.75">
      <c r="A56" s="382"/>
    </row>
    <row r="57" spans="1:4" s="300" customFormat="1" ht="12.75">
      <c r="A57" s="344" t="s">
        <v>1</v>
      </c>
      <c r="B57" s="516"/>
      <c r="C57" s="321"/>
      <c r="D57" s="321" t="s">
        <v>479</v>
      </c>
    </row>
    <row r="58" s="300" customFormat="1" ht="12.75">
      <c r="A58" s="382"/>
    </row>
    <row r="59" s="300" customFormat="1" ht="12.75">
      <c r="A59" s="382"/>
    </row>
    <row r="60" s="300" customFormat="1" ht="12.75">
      <c r="A60" s="382"/>
    </row>
    <row r="61" s="300" customFormat="1" ht="12.75">
      <c r="A61" s="382"/>
    </row>
    <row r="62" s="300" customFormat="1" ht="12.75">
      <c r="A62" s="382"/>
    </row>
    <row r="63" s="300" customFormat="1" ht="12.75">
      <c r="A63" s="382"/>
    </row>
    <row r="64" s="300" customFormat="1" ht="12.75">
      <c r="A64" s="382"/>
    </row>
    <row r="65" s="300" customFormat="1" ht="12.75">
      <c r="A65" s="382"/>
    </row>
    <row r="66" s="300" customFormat="1" ht="12.75">
      <c r="A66" s="382"/>
    </row>
    <row r="67" s="300" customFormat="1" ht="12.75">
      <c r="A67" s="382"/>
    </row>
    <row r="68" s="300" customFormat="1" ht="12.75">
      <c r="A68" s="382"/>
    </row>
    <row r="69" s="300" customFormat="1" ht="12.75">
      <c r="A69" s="431"/>
    </row>
    <row r="70" s="300" customFormat="1" ht="12.75">
      <c r="A70" s="431" t="s">
        <v>613</v>
      </c>
    </row>
    <row r="71" s="300" customFormat="1" ht="12.75">
      <c r="A71" s="431" t="s">
        <v>614</v>
      </c>
    </row>
    <row r="72" s="300" customFormat="1" ht="12.75">
      <c r="A72" s="382"/>
    </row>
    <row r="73" s="300" customFormat="1" ht="12.75">
      <c r="A73" s="382"/>
    </row>
    <row r="74" s="300" customFormat="1" ht="12.75">
      <c r="A74" s="382"/>
    </row>
    <row r="75" s="300" customFormat="1" ht="12.75">
      <c r="A75" s="382"/>
    </row>
    <row r="76" s="300" customFormat="1" ht="12.75">
      <c r="A76" s="382"/>
    </row>
    <row r="77" s="300" customFormat="1" ht="12.75">
      <c r="A77" s="382"/>
    </row>
    <row r="78" s="300" customFormat="1" ht="12.75">
      <c r="A78" s="382"/>
    </row>
    <row r="79" ht="11.25">
      <c r="A79" s="383"/>
    </row>
    <row r="80" ht="11.25">
      <c r="A80" s="383"/>
    </row>
    <row r="81" ht="11.25">
      <c r="A81" s="383"/>
    </row>
    <row r="82" ht="11.25">
      <c r="A82" s="383"/>
    </row>
    <row r="83" ht="11.25">
      <c r="A83" s="383"/>
    </row>
    <row r="84" ht="11.25">
      <c r="A84" s="383"/>
    </row>
    <row r="85" ht="11.25">
      <c r="A85" s="383"/>
    </row>
    <row r="86" ht="11.25">
      <c r="A86" s="383"/>
    </row>
    <row r="87" ht="11.25">
      <c r="A87" s="383"/>
    </row>
    <row r="88" ht="11.25">
      <c r="A88" s="383"/>
    </row>
    <row r="89" ht="11.25">
      <c r="A89" s="383"/>
    </row>
    <row r="90" ht="11.25">
      <c r="A90" s="383"/>
    </row>
    <row r="91" ht="11.25">
      <c r="A91" s="383"/>
    </row>
    <row r="92" ht="11.25">
      <c r="A92" s="383"/>
    </row>
    <row r="93" ht="11.25">
      <c r="A93" s="383"/>
    </row>
    <row r="94" ht="11.25">
      <c r="A94" s="383"/>
    </row>
    <row r="95" ht="11.25">
      <c r="A95" s="383"/>
    </row>
    <row r="96" ht="11.25">
      <c r="A96" s="383"/>
    </row>
    <row r="97" ht="11.25">
      <c r="A97" s="383"/>
    </row>
    <row r="98" ht="11.25">
      <c r="A98" s="383"/>
    </row>
    <row r="99" ht="11.25">
      <c r="A99" s="383"/>
    </row>
    <row r="100" ht="11.25">
      <c r="A100" s="383"/>
    </row>
    <row r="101" ht="11.25">
      <c r="A101" s="383"/>
    </row>
    <row r="102" ht="11.25">
      <c r="A102" s="383"/>
    </row>
    <row r="103" ht="11.25">
      <c r="A103" s="383"/>
    </row>
    <row r="104" ht="11.25">
      <c r="A104" s="383"/>
    </row>
    <row r="105" ht="11.25">
      <c r="A105" s="383"/>
    </row>
    <row r="106" ht="11.25">
      <c r="A106" s="383"/>
    </row>
    <row r="107" ht="11.25">
      <c r="A107" s="383"/>
    </row>
    <row r="108" ht="11.25">
      <c r="A108" s="383"/>
    </row>
    <row r="109" ht="11.25">
      <c r="A109" s="383"/>
    </row>
    <row r="110" ht="11.25">
      <c r="A110" s="383"/>
    </row>
    <row r="111" ht="11.25">
      <c r="A111" s="383"/>
    </row>
    <row r="112" ht="11.25">
      <c r="A112" s="383"/>
    </row>
    <row r="113" ht="11.25">
      <c r="A113" s="383"/>
    </row>
    <row r="114" ht="11.25">
      <c r="A114" s="383"/>
    </row>
    <row r="115" ht="11.25">
      <c r="A115" s="383"/>
    </row>
    <row r="116" ht="11.25">
      <c r="A116" s="383"/>
    </row>
    <row r="117" ht="11.25">
      <c r="A117" s="383"/>
    </row>
    <row r="118" ht="11.25">
      <c r="A118" s="383"/>
    </row>
    <row r="119" ht="11.25">
      <c r="A119" s="383"/>
    </row>
    <row r="120" ht="11.25">
      <c r="A120" s="383"/>
    </row>
    <row r="121" ht="11.25">
      <c r="A121" s="383"/>
    </row>
    <row r="122" ht="11.25">
      <c r="A122" s="383"/>
    </row>
    <row r="123" ht="11.25">
      <c r="A123" s="383"/>
    </row>
    <row r="124" ht="11.25">
      <c r="A124" s="383"/>
    </row>
    <row r="125" ht="11.25">
      <c r="A125" s="383"/>
    </row>
  </sheetData>
  <printOptions/>
  <pageMargins left="0.39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I58"/>
  <sheetViews>
    <sheetView showGridLines="0" showZeros="0" workbookViewId="0" topLeftCell="A31">
      <selection activeCell="A45" sqref="A45"/>
    </sheetView>
  </sheetViews>
  <sheetFormatPr defaultColWidth="9.140625" defaultRowHeight="12.75"/>
  <cols>
    <col min="1" max="1" width="37.57421875" style="294" customWidth="1"/>
    <col min="2" max="5" width="12.7109375" style="288" customWidth="1"/>
    <col min="6" max="16384" width="7.421875" style="288" customWidth="1"/>
  </cols>
  <sheetData>
    <row r="1" spans="1:5" ht="12.75">
      <c r="A1" s="286" t="s">
        <v>439</v>
      </c>
      <c r="B1" s="286"/>
      <c r="C1" s="287"/>
      <c r="D1" s="287"/>
      <c r="E1" s="287" t="s">
        <v>440</v>
      </c>
    </row>
    <row r="2" spans="1:7" s="287" customFormat="1" ht="12.75">
      <c r="A2" s="286"/>
      <c r="B2" s="286"/>
      <c r="E2" s="289"/>
      <c r="G2" s="286" t="s">
        <v>441</v>
      </c>
    </row>
    <row r="4" spans="1:6" s="293" customFormat="1" ht="15.75">
      <c r="A4" s="290" t="s">
        <v>442</v>
      </c>
      <c r="B4" s="291"/>
      <c r="C4" s="292"/>
      <c r="D4" s="292"/>
      <c r="E4" s="292"/>
      <c r="F4" s="292"/>
    </row>
    <row r="5" spans="1:6" s="293" customFormat="1" ht="15.75">
      <c r="A5" s="290" t="s">
        <v>443</v>
      </c>
      <c r="B5" s="291"/>
      <c r="C5" s="292"/>
      <c r="D5" s="292"/>
      <c r="E5" s="292"/>
      <c r="F5" s="292"/>
    </row>
    <row r="6" spans="2:4" ht="11.25">
      <c r="B6" s="265"/>
      <c r="C6" s="265"/>
      <c r="D6" s="265"/>
    </row>
    <row r="7" spans="3:9" ht="12.75" customHeight="1">
      <c r="C7" s="265"/>
      <c r="D7" s="265"/>
      <c r="E7" s="265"/>
      <c r="F7" s="295"/>
      <c r="G7" s="295"/>
      <c r="H7" s="295"/>
      <c r="I7" s="295"/>
    </row>
    <row r="8" spans="1:5" s="295" customFormat="1" ht="12.75" customHeight="1">
      <c r="A8" s="296"/>
      <c r="B8" s="296"/>
      <c r="C8" s="297"/>
      <c r="D8" s="297"/>
      <c r="E8" s="297" t="s">
        <v>100</v>
      </c>
    </row>
    <row r="9" spans="1:8" s="295" customFormat="1" ht="40.5" customHeight="1">
      <c r="A9" s="298" t="s">
        <v>7</v>
      </c>
      <c r="B9" s="299" t="s">
        <v>444</v>
      </c>
      <c r="C9" s="299" t="s">
        <v>9</v>
      </c>
      <c r="D9" s="299" t="s">
        <v>445</v>
      </c>
      <c r="E9" s="299" t="s">
        <v>170</v>
      </c>
      <c r="F9" s="300"/>
      <c r="G9" s="300"/>
      <c r="H9" s="300"/>
    </row>
    <row r="10" spans="1:8" s="295" customFormat="1" ht="12.75">
      <c r="A10" s="301" t="s">
        <v>446</v>
      </c>
      <c r="B10" s="301">
        <v>2</v>
      </c>
      <c r="C10" s="301">
        <v>3</v>
      </c>
      <c r="D10" s="301">
        <v>4</v>
      </c>
      <c r="E10" s="301">
        <v>5</v>
      </c>
      <c r="F10" s="300"/>
      <c r="G10" s="300"/>
      <c r="H10" s="300"/>
    </row>
    <row r="11" spans="1:6" s="300" customFormat="1" ht="12.75">
      <c r="A11" s="302" t="s">
        <v>447</v>
      </c>
      <c r="B11" s="303">
        <v>386721</v>
      </c>
      <c r="C11" s="303">
        <v>203241</v>
      </c>
      <c r="D11" s="304">
        <f aca="true" t="shared" si="0" ref="D11:D39">C11/B11*100</f>
        <v>52.55</v>
      </c>
      <c r="E11" s="303">
        <v>39475</v>
      </c>
      <c r="F11" s="288"/>
    </row>
    <row r="12" spans="1:7" ht="25.5">
      <c r="A12" s="305" t="s">
        <v>448</v>
      </c>
      <c r="B12" s="303">
        <v>257419</v>
      </c>
      <c r="C12" s="303">
        <v>133003</v>
      </c>
      <c r="D12" s="304">
        <f t="shared" si="0"/>
        <v>51.67</v>
      </c>
      <c r="E12" s="303">
        <v>20780</v>
      </c>
      <c r="F12" s="300"/>
      <c r="G12" s="300"/>
    </row>
    <row r="13" spans="1:5" s="300" customFormat="1" ht="12.75">
      <c r="A13" s="306" t="s">
        <v>449</v>
      </c>
      <c r="B13" s="303">
        <v>214394</v>
      </c>
      <c r="C13" s="303">
        <v>110977</v>
      </c>
      <c r="D13" s="304">
        <f t="shared" si="0"/>
        <v>51.76</v>
      </c>
      <c r="E13" s="303">
        <v>17415</v>
      </c>
    </row>
    <row r="14" spans="1:6" s="300" customFormat="1" ht="12.75">
      <c r="A14" s="307" t="s">
        <v>133</v>
      </c>
      <c r="B14" s="303">
        <v>213683</v>
      </c>
      <c r="C14" s="303">
        <v>110526</v>
      </c>
      <c r="D14" s="304">
        <f t="shared" si="0"/>
        <v>51.72</v>
      </c>
      <c r="E14" s="303">
        <v>17405</v>
      </c>
      <c r="F14" s="288"/>
    </row>
    <row r="15" spans="1:6" s="295" customFormat="1" ht="12">
      <c r="A15" s="308" t="s">
        <v>450</v>
      </c>
      <c r="B15" s="303">
        <v>174213</v>
      </c>
      <c r="C15" s="303">
        <v>85719</v>
      </c>
      <c r="D15" s="304">
        <f t="shared" si="0"/>
        <v>49.2</v>
      </c>
      <c r="E15" s="303">
        <v>14389</v>
      </c>
      <c r="F15" s="288"/>
    </row>
    <row r="16" spans="1:6" s="295" customFormat="1" ht="12">
      <c r="A16" s="308" t="s">
        <v>451</v>
      </c>
      <c r="B16" s="303">
        <v>21071</v>
      </c>
      <c r="C16" s="303">
        <v>10318</v>
      </c>
      <c r="D16" s="304">
        <f t="shared" si="0"/>
        <v>48.97</v>
      </c>
      <c r="E16" s="303">
        <v>1006</v>
      </c>
      <c r="F16" s="288"/>
    </row>
    <row r="17" spans="1:6" s="295" customFormat="1" ht="12">
      <c r="A17" s="308" t="s">
        <v>452</v>
      </c>
      <c r="B17" s="303">
        <v>17608</v>
      </c>
      <c r="C17" s="303">
        <v>13399</v>
      </c>
      <c r="D17" s="304">
        <f t="shared" si="0"/>
        <v>76.1</v>
      </c>
      <c r="E17" s="303">
        <v>1803</v>
      </c>
      <c r="F17" s="288"/>
    </row>
    <row r="18" spans="1:6" s="295" customFormat="1" ht="12">
      <c r="A18" s="308" t="s">
        <v>453</v>
      </c>
      <c r="B18" s="303">
        <v>791</v>
      </c>
      <c r="C18" s="303">
        <v>1090</v>
      </c>
      <c r="D18" s="304">
        <f t="shared" si="0"/>
        <v>137.8</v>
      </c>
      <c r="E18" s="303">
        <v>207</v>
      </c>
      <c r="F18" s="288"/>
    </row>
    <row r="19" spans="1:6" s="300" customFormat="1" ht="12.75">
      <c r="A19" s="307" t="s">
        <v>135</v>
      </c>
      <c r="B19" s="303">
        <v>711</v>
      </c>
      <c r="C19" s="303">
        <v>451</v>
      </c>
      <c r="D19" s="304">
        <f t="shared" si="0"/>
        <v>63.43</v>
      </c>
      <c r="E19" s="303">
        <v>10</v>
      </c>
      <c r="F19" s="288"/>
    </row>
    <row r="20" spans="1:5" ht="12">
      <c r="A20" s="308" t="s">
        <v>454</v>
      </c>
      <c r="B20" s="303">
        <v>711</v>
      </c>
      <c r="C20" s="303">
        <v>451</v>
      </c>
      <c r="D20" s="304">
        <f t="shared" si="0"/>
        <v>63.43</v>
      </c>
      <c r="E20" s="303">
        <v>10</v>
      </c>
    </row>
    <row r="21" spans="1:5" s="300" customFormat="1" ht="12.75">
      <c r="A21" s="306" t="s">
        <v>455</v>
      </c>
      <c r="B21" s="303">
        <v>18280</v>
      </c>
      <c r="C21" s="303">
        <v>8734</v>
      </c>
      <c r="D21" s="304">
        <f t="shared" si="0"/>
        <v>47.78</v>
      </c>
      <c r="E21" s="303">
        <v>1223</v>
      </c>
    </row>
    <row r="22" spans="1:7" ht="12.75">
      <c r="A22" s="308" t="s">
        <v>456</v>
      </c>
      <c r="B22" s="303">
        <v>328</v>
      </c>
      <c r="C22" s="303">
        <v>178</v>
      </c>
      <c r="D22" s="304">
        <f t="shared" si="0"/>
        <v>54.27</v>
      </c>
      <c r="E22" s="303">
        <v>11</v>
      </c>
      <c r="F22" s="300"/>
      <c r="G22" s="300"/>
    </row>
    <row r="23" spans="1:7" ht="12.75">
      <c r="A23" s="308" t="s">
        <v>457</v>
      </c>
      <c r="B23" s="303">
        <v>3229</v>
      </c>
      <c r="C23" s="303">
        <v>1966</v>
      </c>
      <c r="D23" s="304">
        <f t="shared" si="0"/>
        <v>60.89</v>
      </c>
      <c r="E23" s="303">
        <v>426</v>
      </c>
      <c r="F23" s="300"/>
      <c r="G23" s="300"/>
    </row>
    <row r="24" spans="1:7" ht="12.75">
      <c r="A24" s="308" t="s">
        <v>458</v>
      </c>
      <c r="B24" s="303">
        <v>280</v>
      </c>
      <c r="C24" s="303">
        <v>137</v>
      </c>
      <c r="D24" s="304">
        <f t="shared" si="0"/>
        <v>48.93</v>
      </c>
      <c r="E24" s="303">
        <v>-80</v>
      </c>
      <c r="F24" s="300"/>
      <c r="G24" s="300"/>
    </row>
    <row r="25" spans="1:7" ht="12.75">
      <c r="A25" s="308" t="s">
        <v>459</v>
      </c>
      <c r="B25" s="303">
        <v>13648</v>
      </c>
      <c r="C25" s="303">
        <v>6146</v>
      </c>
      <c r="D25" s="304">
        <f t="shared" si="0"/>
        <v>45.03</v>
      </c>
      <c r="E25" s="303">
        <v>879</v>
      </c>
      <c r="F25" s="300"/>
      <c r="G25" s="300"/>
    </row>
    <row r="26" spans="1:7" ht="22.5">
      <c r="A26" s="309" t="s">
        <v>460</v>
      </c>
      <c r="B26" s="303">
        <v>706</v>
      </c>
      <c r="C26" s="303">
        <v>231</v>
      </c>
      <c r="D26" s="304">
        <f t="shared" si="0"/>
        <v>32.72</v>
      </c>
      <c r="E26" s="303">
        <v>-11</v>
      </c>
      <c r="F26" s="300"/>
      <c r="G26" s="300"/>
    </row>
    <row r="27" spans="1:7" ht="12.75">
      <c r="A27" s="308" t="s">
        <v>461</v>
      </c>
      <c r="B27" s="303">
        <v>88</v>
      </c>
      <c r="C27" s="303">
        <v>76</v>
      </c>
      <c r="D27" s="304">
        <f t="shared" si="0"/>
        <v>86.36</v>
      </c>
      <c r="E27" s="303">
        <v>-2</v>
      </c>
      <c r="F27" s="300"/>
      <c r="G27" s="300"/>
    </row>
    <row r="28" spans="1:7" ht="38.25">
      <c r="A28" s="310" t="s">
        <v>462</v>
      </c>
      <c r="B28" s="303">
        <v>24745</v>
      </c>
      <c r="C28" s="303">
        <v>13292</v>
      </c>
      <c r="D28" s="304">
        <f t="shared" si="0"/>
        <v>53.72</v>
      </c>
      <c r="E28" s="303">
        <v>2142</v>
      </c>
      <c r="F28" s="300"/>
      <c r="G28" s="300"/>
    </row>
    <row r="29" spans="1:7" ht="12.75">
      <c r="A29" s="306" t="s">
        <v>463</v>
      </c>
      <c r="B29" s="303">
        <v>129302</v>
      </c>
      <c r="C29" s="303">
        <v>70238</v>
      </c>
      <c r="D29" s="304">
        <f t="shared" si="0"/>
        <v>54.32</v>
      </c>
      <c r="E29" s="303">
        <v>18695</v>
      </c>
      <c r="F29" s="300"/>
      <c r="G29" s="300"/>
    </row>
    <row r="30" spans="1:7" ht="12.75">
      <c r="A30" s="311" t="s">
        <v>464</v>
      </c>
      <c r="B30" s="303">
        <v>5943</v>
      </c>
      <c r="C30" s="303">
        <v>2336</v>
      </c>
      <c r="D30" s="304">
        <f t="shared" si="0"/>
        <v>39.31</v>
      </c>
      <c r="E30" s="303">
        <v>567</v>
      </c>
      <c r="F30" s="300"/>
      <c r="G30" s="300"/>
    </row>
    <row r="31" spans="1:7" ht="22.5">
      <c r="A31" s="309" t="s">
        <v>465</v>
      </c>
      <c r="B31" s="303">
        <v>4980</v>
      </c>
      <c r="C31" s="303">
        <v>1860</v>
      </c>
      <c r="D31" s="304">
        <f t="shared" si="0"/>
        <v>37.35</v>
      </c>
      <c r="E31" s="303">
        <v>446</v>
      </c>
      <c r="F31" s="300"/>
      <c r="G31" s="300"/>
    </row>
    <row r="32" spans="1:7" ht="22.5">
      <c r="A32" s="309" t="s">
        <v>466</v>
      </c>
      <c r="B32" s="303">
        <v>202</v>
      </c>
      <c r="C32" s="303">
        <v>87</v>
      </c>
      <c r="D32" s="304">
        <f t="shared" si="0"/>
        <v>43.07</v>
      </c>
      <c r="E32" s="303">
        <v>21</v>
      </c>
      <c r="F32" s="300"/>
      <c r="G32" s="300"/>
    </row>
    <row r="33" spans="1:7" ht="12.75">
      <c r="A33" s="308" t="s">
        <v>467</v>
      </c>
      <c r="B33" s="303">
        <v>761</v>
      </c>
      <c r="C33" s="303">
        <v>389</v>
      </c>
      <c r="D33" s="304">
        <f t="shared" si="0"/>
        <v>51.12</v>
      </c>
      <c r="E33" s="303">
        <v>100</v>
      </c>
      <c r="F33" s="300"/>
      <c r="G33" s="300"/>
    </row>
    <row r="34" spans="1:7" ht="12.75">
      <c r="A34" s="311" t="s">
        <v>468</v>
      </c>
      <c r="B34" s="303">
        <v>92640</v>
      </c>
      <c r="C34" s="303">
        <v>52399</v>
      </c>
      <c r="D34" s="304">
        <f t="shared" si="0"/>
        <v>56.56</v>
      </c>
      <c r="E34" s="303">
        <v>15552</v>
      </c>
      <c r="F34" s="300"/>
      <c r="G34" s="300"/>
    </row>
    <row r="35" spans="1:7" ht="12.75">
      <c r="A35" s="308" t="s">
        <v>469</v>
      </c>
      <c r="B35" s="303">
        <v>77</v>
      </c>
      <c r="C35" s="303">
        <v>20</v>
      </c>
      <c r="D35" s="304">
        <f t="shared" si="0"/>
        <v>25.97</v>
      </c>
      <c r="E35" s="303">
        <v>0</v>
      </c>
      <c r="F35" s="300"/>
      <c r="G35" s="300"/>
    </row>
    <row r="36" spans="1:5" ht="12">
      <c r="A36" s="308" t="s">
        <v>470</v>
      </c>
      <c r="B36" s="303">
        <v>30</v>
      </c>
      <c r="C36" s="303">
        <v>20</v>
      </c>
      <c r="D36" s="304">
        <f t="shared" si="0"/>
        <v>66.67</v>
      </c>
      <c r="E36" s="303">
        <v>0</v>
      </c>
    </row>
    <row r="37" spans="1:5" ht="12">
      <c r="A37" s="308" t="s">
        <v>471</v>
      </c>
      <c r="B37" s="303">
        <v>92563</v>
      </c>
      <c r="C37" s="303">
        <v>52379</v>
      </c>
      <c r="D37" s="304">
        <f t="shared" si="0"/>
        <v>56.59</v>
      </c>
      <c r="E37" s="303">
        <v>15552</v>
      </c>
    </row>
    <row r="38" spans="1:5" ht="22.5">
      <c r="A38" s="312" t="s">
        <v>472</v>
      </c>
      <c r="B38" s="303">
        <v>30149</v>
      </c>
      <c r="C38" s="303">
        <v>15112</v>
      </c>
      <c r="D38" s="304">
        <f t="shared" si="0"/>
        <v>50.12</v>
      </c>
      <c r="E38" s="303">
        <v>2483</v>
      </c>
    </row>
    <row r="39" spans="1:5" ht="12">
      <c r="A39" s="308" t="s">
        <v>469</v>
      </c>
      <c r="B39" s="303">
        <v>30149</v>
      </c>
      <c r="C39" s="303">
        <v>15112</v>
      </c>
      <c r="D39" s="304">
        <f t="shared" si="0"/>
        <v>50.12</v>
      </c>
      <c r="E39" s="303">
        <v>2483</v>
      </c>
    </row>
    <row r="40" spans="1:5" ht="12">
      <c r="A40" s="308" t="s">
        <v>473</v>
      </c>
      <c r="B40" s="303">
        <v>0</v>
      </c>
      <c r="C40" s="303">
        <v>0</v>
      </c>
      <c r="D40" s="304"/>
      <c r="E40" s="303">
        <v>0</v>
      </c>
    </row>
    <row r="41" spans="1:5" ht="22.5">
      <c r="A41" s="309" t="s">
        <v>474</v>
      </c>
      <c r="B41" s="303"/>
      <c r="C41" s="303">
        <v>0</v>
      </c>
      <c r="D41" s="304"/>
      <c r="E41" s="303">
        <v>0</v>
      </c>
    </row>
    <row r="42" spans="1:5" ht="12">
      <c r="A42" s="311" t="s">
        <v>475</v>
      </c>
      <c r="B42" s="303">
        <v>570</v>
      </c>
      <c r="C42" s="303">
        <v>391</v>
      </c>
      <c r="D42" s="304">
        <f>C42/B42*100</f>
        <v>68.6</v>
      </c>
      <c r="E42" s="303">
        <v>93</v>
      </c>
    </row>
    <row r="43" spans="1:5" ht="12">
      <c r="A43" s="313" t="s">
        <v>476</v>
      </c>
      <c r="B43" s="314"/>
      <c r="C43" s="314"/>
      <c r="D43" s="315"/>
      <c r="E43" s="316"/>
    </row>
    <row r="44" spans="1:5" ht="12.75">
      <c r="A44" s="313" t="s">
        <v>477</v>
      </c>
      <c r="B44" s="317"/>
      <c r="C44" s="317"/>
      <c r="D44" s="317"/>
      <c r="E44" s="316"/>
    </row>
    <row r="45" spans="1:5" ht="12.75">
      <c r="A45" s="313"/>
      <c r="B45" s="317"/>
      <c r="C45" s="317"/>
      <c r="D45" s="317"/>
      <c r="E45" s="316"/>
    </row>
    <row r="46" spans="1:5" ht="12.75">
      <c r="A46" s="313"/>
      <c r="B46" s="317"/>
      <c r="C46" s="317"/>
      <c r="D46" s="317"/>
      <c r="E46" s="316"/>
    </row>
    <row r="47" spans="1:4" s="315" customFormat="1" ht="12">
      <c r="A47" s="318"/>
      <c r="B47" s="316"/>
      <c r="C47" s="314"/>
      <c r="D47" s="314"/>
    </row>
    <row r="48" spans="1:5" s="322" customFormat="1" ht="15.75" customHeight="1">
      <c r="A48" s="319" t="s">
        <v>478</v>
      </c>
      <c r="B48" s="319"/>
      <c r="C48" s="320"/>
      <c r="D48" s="320"/>
      <c r="E48" s="321" t="s">
        <v>479</v>
      </c>
    </row>
    <row r="49" spans="1:4" ht="12.75">
      <c r="A49" s="317"/>
      <c r="B49" s="315"/>
      <c r="C49" s="315"/>
      <c r="D49" s="315"/>
    </row>
    <row r="50" spans="1:4" s="315" customFormat="1" ht="13.5" customHeight="1">
      <c r="A50" s="323"/>
      <c r="C50" s="324"/>
      <c r="D50" s="288"/>
    </row>
    <row r="51" spans="1:4" ht="12.75">
      <c r="A51" s="317"/>
      <c r="B51" s="315"/>
      <c r="C51" s="315"/>
      <c r="D51" s="315"/>
    </row>
    <row r="52" spans="1:4" s="315" customFormat="1" ht="11.25">
      <c r="A52" s="323"/>
      <c r="C52" s="324"/>
      <c r="D52" s="288"/>
    </row>
    <row r="53" spans="1:4" ht="13.5" customHeight="1">
      <c r="A53" s="317"/>
      <c r="B53" s="315"/>
      <c r="C53" s="315"/>
      <c r="D53" s="315"/>
    </row>
    <row r="54" spans="1:3" ht="12">
      <c r="A54" s="319"/>
      <c r="B54" s="325"/>
      <c r="C54" s="324"/>
    </row>
    <row r="55" spans="1:3" ht="12">
      <c r="A55" s="319"/>
      <c r="B55" s="325"/>
      <c r="C55" s="295"/>
    </row>
    <row r="57" spans="1:3" ht="12">
      <c r="A57" s="296"/>
      <c r="B57" s="325"/>
      <c r="C57" s="322"/>
    </row>
    <row r="58" spans="1:3" ht="12">
      <c r="A58" s="319"/>
      <c r="B58" s="325"/>
      <c r="C58" s="322"/>
    </row>
  </sheetData>
  <printOptions/>
  <pageMargins left="1.05" right="0.38" top="0.49" bottom="0.24" header="0.25" footer="0.31"/>
  <pageSetup horizontalDpi="600" verticalDpi="600" orientation="portrait" paperSize="9" r:id="rId1"/>
  <headerFooter alignWithMargins="0">
    <oddFooter xml:space="preserve">&amp;L&amp;"Arial,Regular"&amp;8          Valsts kase / Pārskatu departaments    
          15.07.99.
    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I65"/>
  <sheetViews>
    <sheetView showGridLines="0" showZeros="0" workbookViewId="0" topLeftCell="A22">
      <selection activeCell="A45" sqref="A45"/>
    </sheetView>
  </sheetViews>
  <sheetFormatPr defaultColWidth="9.140625" defaultRowHeight="12.75"/>
  <cols>
    <col min="1" max="1" width="41.00390625" style="294" customWidth="1"/>
    <col min="2" max="2" width="13.140625" style="352" customWidth="1"/>
    <col min="3" max="5" width="13.140625" style="288" customWidth="1"/>
    <col min="6" max="6" width="11.28125" style="288" customWidth="1"/>
    <col min="7" max="16384" width="8.00390625" style="288" customWidth="1"/>
  </cols>
  <sheetData>
    <row r="1" spans="1:6" ht="12.75">
      <c r="A1" s="286" t="s">
        <v>480</v>
      </c>
      <c r="B1" s="286"/>
      <c r="C1" s="287"/>
      <c r="D1" s="287"/>
      <c r="E1" s="287" t="s">
        <v>481</v>
      </c>
      <c r="F1" s="317" t="s">
        <v>482</v>
      </c>
    </row>
    <row r="2" spans="1:6" ht="12.75">
      <c r="A2" s="286"/>
      <c r="B2" s="286"/>
      <c r="C2" s="287"/>
      <c r="D2" s="287"/>
      <c r="E2" s="287"/>
      <c r="F2" s="317"/>
    </row>
    <row r="3" spans="1:6" ht="12.75">
      <c r="A3" s="286"/>
      <c r="B3" s="286"/>
      <c r="C3" s="287"/>
      <c r="D3" s="287"/>
      <c r="E3" s="287"/>
      <c r="F3" s="317"/>
    </row>
    <row r="4" spans="1:5" s="295" customFormat="1" ht="11.25">
      <c r="A4" s="326"/>
      <c r="B4" s="326"/>
      <c r="C4" s="297"/>
      <c r="D4" s="297"/>
      <c r="E4" s="297"/>
    </row>
    <row r="5" spans="1:6" ht="15.75">
      <c r="A5" s="290" t="s">
        <v>483</v>
      </c>
      <c r="B5" s="291"/>
      <c r="C5" s="292"/>
      <c r="D5" s="292"/>
      <c r="E5" s="292"/>
      <c r="F5" s="292"/>
    </row>
    <row r="6" spans="1:6" s="293" customFormat="1" ht="15.75">
      <c r="A6" s="290" t="s">
        <v>443</v>
      </c>
      <c r="B6" s="291"/>
      <c r="C6" s="292"/>
      <c r="D6" s="292"/>
      <c r="E6" s="292"/>
      <c r="F6" s="292"/>
    </row>
    <row r="7" spans="1:6" s="293" customFormat="1" ht="15">
      <c r="A7" s="294"/>
      <c r="B7" s="327"/>
      <c r="C7" s="265"/>
      <c r="D7" s="265"/>
      <c r="E7" s="265"/>
      <c r="F7" s="288"/>
    </row>
    <row r="8" spans="1:6" ht="11.25">
      <c r="A8" s="296"/>
      <c r="B8" s="328"/>
      <c r="C8" s="295"/>
      <c r="D8" s="297" t="s">
        <v>484</v>
      </c>
      <c r="E8" s="297"/>
      <c r="F8" s="329"/>
    </row>
    <row r="9" spans="1:5" s="295" customFormat="1" ht="43.5" customHeight="1">
      <c r="A9" s="330" t="s">
        <v>7</v>
      </c>
      <c r="B9" s="331" t="s">
        <v>444</v>
      </c>
      <c r="C9" s="331" t="s">
        <v>9</v>
      </c>
      <c r="D9" s="331" t="s">
        <v>445</v>
      </c>
      <c r="E9" s="332" t="s">
        <v>130</v>
      </c>
    </row>
    <row r="10" spans="1:5" ht="11.25">
      <c r="A10" s="333" t="s">
        <v>446</v>
      </c>
      <c r="B10" s="301" t="s">
        <v>485</v>
      </c>
      <c r="C10" s="301" t="s">
        <v>486</v>
      </c>
      <c r="D10" s="301" t="s">
        <v>487</v>
      </c>
      <c r="E10" s="334" t="s">
        <v>488</v>
      </c>
    </row>
    <row r="11" spans="1:5" ht="12.75">
      <c r="A11" s="335" t="s">
        <v>489</v>
      </c>
      <c r="B11" s="303">
        <v>384362</v>
      </c>
      <c r="C11" s="303">
        <v>198659</v>
      </c>
      <c r="D11" s="304">
        <f aca="true" t="shared" si="0" ref="D11:D36">C11/B11*100</f>
        <v>51.69</v>
      </c>
      <c r="E11" s="336">
        <v>43508</v>
      </c>
    </row>
    <row r="12" spans="1:5" s="300" customFormat="1" ht="12.75">
      <c r="A12" s="337" t="s">
        <v>490</v>
      </c>
      <c r="B12" s="303">
        <v>353970</v>
      </c>
      <c r="C12" s="303">
        <v>184469</v>
      </c>
      <c r="D12" s="304">
        <f t="shared" si="0"/>
        <v>52.11</v>
      </c>
      <c r="E12" s="336">
        <v>40901</v>
      </c>
    </row>
    <row r="13" spans="1:5" s="322" customFormat="1" ht="12">
      <c r="A13" s="338" t="s">
        <v>491</v>
      </c>
      <c r="B13" s="303">
        <v>46087</v>
      </c>
      <c r="C13" s="303">
        <v>21784</v>
      </c>
      <c r="D13" s="304">
        <f t="shared" si="0"/>
        <v>47.27</v>
      </c>
      <c r="E13" s="336">
        <v>4649</v>
      </c>
    </row>
    <row r="14" spans="1:5" s="322" customFormat="1" ht="12">
      <c r="A14" s="338" t="s">
        <v>106</v>
      </c>
      <c r="B14" s="303">
        <v>185</v>
      </c>
      <c r="C14" s="303">
        <v>79</v>
      </c>
      <c r="D14" s="304">
        <f t="shared" si="0"/>
        <v>42.7</v>
      </c>
      <c r="E14" s="336">
        <v>12</v>
      </c>
    </row>
    <row r="15" spans="1:5" s="322" customFormat="1" ht="12">
      <c r="A15" s="338" t="s">
        <v>107</v>
      </c>
      <c r="B15" s="303">
        <v>6061</v>
      </c>
      <c r="C15" s="303">
        <v>2923</v>
      </c>
      <c r="D15" s="304">
        <f t="shared" si="0"/>
        <v>48.23</v>
      </c>
      <c r="E15" s="336">
        <v>524</v>
      </c>
    </row>
    <row r="16" spans="1:9" s="322" customFormat="1" ht="12">
      <c r="A16" s="338" t="s">
        <v>108</v>
      </c>
      <c r="B16" s="303">
        <v>179411</v>
      </c>
      <c r="C16" s="303">
        <v>96507</v>
      </c>
      <c r="D16" s="304">
        <f t="shared" si="0"/>
        <v>53.79</v>
      </c>
      <c r="E16" s="336">
        <v>23523</v>
      </c>
      <c r="I16" s="322" t="s">
        <v>482</v>
      </c>
    </row>
    <row r="17" spans="1:5" s="322" customFormat="1" ht="12">
      <c r="A17" s="338" t="s">
        <v>109</v>
      </c>
      <c r="B17" s="303">
        <v>4317</v>
      </c>
      <c r="C17" s="303">
        <v>3612</v>
      </c>
      <c r="D17" s="304">
        <f t="shared" si="0"/>
        <v>83.67</v>
      </c>
      <c r="E17" s="336">
        <v>579</v>
      </c>
    </row>
    <row r="18" spans="1:5" s="322" customFormat="1" ht="12">
      <c r="A18" s="338" t="s">
        <v>110</v>
      </c>
      <c r="B18" s="303">
        <v>32267</v>
      </c>
      <c r="C18" s="303">
        <v>15901</v>
      </c>
      <c r="D18" s="304">
        <f t="shared" si="0"/>
        <v>49.28</v>
      </c>
      <c r="E18" s="336">
        <v>2498</v>
      </c>
    </row>
    <row r="19" spans="1:5" s="322" customFormat="1" ht="12">
      <c r="A19" s="338" t="s">
        <v>111</v>
      </c>
      <c r="B19" s="303">
        <v>46684</v>
      </c>
      <c r="C19" s="303">
        <v>24574</v>
      </c>
      <c r="D19" s="304">
        <f t="shared" si="0"/>
        <v>52.64</v>
      </c>
      <c r="E19" s="336">
        <v>5811</v>
      </c>
    </row>
    <row r="20" spans="1:5" s="322" customFormat="1" ht="12">
      <c r="A20" s="338" t="s">
        <v>492</v>
      </c>
      <c r="B20" s="303">
        <v>20918</v>
      </c>
      <c r="C20" s="303">
        <v>10721</v>
      </c>
      <c r="D20" s="304">
        <f t="shared" si="0"/>
        <v>51.25</v>
      </c>
      <c r="E20" s="336">
        <v>1914</v>
      </c>
    </row>
    <row r="21" spans="1:5" s="322" customFormat="1" ht="12">
      <c r="A21" s="338" t="s">
        <v>113</v>
      </c>
      <c r="B21" s="303">
        <v>3066</v>
      </c>
      <c r="C21" s="303">
        <v>838</v>
      </c>
      <c r="D21" s="304">
        <f t="shared" si="0"/>
        <v>27.33</v>
      </c>
      <c r="E21" s="336">
        <v>344</v>
      </c>
    </row>
    <row r="22" spans="1:5" s="322" customFormat="1" ht="12">
      <c r="A22" s="338" t="s">
        <v>493</v>
      </c>
      <c r="B22" s="303">
        <v>390</v>
      </c>
      <c r="C22" s="303">
        <v>177</v>
      </c>
      <c r="D22" s="304">
        <f t="shared" si="0"/>
        <v>45.38</v>
      </c>
      <c r="E22" s="336">
        <v>33</v>
      </c>
    </row>
    <row r="23" spans="1:5" s="322" customFormat="1" ht="22.5">
      <c r="A23" s="338" t="s">
        <v>115</v>
      </c>
      <c r="B23" s="303">
        <v>201</v>
      </c>
      <c r="C23" s="303">
        <v>196</v>
      </c>
      <c r="D23" s="304">
        <f t="shared" si="0"/>
        <v>97.51</v>
      </c>
      <c r="E23" s="336">
        <v>0</v>
      </c>
    </row>
    <row r="24" spans="1:5" s="322" customFormat="1" ht="12">
      <c r="A24" s="338" t="s">
        <v>494</v>
      </c>
      <c r="B24" s="303">
        <v>6850</v>
      </c>
      <c r="C24" s="303">
        <v>5007</v>
      </c>
      <c r="D24" s="304">
        <f t="shared" si="0"/>
        <v>73.09</v>
      </c>
      <c r="E24" s="336">
        <v>679</v>
      </c>
    </row>
    <row r="25" spans="1:5" s="322" customFormat="1" ht="12">
      <c r="A25" s="338" t="s">
        <v>117</v>
      </c>
      <c r="B25" s="303">
        <v>817</v>
      </c>
      <c r="C25" s="303">
        <v>361</v>
      </c>
      <c r="D25" s="304">
        <f t="shared" si="0"/>
        <v>44.19</v>
      </c>
      <c r="E25" s="336">
        <v>65</v>
      </c>
    </row>
    <row r="26" spans="1:5" s="322" customFormat="1" ht="12">
      <c r="A26" s="338" t="s">
        <v>495</v>
      </c>
      <c r="B26" s="303">
        <v>2065</v>
      </c>
      <c r="C26" s="303">
        <v>845</v>
      </c>
      <c r="D26" s="304">
        <f t="shared" si="0"/>
        <v>40.92</v>
      </c>
      <c r="E26" s="336">
        <v>-90</v>
      </c>
    </row>
    <row r="27" spans="1:5" s="322" customFormat="1" ht="12">
      <c r="A27" s="338" t="s">
        <v>496</v>
      </c>
      <c r="B27" s="303">
        <v>206</v>
      </c>
      <c r="C27" s="303">
        <v>82</v>
      </c>
      <c r="D27" s="304">
        <f t="shared" si="0"/>
        <v>39.81</v>
      </c>
      <c r="E27" s="336">
        <v>13</v>
      </c>
    </row>
    <row r="28" spans="1:5" s="322" customFormat="1" ht="12">
      <c r="A28" s="338" t="s">
        <v>497</v>
      </c>
      <c r="B28" s="303">
        <v>2334</v>
      </c>
      <c r="C28" s="303">
        <v>16</v>
      </c>
      <c r="D28" s="304">
        <f t="shared" si="0"/>
        <v>0.69</v>
      </c>
      <c r="E28" s="336">
        <v>4</v>
      </c>
    </row>
    <row r="29" spans="1:5" s="322" customFormat="1" ht="12">
      <c r="A29" s="338" t="s">
        <v>498</v>
      </c>
      <c r="B29" s="303">
        <v>2111</v>
      </c>
      <c r="C29" s="303">
        <v>846</v>
      </c>
      <c r="D29" s="304">
        <f t="shared" si="0"/>
        <v>40.08</v>
      </c>
      <c r="E29" s="336">
        <v>343</v>
      </c>
    </row>
    <row r="30" spans="1:5" s="322" customFormat="1" ht="12.75" customHeight="1">
      <c r="A30" s="337" t="s">
        <v>499</v>
      </c>
      <c r="B30" s="303">
        <v>30392</v>
      </c>
      <c r="C30" s="303">
        <v>14190</v>
      </c>
      <c r="D30" s="304">
        <f t="shared" si="0"/>
        <v>46.69</v>
      </c>
      <c r="E30" s="336">
        <v>2607</v>
      </c>
    </row>
    <row r="31" spans="1:5" s="322" customFormat="1" ht="12">
      <c r="A31" s="339" t="s">
        <v>464</v>
      </c>
      <c r="B31" s="303">
        <v>6341</v>
      </c>
      <c r="C31" s="303">
        <v>2483</v>
      </c>
      <c r="D31" s="304">
        <f t="shared" si="0"/>
        <v>39.16</v>
      </c>
      <c r="E31" s="336">
        <v>587</v>
      </c>
    </row>
    <row r="32" spans="1:5" s="322" customFormat="1" ht="22.5">
      <c r="A32" s="340" t="s">
        <v>500</v>
      </c>
      <c r="B32" s="303">
        <v>5546</v>
      </c>
      <c r="C32" s="303">
        <v>2131</v>
      </c>
      <c r="D32" s="304">
        <f t="shared" si="0"/>
        <v>38.42</v>
      </c>
      <c r="E32" s="336">
        <v>499</v>
      </c>
    </row>
    <row r="33" spans="1:5" s="322" customFormat="1" ht="22.5">
      <c r="A33" s="340" t="s">
        <v>501</v>
      </c>
      <c r="B33" s="303">
        <v>355</v>
      </c>
      <c r="C33" s="303">
        <v>146</v>
      </c>
      <c r="D33" s="304">
        <f t="shared" si="0"/>
        <v>41.13</v>
      </c>
      <c r="E33" s="336">
        <v>32</v>
      </c>
    </row>
    <row r="34" spans="1:5" s="322" customFormat="1" ht="12">
      <c r="A34" s="340" t="s">
        <v>467</v>
      </c>
      <c r="B34" s="303">
        <v>440</v>
      </c>
      <c r="C34" s="303">
        <v>206</v>
      </c>
      <c r="D34" s="304">
        <f t="shared" si="0"/>
        <v>46.82</v>
      </c>
      <c r="E34" s="336">
        <v>56</v>
      </c>
    </row>
    <row r="35" spans="1:5" s="322" customFormat="1" ht="22.5">
      <c r="A35" s="339" t="s">
        <v>502</v>
      </c>
      <c r="B35" s="303">
        <v>24051</v>
      </c>
      <c r="C35" s="303">
        <v>11707</v>
      </c>
      <c r="D35" s="304">
        <f t="shared" si="0"/>
        <v>48.68</v>
      </c>
      <c r="E35" s="336">
        <v>2020</v>
      </c>
    </row>
    <row r="36" spans="1:5" s="322" customFormat="1" ht="12">
      <c r="A36" s="340" t="s">
        <v>503</v>
      </c>
      <c r="B36" s="303">
        <v>24051</v>
      </c>
      <c r="C36" s="303">
        <v>11707</v>
      </c>
      <c r="D36" s="304">
        <f t="shared" si="0"/>
        <v>48.68</v>
      </c>
      <c r="E36" s="336">
        <v>2020</v>
      </c>
    </row>
    <row r="37" spans="1:5" s="344" customFormat="1" ht="12">
      <c r="A37" s="341" t="s">
        <v>504</v>
      </c>
      <c r="B37" s="342">
        <v>0</v>
      </c>
      <c r="C37" s="342">
        <v>0</v>
      </c>
      <c r="D37" s="342">
        <v>0</v>
      </c>
      <c r="E37" s="343">
        <v>0</v>
      </c>
    </row>
    <row r="38" spans="1:8" s="322" customFormat="1" ht="12">
      <c r="A38" s="295" t="s">
        <v>505</v>
      </c>
      <c r="C38" s="322">
        <v>0</v>
      </c>
      <c r="D38" s="322">
        <v>0</v>
      </c>
      <c r="E38" s="288"/>
      <c r="F38" s="288"/>
      <c r="G38" s="288"/>
      <c r="H38" s="288"/>
    </row>
    <row r="39" spans="1:8" s="322" customFormat="1" ht="12">
      <c r="A39" s="345"/>
      <c r="B39" s="346"/>
      <c r="C39" s="347"/>
      <c r="D39" s="347"/>
      <c r="E39" s="288"/>
      <c r="F39" s="288"/>
      <c r="G39" s="288"/>
      <c r="H39" s="288"/>
    </row>
    <row r="40" spans="1:8" s="322" customFormat="1" ht="12">
      <c r="A40" s="345"/>
      <c r="B40" s="346"/>
      <c r="C40" s="347"/>
      <c r="D40" s="347"/>
      <c r="E40" s="288"/>
      <c r="F40" s="288"/>
      <c r="G40" s="288"/>
      <c r="H40" s="288"/>
    </row>
    <row r="41" spans="1:8" s="322" customFormat="1" ht="12">
      <c r="A41" s="319"/>
      <c r="B41" s="348"/>
      <c r="E41" s="288"/>
      <c r="F41" s="288"/>
      <c r="G41" s="288"/>
      <c r="H41" s="288"/>
    </row>
    <row r="42" spans="1:8" s="322" customFormat="1" ht="12">
      <c r="A42" s="319" t="s">
        <v>478</v>
      </c>
      <c r="B42" s="319"/>
      <c r="C42" s="349"/>
      <c r="D42" s="349"/>
      <c r="E42" s="350" t="s">
        <v>479</v>
      </c>
      <c r="F42" s="288"/>
      <c r="G42" s="288"/>
      <c r="H42" s="288"/>
    </row>
    <row r="43" spans="1:8" s="322" customFormat="1" ht="12">
      <c r="A43" s="319"/>
      <c r="B43" s="319"/>
      <c r="C43" s="351"/>
      <c r="D43" s="351"/>
      <c r="E43" s="288"/>
      <c r="F43" s="288"/>
      <c r="G43" s="288"/>
      <c r="H43" s="288"/>
    </row>
    <row r="44" spans="1:8" s="322" customFormat="1" ht="12">
      <c r="A44" s="319"/>
      <c r="B44" s="348"/>
      <c r="E44" s="288"/>
      <c r="F44" s="288"/>
      <c r="G44" s="288"/>
      <c r="H44" s="288"/>
    </row>
    <row r="45" spans="1:8" s="322" customFormat="1" ht="12">
      <c r="A45" s="319"/>
      <c r="B45" s="319"/>
      <c r="C45" s="351"/>
      <c r="D45" s="351"/>
      <c r="E45" s="288"/>
      <c r="F45" s="288"/>
      <c r="G45" s="288"/>
      <c r="H45" s="288"/>
    </row>
    <row r="46" spans="1:8" s="322" customFormat="1" ht="12">
      <c r="A46" s="319"/>
      <c r="B46" s="319"/>
      <c r="C46" s="351"/>
      <c r="E46" s="288"/>
      <c r="F46" s="288"/>
      <c r="G46" s="288"/>
      <c r="H46" s="288"/>
    </row>
    <row r="47" spans="1:4" ht="12">
      <c r="A47" s="319"/>
      <c r="B47" s="294"/>
      <c r="C47" s="325"/>
      <c r="D47" s="351"/>
    </row>
    <row r="65" spans="5:8" ht="11.25">
      <c r="E65" s="288">
        <v>0</v>
      </c>
      <c r="F65" s="288">
        <v>0</v>
      </c>
      <c r="G65" s="288">
        <v>0</v>
      </c>
      <c r="H65" s="288">
        <v>0</v>
      </c>
    </row>
  </sheetData>
  <printOptions/>
  <pageMargins left="0.79" right="0.15748031496062992" top="1.03" bottom="0.25" header="0.25" footer="0.24"/>
  <pageSetup horizontalDpi="600" verticalDpi="600" orientation="portrait" paperSize="9" r:id="rId1"/>
  <headerFooter alignWithMargins="0">
    <oddFooter>&amp;L&amp;"Arial,Regular"&amp;8  Valsts kase / Pārskatu departaments
   15.07.99.
</oddFooter>
  </headerFooter>
  <rowBreaks count="1" manualBreakCount="1">
    <brk id="48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9">
      <selection activeCell="A45" sqref="A45"/>
    </sheetView>
  </sheetViews>
  <sheetFormatPr defaultColWidth="9.140625" defaultRowHeight="12.75"/>
  <cols>
    <col min="1" max="1" width="40.57421875" style="294" customWidth="1"/>
    <col min="2" max="5" width="12.28125" style="288" customWidth="1"/>
    <col min="6" max="16384" width="8.00390625" style="288" customWidth="1"/>
  </cols>
  <sheetData>
    <row r="1" spans="1:5" s="295" customFormat="1" ht="12.75">
      <c r="A1" s="286" t="s">
        <v>506</v>
      </c>
      <c r="B1" s="287"/>
      <c r="C1" s="287"/>
      <c r="D1" s="287"/>
      <c r="E1" s="287" t="s">
        <v>507</v>
      </c>
    </row>
    <row r="2" spans="1:6" s="300" customFormat="1" ht="12.75">
      <c r="A2" s="286"/>
      <c r="B2" s="287"/>
      <c r="C2" s="287"/>
      <c r="D2" s="287"/>
      <c r="E2" s="353"/>
      <c r="F2" s="317"/>
    </row>
    <row r="3" spans="1:5" s="295" customFormat="1" ht="11.25">
      <c r="A3" s="296"/>
      <c r="D3" s="297"/>
      <c r="E3" s="297"/>
    </row>
    <row r="4" spans="1:5" s="293" customFormat="1" ht="15.75">
      <c r="A4" s="290" t="s">
        <v>508</v>
      </c>
      <c r="B4" s="292"/>
      <c r="C4" s="292"/>
      <c r="D4" s="292"/>
      <c r="E4" s="292"/>
    </row>
    <row r="5" spans="1:5" s="293" customFormat="1" ht="15.75">
      <c r="A5" s="290" t="s">
        <v>443</v>
      </c>
      <c r="B5" s="292"/>
      <c r="C5" s="292"/>
      <c r="D5" s="292"/>
      <c r="E5" s="292"/>
    </row>
    <row r="6" spans="1:4" ht="15">
      <c r="A6" s="354"/>
      <c r="B6" s="265"/>
      <c r="C6" s="265"/>
      <c r="D6" s="265"/>
    </row>
    <row r="7" spans="1:4" ht="15">
      <c r="A7" s="354"/>
      <c r="B7" s="265"/>
      <c r="C7" s="265"/>
      <c r="D7" s="265"/>
    </row>
    <row r="8" spans="1:5" s="295" customFormat="1" ht="11.25" customHeight="1">
      <c r="A8" s="296"/>
      <c r="C8" s="297" t="s">
        <v>509</v>
      </c>
      <c r="D8" s="297"/>
      <c r="E8" s="297"/>
    </row>
    <row r="9" spans="1:5" s="295" customFormat="1" ht="33.75" customHeight="1">
      <c r="A9" s="330" t="s">
        <v>7</v>
      </c>
      <c r="B9" s="331" t="s">
        <v>444</v>
      </c>
      <c r="C9" s="331" t="s">
        <v>9</v>
      </c>
      <c r="D9" s="331" t="s">
        <v>445</v>
      </c>
      <c r="E9" s="332" t="s">
        <v>130</v>
      </c>
    </row>
    <row r="10" spans="1:5" s="300" customFormat="1" ht="12.75" customHeight="1">
      <c r="A10" s="333" t="s">
        <v>446</v>
      </c>
      <c r="B10" s="301" t="s">
        <v>485</v>
      </c>
      <c r="C10" s="301" t="s">
        <v>486</v>
      </c>
      <c r="D10" s="301" t="s">
        <v>487</v>
      </c>
      <c r="E10" s="334" t="s">
        <v>488</v>
      </c>
    </row>
    <row r="11" spans="1:5" s="300" customFormat="1" ht="12.75" customHeight="1">
      <c r="A11" s="335" t="s">
        <v>215</v>
      </c>
      <c r="B11" s="303">
        <v>386721</v>
      </c>
      <c r="C11" s="303">
        <v>203241</v>
      </c>
      <c r="D11" s="304">
        <f aca="true" t="shared" si="0" ref="D11:D36">C11/B11*100</f>
        <v>52.55</v>
      </c>
      <c r="E11" s="336">
        <v>39475</v>
      </c>
    </row>
    <row r="12" spans="1:5" s="300" customFormat="1" ht="12.75">
      <c r="A12" s="335" t="s">
        <v>510</v>
      </c>
      <c r="B12" s="303">
        <f>B13+B32</f>
        <v>384605</v>
      </c>
      <c r="C12" s="303">
        <f>C13+C32</f>
        <v>197970</v>
      </c>
      <c r="D12" s="304">
        <f t="shared" si="0"/>
        <v>51.47</v>
      </c>
      <c r="E12" s="336">
        <f>E13+E32</f>
        <v>43382</v>
      </c>
    </row>
    <row r="13" spans="1:5" s="315" customFormat="1" ht="11.25" customHeight="1">
      <c r="A13" s="337" t="s">
        <v>220</v>
      </c>
      <c r="B13" s="303">
        <v>351907</v>
      </c>
      <c r="C13" s="303">
        <v>176384</v>
      </c>
      <c r="D13" s="304">
        <f t="shared" si="0"/>
        <v>50.12</v>
      </c>
      <c r="E13" s="336">
        <v>37806</v>
      </c>
    </row>
    <row r="14" spans="1:5" s="315" customFormat="1" ht="11.25" customHeight="1">
      <c r="A14" s="355" t="s">
        <v>221</v>
      </c>
      <c r="B14" s="303">
        <v>289640</v>
      </c>
      <c r="C14" s="303">
        <v>145518</v>
      </c>
      <c r="D14" s="304">
        <f t="shared" si="0"/>
        <v>50.24</v>
      </c>
      <c r="E14" s="336">
        <v>32509</v>
      </c>
    </row>
    <row r="15" spans="1:5" s="315" customFormat="1" ht="11.25" customHeight="1" hidden="1">
      <c r="A15" s="340" t="s">
        <v>511</v>
      </c>
      <c r="B15" s="303">
        <v>6391</v>
      </c>
      <c r="C15" s="303">
        <v>2310</v>
      </c>
      <c r="D15" s="304">
        <f t="shared" si="0"/>
        <v>36.14</v>
      </c>
      <c r="E15" s="336">
        <v>667</v>
      </c>
    </row>
    <row r="16" spans="1:5" ht="12">
      <c r="A16" s="340" t="s">
        <v>512</v>
      </c>
      <c r="B16" s="303">
        <v>139188</v>
      </c>
      <c r="C16" s="303">
        <v>73465</v>
      </c>
      <c r="D16" s="304">
        <f t="shared" si="0"/>
        <v>52.78</v>
      </c>
      <c r="E16" s="336">
        <v>19720</v>
      </c>
    </row>
    <row r="17" spans="1:5" ht="12">
      <c r="A17" s="340" t="s">
        <v>513</v>
      </c>
      <c r="B17" s="303">
        <v>39237</v>
      </c>
      <c r="C17" s="303">
        <v>18882</v>
      </c>
      <c r="D17" s="304">
        <f t="shared" si="0"/>
        <v>48.12</v>
      </c>
      <c r="E17" s="336">
        <v>4165</v>
      </c>
    </row>
    <row r="18" spans="1:5" ht="12" hidden="1">
      <c r="A18" s="340" t="s">
        <v>514</v>
      </c>
      <c r="B18" s="303">
        <v>1243</v>
      </c>
      <c r="C18" s="303">
        <v>633</v>
      </c>
      <c r="D18" s="304">
        <f t="shared" si="0"/>
        <v>50.93</v>
      </c>
      <c r="E18" s="336">
        <v>10</v>
      </c>
    </row>
    <row r="19" spans="1:5" ht="12" hidden="1">
      <c r="A19" s="340" t="s">
        <v>515</v>
      </c>
      <c r="B19" s="303">
        <v>46683</v>
      </c>
      <c r="C19" s="303">
        <v>20817</v>
      </c>
      <c r="D19" s="304">
        <f t="shared" si="0"/>
        <v>44.59</v>
      </c>
      <c r="E19" s="336">
        <v>4321</v>
      </c>
    </row>
    <row r="20" spans="1:5" ht="12" hidden="1">
      <c r="A20" s="340" t="s">
        <v>516</v>
      </c>
      <c r="B20" s="303">
        <v>54706</v>
      </c>
      <c r="C20" s="303">
        <v>28696</v>
      </c>
      <c r="D20" s="304">
        <f t="shared" si="0"/>
        <v>52.45</v>
      </c>
      <c r="E20" s="336">
        <v>3460</v>
      </c>
    </row>
    <row r="21" spans="1:5" ht="12" hidden="1">
      <c r="A21" s="340" t="s">
        <v>517</v>
      </c>
      <c r="B21" s="303">
        <v>2192</v>
      </c>
      <c r="C21" s="303">
        <v>715</v>
      </c>
      <c r="D21" s="304">
        <f t="shared" si="0"/>
        <v>32.62</v>
      </c>
      <c r="E21" s="336">
        <v>166</v>
      </c>
    </row>
    <row r="22" spans="1:5" ht="12">
      <c r="A22" s="340" t="s">
        <v>518</v>
      </c>
      <c r="B22" s="303">
        <f>SUM(B15,B18,B19,B20,B21)</f>
        <v>111215</v>
      </c>
      <c r="C22" s="303">
        <f>SUM(C15,C18,C19,C20,C21)</f>
        <v>53171</v>
      </c>
      <c r="D22" s="304">
        <f t="shared" si="0"/>
        <v>47.81</v>
      </c>
      <c r="E22" s="336">
        <v>8624</v>
      </c>
    </row>
    <row r="23" spans="1:5" ht="12">
      <c r="A23" s="356" t="s">
        <v>519</v>
      </c>
      <c r="B23" s="303">
        <f>SUM(B19,B20)</f>
        <v>101389</v>
      </c>
      <c r="C23" s="303">
        <f>SUM(C19,C20)</f>
        <v>49513</v>
      </c>
      <c r="D23" s="304">
        <f t="shared" si="0"/>
        <v>48.83</v>
      </c>
      <c r="E23" s="336">
        <v>7781</v>
      </c>
    </row>
    <row r="24" spans="1:5" ht="12">
      <c r="A24" s="356" t="s">
        <v>520</v>
      </c>
      <c r="B24" s="303">
        <f>SUM(B15,B18,B21)</f>
        <v>9826</v>
      </c>
      <c r="C24" s="303">
        <f>SUM(C15,C18,C21)</f>
        <v>3658</v>
      </c>
      <c r="D24" s="304">
        <f t="shared" si="0"/>
        <v>37.23</v>
      </c>
      <c r="E24" s="336">
        <f>SUM(E15,E18,E21)</f>
        <v>843</v>
      </c>
    </row>
    <row r="25" spans="1:5" ht="12">
      <c r="A25" s="355" t="s">
        <v>521</v>
      </c>
      <c r="B25" s="303">
        <v>2296</v>
      </c>
      <c r="C25" s="303">
        <v>986</v>
      </c>
      <c r="D25" s="304">
        <f t="shared" si="0"/>
        <v>42.94</v>
      </c>
      <c r="E25" s="336">
        <v>-71</v>
      </c>
    </row>
    <row r="26" spans="1:5" ht="12">
      <c r="A26" s="355" t="s">
        <v>235</v>
      </c>
      <c r="B26" s="303">
        <v>59971</v>
      </c>
      <c r="C26" s="303">
        <v>29880</v>
      </c>
      <c r="D26" s="304">
        <f t="shared" si="0"/>
        <v>49.82</v>
      </c>
      <c r="E26" s="336">
        <v>5368</v>
      </c>
    </row>
    <row r="27" spans="1:5" ht="12">
      <c r="A27" s="340" t="s">
        <v>522</v>
      </c>
      <c r="B27" s="303">
        <v>715</v>
      </c>
      <c r="C27" s="303">
        <v>260</v>
      </c>
      <c r="D27" s="304">
        <f t="shared" si="0"/>
        <v>36.36</v>
      </c>
      <c r="E27" s="336">
        <v>152</v>
      </c>
    </row>
    <row r="28" spans="1:5" ht="12">
      <c r="A28" s="340" t="s">
        <v>523</v>
      </c>
      <c r="B28" s="303">
        <v>4314</v>
      </c>
      <c r="C28" s="303">
        <v>2479</v>
      </c>
      <c r="D28" s="304">
        <f t="shared" si="0"/>
        <v>57.46</v>
      </c>
      <c r="E28" s="336">
        <v>626</v>
      </c>
    </row>
    <row r="29" spans="1:5" ht="12">
      <c r="A29" s="340" t="s">
        <v>524</v>
      </c>
      <c r="B29" s="303">
        <v>24217</v>
      </c>
      <c r="C29" s="303">
        <v>11730</v>
      </c>
      <c r="D29" s="304">
        <f t="shared" si="0"/>
        <v>48.44</v>
      </c>
      <c r="E29" s="336">
        <v>2129</v>
      </c>
    </row>
    <row r="30" spans="1:5" ht="12">
      <c r="A30" s="340" t="s">
        <v>525</v>
      </c>
      <c r="B30" s="303">
        <v>15805</v>
      </c>
      <c r="C30" s="303">
        <v>7857</v>
      </c>
      <c r="D30" s="304">
        <f t="shared" si="0"/>
        <v>49.71</v>
      </c>
      <c r="E30" s="336">
        <v>1398</v>
      </c>
    </row>
    <row r="31" spans="1:5" ht="12">
      <c r="A31" s="340" t="s">
        <v>526</v>
      </c>
      <c r="B31" s="303">
        <v>14920</v>
      </c>
      <c r="C31" s="303">
        <v>7554</v>
      </c>
      <c r="D31" s="304">
        <f t="shared" si="0"/>
        <v>50.63</v>
      </c>
      <c r="E31" s="336">
        <v>1063</v>
      </c>
    </row>
    <row r="32" spans="1:5" s="315" customFormat="1" ht="11.25" customHeight="1">
      <c r="A32" s="337" t="s">
        <v>527</v>
      </c>
      <c r="B32" s="303">
        <v>32698</v>
      </c>
      <c r="C32" s="303">
        <v>21586</v>
      </c>
      <c r="D32" s="304">
        <f t="shared" si="0"/>
        <v>66.02</v>
      </c>
      <c r="E32" s="336">
        <v>5576</v>
      </c>
    </row>
    <row r="33" spans="1:6" s="315" customFormat="1" ht="11.25" customHeight="1">
      <c r="A33" s="340" t="s">
        <v>255</v>
      </c>
      <c r="B33" s="303">
        <v>17179</v>
      </c>
      <c r="C33" s="303">
        <v>7586</v>
      </c>
      <c r="D33" s="304">
        <f t="shared" si="0"/>
        <v>44.16</v>
      </c>
      <c r="E33" s="336">
        <v>1938</v>
      </c>
      <c r="F33" s="357"/>
    </row>
    <row r="34" spans="1:5" ht="12" hidden="1">
      <c r="A34" s="340" t="s">
        <v>255</v>
      </c>
      <c r="B34" s="303">
        <v>16796</v>
      </c>
      <c r="C34" s="303">
        <v>7410</v>
      </c>
      <c r="D34" s="304">
        <f t="shared" si="0"/>
        <v>44.12</v>
      </c>
      <c r="E34" s="336">
        <v>1921</v>
      </c>
    </row>
    <row r="35" spans="1:5" ht="12" hidden="1">
      <c r="A35" s="340" t="s">
        <v>528</v>
      </c>
      <c r="B35" s="303">
        <v>383</v>
      </c>
      <c r="C35" s="303">
        <v>175</v>
      </c>
      <c r="D35" s="304">
        <f t="shared" si="0"/>
        <v>45.69</v>
      </c>
      <c r="E35" s="336">
        <v>17</v>
      </c>
    </row>
    <row r="36" spans="1:5" ht="12">
      <c r="A36" s="340" t="s">
        <v>256</v>
      </c>
      <c r="B36" s="303">
        <v>15519</v>
      </c>
      <c r="C36" s="303">
        <v>14000</v>
      </c>
      <c r="D36" s="304">
        <f t="shared" si="0"/>
        <v>90.21</v>
      </c>
      <c r="E36" s="336">
        <v>3638</v>
      </c>
    </row>
    <row r="37" spans="1:5" s="315" customFormat="1" ht="11.25" customHeight="1">
      <c r="A37" s="337" t="s">
        <v>529</v>
      </c>
      <c r="B37" s="303">
        <v>-243</v>
      </c>
      <c r="C37" s="303">
        <v>689</v>
      </c>
      <c r="D37" s="304"/>
      <c r="E37" s="336">
        <v>126</v>
      </c>
    </row>
    <row r="38" spans="1:5" ht="12.75" customHeight="1">
      <c r="A38" s="340" t="s">
        <v>530</v>
      </c>
      <c r="B38" s="303">
        <v>685</v>
      </c>
      <c r="C38" s="303">
        <v>1169</v>
      </c>
      <c r="D38" s="304"/>
      <c r="E38" s="336">
        <v>160</v>
      </c>
    </row>
    <row r="39" spans="1:5" ht="12.75" customHeight="1">
      <c r="A39" s="341" t="s">
        <v>531</v>
      </c>
      <c r="B39" s="342">
        <v>928</v>
      </c>
      <c r="C39" s="342">
        <v>480</v>
      </c>
      <c r="D39" s="358"/>
      <c r="E39" s="343">
        <v>34</v>
      </c>
    </row>
    <row r="40" spans="1:5" ht="12.75" customHeight="1">
      <c r="A40" s="359" t="s">
        <v>260</v>
      </c>
      <c r="B40" s="342">
        <f>B11-B12-B37</f>
        <v>2359</v>
      </c>
      <c r="C40" s="342">
        <f>C11-C12-C37</f>
        <v>4582</v>
      </c>
      <c r="D40" s="342"/>
      <c r="E40" s="343">
        <f>E11-E12-E37</f>
        <v>-4033</v>
      </c>
    </row>
    <row r="41" spans="1:5" s="322" customFormat="1" ht="12">
      <c r="A41" s="360"/>
      <c r="B41" s="348"/>
      <c r="C41" s="348"/>
      <c r="D41" s="348"/>
      <c r="E41" s="348"/>
    </row>
    <row r="42" spans="1:5" s="322" customFormat="1" ht="12">
      <c r="A42" s="318"/>
      <c r="B42" s="348"/>
      <c r="C42" s="348"/>
      <c r="D42" s="348"/>
      <c r="E42" s="348"/>
    </row>
    <row r="43" spans="1:6" ht="12">
      <c r="A43" s="348"/>
      <c r="B43" s="348"/>
      <c r="C43" s="348"/>
      <c r="D43" s="348"/>
      <c r="E43" s="348"/>
      <c r="F43" s="325"/>
    </row>
    <row r="44" spans="1:5" s="322" customFormat="1" ht="12">
      <c r="A44" s="319" t="s">
        <v>478</v>
      </c>
      <c r="B44" s="319"/>
      <c r="C44" s="320"/>
      <c r="D44" s="320"/>
      <c r="E44" s="350" t="s">
        <v>479</v>
      </c>
    </row>
    <row r="45" s="322" customFormat="1" ht="12"/>
    <row r="46" spans="1:4" s="322" customFormat="1" ht="12">
      <c r="A46" s="348"/>
      <c r="B46" s="351"/>
      <c r="C46" s="351"/>
      <c r="D46" s="351"/>
    </row>
    <row r="47" spans="1:2" s="322" customFormat="1" ht="12">
      <c r="A47" s="348"/>
      <c r="B47" s="351"/>
    </row>
    <row r="48" spans="1:4" ht="12">
      <c r="A48" s="352"/>
      <c r="B48" s="325"/>
      <c r="D48" s="351"/>
    </row>
    <row r="49" spans="4:6" ht="12">
      <c r="D49" s="325"/>
      <c r="E49" s="351"/>
      <c r="F49" s="325"/>
    </row>
  </sheetData>
  <printOptions/>
  <pageMargins left="1.09" right="0.15748031496062992" top="2.19" bottom="0.984251968503937" header="0.25" footer="0"/>
  <pageSetup horizontalDpi="600" verticalDpi="600" orientation="portrait" paperSize="9" r:id="rId1"/>
  <headerFooter alignWithMargins="0">
    <oddFooter>&amp;L&amp;"Arial,Regular"&amp;8           Valsts kase / Pārskatu departaments
           15.07.99.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G36"/>
  <sheetViews>
    <sheetView showZeros="0" workbookViewId="0" topLeftCell="A7">
      <selection activeCell="A45" sqref="A45"/>
    </sheetView>
  </sheetViews>
  <sheetFormatPr defaultColWidth="9.140625" defaultRowHeight="12.75"/>
  <cols>
    <col min="1" max="1" width="42.7109375" style="288" customWidth="1"/>
    <col min="2" max="5" width="12.28125" style="288" customWidth="1"/>
    <col min="6" max="16384" width="8.00390625" style="288" customWidth="1"/>
  </cols>
  <sheetData>
    <row r="1" spans="1:5" s="295" customFormat="1" ht="12.75">
      <c r="A1" s="287" t="s">
        <v>506</v>
      </c>
      <c r="B1" s="287"/>
      <c r="C1" s="287"/>
      <c r="D1" s="287"/>
      <c r="E1" s="287" t="s">
        <v>532</v>
      </c>
    </row>
    <row r="2" spans="1:5" s="295" customFormat="1" ht="12.75">
      <c r="A2" s="287"/>
      <c r="B2" s="287"/>
      <c r="C2" s="287"/>
      <c r="D2" s="287"/>
      <c r="E2" s="287"/>
    </row>
    <row r="4" spans="1:5" s="293" customFormat="1" ht="15.75">
      <c r="A4" s="290" t="s">
        <v>533</v>
      </c>
      <c r="B4" s="292"/>
      <c r="C4" s="292"/>
      <c r="D4" s="292"/>
      <c r="E4" s="292"/>
    </row>
    <row r="5" spans="1:5" ht="15.75">
      <c r="A5" s="290" t="s">
        <v>443</v>
      </c>
      <c r="B5" s="265"/>
      <c r="C5" s="265"/>
      <c r="D5" s="265"/>
      <c r="E5" s="265"/>
    </row>
    <row r="6" spans="1:5" ht="11.25">
      <c r="A6" s="352"/>
      <c r="B6" s="265"/>
      <c r="C6" s="265"/>
      <c r="D6" s="265"/>
      <c r="E6" s="265"/>
    </row>
    <row r="7" spans="1:5" ht="11.25">
      <c r="A7" s="352"/>
      <c r="B7" s="265"/>
      <c r="C7" s="265"/>
      <c r="D7" s="265"/>
      <c r="E7" s="265"/>
    </row>
    <row r="8" spans="4:5" s="295" customFormat="1" ht="11.25">
      <c r="D8" s="297" t="s">
        <v>534</v>
      </c>
      <c r="E8" s="297"/>
    </row>
    <row r="9" spans="1:5" s="300" customFormat="1" ht="30.75" customHeight="1">
      <c r="A9" s="330" t="s">
        <v>7</v>
      </c>
      <c r="B9" s="331" t="s">
        <v>444</v>
      </c>
      <c r="C9" s="331" t="s">
        <v>9</v>
      </c>
      <c r="D9" s="331" t="s">
        <v>445</v>
      </c>
      <c r="E9" s="332" t="s">
        <v>130</v>
      </c>
    </row>
    <row r="10" spans="1:5" s="322" customFormat="1" ht="11.25" customHeight="1">
      <c r="A10" s="361">
        <v>1</v>
      </c>
      <c r="B10" s="362">
        <v>2</v>
      </c>
      <c r="C10" s="362">
        <v>3</v>
      </c>
      <c r="D10" s="363">
        <v>4</v>
      </c>
      <c r="E10" s="364" t="s">
        <v>488</v>
      </c>
    </row>
    <row r="11" spans="1:5" s="322" customFormat="1" ht="12.75">
      <c r="A11" s="365" t="s">
        <v>535</v>
      </c>
      <c r="B11" s="303">
        <v>41208</v>
      </c>
      <c r="C11" s="303">
        <v>21086</v>
      </c>
      <c r="D11" s="366">
        <f aca="true" t="shared" si="0" ref="D11:D24">C11/B11*100</f>
        <v>51.17</v>
      </c>
      <c r="E11" s="336">
        <v>4844</v>
      </c>
    </row>
    <row r="12" spans="1:5" ht="25.5">
      <c r="A12" s="365" t="s">
        <v>536</v>
      </c>
      <c r="B12" s="303">
        <v>37282</v>
      </c>
      <c r="C12" s="303">
        <v>18064</v>
      </c>
      <c r="D12" s="366">
        <f t="shared" si="0"/>
        <v>48.45</v>
      </c>
      <c r="E12" s="336">
        <v>3800</v>
      </c>
    </row>
    <row r="13" spans="1:5" ht="12">
      <c r="A13" s="367" t="s">
        <v>537</v>
      </c>
      <c r="B13" s="303">
        <v>4889</v>
      </c>
      <c r="C13" s="303">
        <v>2630</v>
      </c>
      <c r="D13" s="366">
        <f t="shared" si="0"/>
        <v>53.79</v>
      </c>
      <c r="E13" s="336">
        <v>571</v>
      </c>
    </row>
    <row r="14" spans="1:5" ht="12">
      <c r="A14" s="367" t="s">
        <v>538</v>
      </c>
      <c r="B14" s="303">
        <v>2482</v>
      </c>
      <c r="C14" s="303">
        <v>1064</v>
      </c>
      <c r="D14" s="366">
        <f t="shared" si="0"/>
        <v>42.87</v>
      </c>
      <c r="E14" s="336">
        <v>79</v>
      </c>
    </row>
    <row r="15" spans="1:5" ht="12">
      <c r="A15" s="367" t="s">
        <v>539</v>
      </c>
      <c r="B15" s="303">
        <v>16577</v>
      </c>
      <c r="C15" s="303">
        <v>6639</v>
      </c>
      <c r="D15" s="366">
        <f t="shared" si="0"/>
        <v>40.05</v>
      </c>
      <c r="E15" s="336">
        <v>1109</v>
      </c>
    </row>
    <row r="16" spans="1:5" ht="12">
      <c r="A16" s="367" t="s">
        <v>540</v>
      </c>
      <c r="B16" s="303">
        <v>13334</v>
      </c>
      <c r="C16" s="303">
        <v>7731</v>
      </c>
      <c r="D16" s="366">
        <f t="shared" si="0"/>
        <v>57.98</v>
      </c>
      <c r="E16" s="336">
        <v>2041</v>
      </c>
    </row>
    <row r="17" spans="1:5" ht="25.5">
      <c r="A17" s="368" t="s">
        <v>541</v>
      </c>
      <c r="B17" s="303">
        <v>3926</v>
      </c>
      <c r="C17" s="303">
        <v>3022</v>
      </c>
      <c r="D17" s="366">
        <f t="shared" si="0"/>
        <v>76.97</v>
      </c>
      <c r="E17" s="336">
        <v>1044</v>
      </c>
    </row>
    <row r="18" spans="1:7" s="322" customFormat="1" ht="12.75">
      <c r="A18" s="365" t="s">
        <v>542</v>
      </c>
      <c r="B18" s="303">
        <v>47627</v>
      </c>
      <c r="C18" s="303">
        <v>19470</v>
      </c>
      <c r="D18" s="366">
        <f t="shared" si="0"/>
        <v>40.88</v>
      </c>
      <c r="E18" s="336">
        <v>4554</v>
      </c>
      <c r="F18" s="288"/>
      <c r="G18" s="288"/>
    </row>
    <row r="19" spans="1:5" ht="25.5">
      <c r="A19" s="368" t="s">
        <v>543</v>
      </c>
      <c r="B19" s="303">
        <v>43095</v>
      </c>
      <c r="C19" s="303">
        <v>17842</v>
      </c>
      <c r="D19" s="366">
        <f t="shared" si="0"/>
        <v>41.4</v>
      </c>
      <c r="E19" s="336">
        <v>3929</v>
      </c>
    </row>
    <row r="20" spans="1:5" ht="12">
      <c r="A20" s="367" t="s">
        <v>537</v>
      </c>
      <c r="B20" s="303">
        <v>5633</v>
      </c>
      <c r="C20" s="303">
        <v>1985</v>
      </c>
      <c r="D20" s="366">
        <f t="shared" si="0"/>
        <v>35.24</v>
      </c>
      <c r="E20" s="336">
        <v>321</v>
      </c>
    </row>
    <row r="21" spans="1:5" ht="12">
      <c r="A21" s="367" t="s">
        <v>538</v>
      </c>
      <c r="B21" s="303">
        <v>2995</v>
      </c>
      <c r="C21" s="303">
        <v>1013</v>
      </c>
      <c r="D21" s="366">
        <f t="shared" si="0"/>
        <v>33.82</v>
      </c>
      <c r="E21" s="336">
        <v>161</v>
      </c>
    </row>
    <row r="22" spans="1:5" ht="12">
      <c r="A22" s="367" t="s">
        <v>539</v>
      </c>
      <c r="B22" s="303">
        <v>19912</v>
      </c>
      <c r="C22" s="303">
        <v>7639</v>
      </c>
      <c r="D22" s="366">
        <f t="shared" si="0"/>
        <v>38.36</v>
      </c>
      <c r="E22" s="336">
        <v>1852</v>
      </c>
    </row>
    <row r="23" spans="1:5" ht="12">
      <c r="A23" s="367" t="s">
        <v>540</v>
      </c>
      <c r="B23" s="303">
        <v>14555</v>
      </c>
      <c r="C23" s="303">
        <v>7205</v>
      </c>
      <c r="D23" s="366">
        <f t="shared" si="0"/>
        <v>49.5</v>
      </c>
      <c r="E23" s="336">
        <v>1595</v>
      </c>
    </row>
    <row r="24" spans="1:5" ht="25.5">
      <c r="A24" s="369" t="s">
        <v>544</v>
      </c>
      <c r="B24" s="342">
        <v>4532</v>
      </c>
      <c r="C24" s="342">
        <v>1628</v>
      </c>
      <c r="D24" s="370">
        <f t="shared" si="0"/>
        <v>35.92</v>
      </c>
      <c r="E24" s="343">
        <v>625</v>
      </c>
    </row>
    <row r="25" ht="11.25">
      <c r="A25" s="295" t="s">
        <v>505</v>
      </c>
    </row>
    <row r="26" spans="1:5" s="371" customFormat="1" ht="11.25">
      <c r="A26" s="352"/>
      <c r="B26" s="288"/>
      <c r="C26" s="288"/>
      <c r="D26" s="288"/>
      <c r="E26" s="288"/>
    </row>
    <row r="27" spans="1:5" s="322" customFormat="1" ht="12">
      <c r="A27" s="352"/>
      <c r="B27" s="288"/>
      <c r="C27" s="288"/>
      <c r="D27" s="288"/>
      <c r="E27" s="288"/>
    </row>
    <row r="28" spans="1:5" s="322" customFormat="1" ht="12">
      <c r="A28" s="352"/>
      <c r="B28" s="371"/>
      <c r="C28" s="351"/>
      <c r="D28" s="371"/>
      <c r="E28" s="371"/>
    </row>
    <row r="29" spans="1:5" ht="12">
      <c r="A29" s="319"/>
      <c r="E29" s="350"/>
    </row>
    <row r="30" spans="1:5" ht="12">
      <c r="A30" s="319" t="s">
        <v>478</v>
      </c>
      <c r="B30" s="319"/>
      <c r="C30" s="320"/>
      <c r="D30" s="320"/>
      <c r="E30" s="350" t="s">
        <v>479</v>
      </c>
    </row>
    <row r="31" spans="1:5" ht="12">
      <c r="A31" s="319"/>
      <c r="B31" s="319"/>
      <c r="E31" s="350"/>
    </row>
    <row r="32" ht="11.25">
      <c r="A32" s="296"/>
    </row>
    <row r="33" ht="11.25">
      <c r="A33" s="296"/>
    </row>
    <row r="34" s="300" customFormat="1" ht="12" customHeight="1">
      <c r="A34" s="317"/>
    </row>
    <row r="35" s="300" customFormat="1" ht="12" customHeight="1">
      <c r="A35" s="317"/>
    </row>
    <row r="36" ht="12.75">
      <c r="A36" s="317"/>
    </row>
  </sheetData>
  <printOptions/>
  <pageMargins left="0.98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        Valsts kase / Pārskatu departaments
         15.07.99.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">
      <selection activeCell="A45" sqref="A45"/>
    </sheetView>
  </sheetViews>
  <sheetFormatPr defaultColWidth="9.140625" defaultRowHeight="12.75"/>
  <cols>
    <col min="1" max="1" width="39.7109375" style="288" customWidth="1"/>
    <col min="2" max="5" width="12.7109375" style="288" customWidth="1"/>
    <col min="6" max="16384" width="8.00390625" style="288" customWidth="1"/>
  </cols>
  <sheetData>
    <row r="1" spans="1:5" s="295" customFormat="1" ht="12.75">
      <c r="A1" s="287" t="s">
        <v>545</v>
      </c>
      <c r="B1" s="287"/>
      <c r="C1" s="287"/>
      <c r="D1" s="287"/>
      <c r="E1" s="287" t="s">
        <v>546</v>
      </c>
    </row>
    <row r="2" spans="1:5" s="295" customFormat="1" ht="12.75">
      <c r="A2" s="287"/>
      <c r="B2" s="287"/>
      <c r="C2" s="287"/>
      <c r="D2" s="287"/>
      <c r="E2" s="372"/>
    </row>
    <row r="3" spans="4:5" ht="11.25">
      <c r="D3" s="265"/>
      <c r="E3" s="265"/>
    </row>
    <row r="4" spans="1:5" s="293" customFormat="1" ht="15.75">
      <c r="A4" s="290" t="s">
        <v>547</v>
      </c>
      <c r="B4" s="265"/>
      <c r="C4" s="265"/>
      <c r="D4" s="265"/>
      <c r="E4" s="265"/>
    </row>
    <row r="5" spans="1:5" ht="15.75">
      <c r="A5" s="290" t="s">
        <v>443</v>
      </c>
      <c r="B5" s="265"/>
      <c r="C5" s="265"/>
      <c r="D5" s="265"/>
      <c r="E5" s="265"/>
    </row>
    <row r="6" spans="1:5" ht="11.25">
      <c r="A6" s="352"/>
      <c r="B6" s="265"/>
      <c r="C6" s="265"/>
      <c r="D6" s="265"/>
      <c r="E6" s="265"/>
    </row>
    <row r="7" spans="1:5" ht="11.25">
      <c r="A7" s="352"/>
      <c r="B7" s="265"/>
      <c r="C7" s="265"/>
      <c r="D7" s="265"/>
      <c r="E7" s="265"/>
    </row>
    <row r="8" spans="2:81" s="295" customFormat="1" ht="15">
      <c r="B8" s="297"/>
      <c r="C8" s="297"/>
      <c r="D8" s="373" t="s">
        <v>548</v>
      </c>
      <c r="E8" s="374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</row>
    <row r="9" spans="1:254" s="300" customFormat="1" ht="33.75" customHeight="1">
      <c r="A9" s="330" t="s">
        <v>7</v>
      </c>
      <c r="B9" s="331" t="s">
        <v>444</v>
      </c>
      <c r="C9" s="331" t="s">
        <v>9</v>
      </c>
      <c r="D9" s="331" t="s">
        <v>445</v>
      </c>
      <c r="E9" s="332" t="s">
        <v>130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331"/>
      <c r="CE9" s="332"/>
      <c r="CF9" s="330"/>
      <c r="CG9" s="331"/>
      <c r="CH9" s="331"/>
      <c r="CI9" s="331"/>
      <c r="CJ9" s="332"/>
      <c r="CK9" s="330"/>
      <c r="CL9" s="331"/>
      <c r="CM9" s="331"/>
      <c r="CN9" s="331"/>
      <c r="CO9" s="332"/>
      <c r="CP9" s="330"/>
      <c r="CQ9" s="331"/>
      <c r="CR9" s="331"/>
      <c r="CS9" s="331"/>
      <c r="CT9" s="332"/>
      <c r="CU9" s="330"/>
      <c r="CV9" s="331"/>
      <c r="CW9" s="331"/>
      <c r="CX9" s="331"/>
      <c r="CY9" s="332"/>
      <c r="CZ9" s="330"/>
      <c r="DA9" s="331"/>
      <c r="DB9" s="331"/>
      <c r="DC9" s="331"/>
      <c r="DD9" s="332"/>
      <c r="DE9" s="330"/>
      <c r="DF9" s="331"/>
      <c r="DG9" s="331"/>
      <c r="DH9" s="331"/>
      <c r="DI9" s="332"/>
      <c r="DJ9" s="330"/>
      <c r="DK9" s="331"/>
      <c r="DL9" s="331"/>
      <c r="DM9" s="331"/>
      <c r="DN9" s="332"/>
      <c r="DO9" s="330"/>
      <c r="DP9" s="331"/>
      <c r="DQ9" s="331"/>
      <c r="DR9" s="331"/>
      <c r="DS9" s="332"/>
      <c r="DT9" s="330"/>
      <c r="DU9" s="331"/>
      <c r="DV9" s="331"/>
      <c r="DW9" s="331"/>
      <c r="DX9" s="332"/>
      <c r="DY9" s="330"/>
      <c r="DZ9" s="331"/>
      <c r="EA9" s="331"/>
      <c r="EB9" s="331"/>
      <c r="EC9" s="332"/>
      <c r="ED9" s="330"/>
      <c r="EE9" s="331"/>
      <c r="EF9" s="331"/>
      <c r="EG9" s="331"/>
      <c r="EH9" s="332"/>
      <c r="EI9" s="330"/>
      <c r="EJ9" s="331"/>
      <c r="EK9" s="331"/>
      <c r="EL9" s="331"/>
      <c r="EM9" s="332"/>
      <c r="EN9" s="330"/>
      <c r="EO9" s="331"/>
      <c r="EP9" s="331"/>
      <c r="EQ9" s="331"/>
      <c r="ER9" s="332"/>
      <c r="ES9" s="330"/>
      <c r="ET9" s="331"/>
      <c r="EU9" s="331"/>
      <c r="EV9" s="331"/>
      <c r="EW9" s="332"/>
      <c r="EX9" s="330"/>
      <c r="EY9" s="331"/>
      <c r="EZ9" s="331"/>
      <c r="FA9" s="331"/>
      <c r="FB9" s="332"/>
      <c r="FC9" s="330"/>
      <c r="FD9" s="331"/>
      <c r="FE9" s="331"/>
      <c r="FF9" s="331"/>
      <c r="FG9" s="332"/>
      <c r="FH9" s="330"/>
      <c r="FI9" s="331"/>
      <c r="FJ9" s="331"/>
      <c r="FK9" s="331"/>
      <c r="FL9" s="332"/>
      <c r="FM9" s="330"/>
      <c r="FN9" s="331"/>
      <c r="FO9" s="331"/>
      <c r="FP9" s="331"/>
      <c r="FQ9" s="332"/>
      <c r="FR9" s="330"/>
      <c r="FS9" s="331"/>
      <c r="FT9" s="331"/>
      <c r="FU9" s="331"/>
      <c r="FV9" s="332"/>
      <c r="FW9" s="330"/>
      <c r="FX9" s="331"/>
      <c r="FY9" s="331"/>
      <c r="FZ9" s="331"/>
      <c r="GA9" s="332"/>
      <c r="GB9" s="330"/>
      <c r="GC9" s="331"/>
      <c r="GD9" s="331"/>
      <c r="GE9" s="331"/>
      <c r="GF9" s="332"/>
      <c r="GG9" s="330"/>
      <c r="GH9" s="331"/>
      <c r="GI9" s="331"/>
      <c r="GJ9" s="331"/>
      <c r="GK9" s="332"/>
      <c r="GL9" s="330"/>
      <c r="GM9" s="331"/>
      <c r="GN9" s="331"/>
      <c r="GO9" s="331"/>
      <c r="GP9" s="332"/>
      <c r="GQ9" s="330"/>
      <c r="GR9" s="331"/>
      <c r="GS9" s="331"/>
      <c r="GT9" s="331"/>
      <c r="GU9" s="332"/>
      <c r="GV9" s="330"/>
      <c r="GW9" s="331"/>
      <c r="GX9" s="331"/>
      <c r="GY9" s="331"/>
      <c r="GZ9" s="332"/>
      <c r="HA9" s="330"/>
      <c r="HB9" s="331"/>
      <c r="HC9" s="331"/>
      <c r="HD9" s="331"/>
      <c r="HE9" s="332"/>
      <c r="HF9" s="330"/>
      <c r="HG9" s="331"/>
      <c r="HH9" s="331"/>
      <c r="HI9" s="331"/>
      <c r="HJ9" s="332"/>
      <c r="HK9" s="330"/>
      <c r="HL9" s="331"/>
      <c r="HM9" s="331"/>
      <c r="HN9" s="331"/>
      <c r="HO9" s="332"/>
      <c r="HP9" s="330"/>
      <c r="HQ9" s="331"/>
      <c r="HR9" s="331"/>
      <c r="HS9" s="331"/>
      <c r="HT9" s="332"/>
      <c r="HU9" s="330"/>
      <c r="HV9" s="331"/>
      <c r="HW9" s="331"/>
      <c r="HX9" s="331"/>
      <c r="HY9" s="332"/>
      <c r="HZ9" s="330"/>
      <c r="IA9" s="331"/>
      <c r="IB9" s="331"/>
      <c r="IC9" s="331"/>
      <c r="ID9" s="332"/>
      <c r="IE9" s="330"/>
      <c r="IF9" s="331"/>
      <c r="IG9" s="331"/>
      <c r="IH9" s="331"/>
      <c r="II9" s="332"/>
      <c r="IJ9" s="330"/>
      <c r="IK9" s="331"/>
      <c r="IL9" s="331"/>
      <c r="IM9" s="331"/>
      <c r="IN9" s="332"/>
      <c r="IO9" s="330"/>
      <c r="IP9" s="331"/>
      <c r="IQ9" s="331"/>
      <c r="IR9" s="331"/>
      <c r="IS9" s="332"/>
      <c r="IT9" s="330"/>
    </row>
    <row r="10" spans="1:5" ht="11.25">
      <c r="A10" s="361">
        <v>1</v>
      </c>
      <c r="B10" s="362">
        <v>2</v>
      </c>
      <c r="C10" s="362">
        <v>3</v>
      </c>
      <c r="D10" s="363">
        <v>4</v>
      </c>
      <c r="E10" s="364">
        <v>5</v>
      </c>
    </row>
    <row r="11" spans="1:5" s="300" customFormat="1" ht="12.75" customHeight="1">
      <c r="A11" s="335" t="s">
        <v>215</v>
      </c>
      <c r="B11" s="303">
        <v>41208</v>
      </c>
      <c r="C11" s="303">
        <v>21086</v>
      </c>
      <c r="D11" s="366">
        <f aca="true" t="shared" si="0" ref="D11:D36">C11/B11*100</f>
        <v>51.17</v>
      </c>
      <c r="E11" s="336">
        <v>4844</v>
      </c>
    </row>
    <row r="12" spans="1:5" s="300" customFormat="1" ht="12.75">
      <c r="A12" s="335" t="s">
        <v>510</v>
      </c>
      <c r="B12" s="303">
        <f>B13+B32</f>
        <v>53658</v>
      </c>
      <c r="C12" s="303">
        <f>C13+C32</f>
        <v>20392</v>
      </c>
      <c r="D12" s="366">
        <f t="shared" si="0"/>
        <v>38</v>
      </c>
      <c r="E12" s="336">
        <f>E13+E32</f>
        <v>4489</v>
      </c>
    </row>
    <row r="13" spans="1:5" s="315" customFormat="1" ht="11.25" customHeight="1">
      <c r="A13" s="337" t="s">
        <v>220</v>
      </c>
      <c r="B13" s="303">
        <v>37897</v>
      </c>
      <c r="C13" s="303">
        <v>15203</v>
      </c>
      <c r="D13" s="366">
        <f t="shared" si="0"/>
        <v>40.12</v>
      </c>
      <c r="E13" s="336">
        <v>2937</v>
      </c>
    </row>
    <row r="14" spans="1:5" s="315" customFormat="1" ht="11.25" customHeight="1">
      <c r="A14" s="355" t="s">
        <v>221</v>
      </c>
      <c r="B14" s="303">
        <v>30213</v>
      </c>
      <c r="C14" s="303">
        <v>11496</v>
      </c>
      <c r="D14" s="366">
        <f t="shared" si="0"/>
        <v>38.05</v>
      </c>
      <c r="E14" s="336">
        <v>2165</v>
      </c>
    </row>
    <row r="15" spans="1:5" s="315" customFormat="1" ht="11.25" customHeight="1" hidden="1">
      <c r="A15" s="340" t="s">
        <v>511</v>
      </c>
      <c r="B15" s="303">
        <v>1490</v>
      </c>
      <c r="C15" s="303">
        <v>20</v>
      </c>
      <c r="D15" s="366">
        <f t="shared" si="0"/>
        <v>1.34</v>
      </c>
      <c r="E15" s="336">
        <v>0</v>
      </c>
    </row>
    <row r="16" spans="1:5" ht="12">
      <c r="A16" s="340" t="s">
        <v>512</v>
      </c>
      <c r="B16" s="303">
        <v>2772</v>
      </c>
      <c r="C16" s="303">
        <v>1139</v>
      </c>
      <c r="D16" s="366">
        <f t="shared" si="0"/>
        <v>41.09</v>
      </c>
      <c r="E16" s="336">
        <v>239</v>
      </c>
    </row>
    <row r="17" spans="1:5" ht="12">
      <c r="A17" s="340" t="s">
        <v>513</v>
      </c>
      <c r="B17" s="303">
        <v>758</v>
      </c>
      <c r="C17" s="303">
        <v>286</v>
      </c>
      <c r="D17" s="366">
        <f t="shared" si="0"/>
        <v>37.73</v>
      </c>
      <c r="E17" s="336">
        <v>63</v>
      </c>
    </row>
    <row r="18" spans="1:5" ht="12" hidden="1">
      <c r="A18" s="340" t="s">
        <v>514</v>
      </c>
      <c r="B18" s="303">
        <v>217</v>
      </c>
      <c r="C18" s="303">
        <v>121</v>
      </c>
      <c r="D18" s="366">
        <f t="shared" si="0"/>
        <v>55.76</v>
      </c>
      <c r="E18" s="336">
        <v>29</v>
      </c>
    </row>
    <row r="19" spans="1:5" ht="12" hidden="1">
      <c r="A19" s="340" t="s">
        <v>515</v>
      </c>
      <c r="B19" s="303">
        <v>21753</v>
      </c>
      <c r="C19" s="303">
        <v>8593</v>
      </c>
      <c r="D19" s="366">
        <f t="shared" si="0"/>
        <v>39.5</v>
      </c>
      <c r="E19" s="336">
        <v>1647</v>
      </c>
    </row>
    <row r="20" spans="1:5" ht="12" hidden="1">
      <c r="A20" s="340" t="s">
        <v>516</v>
      </c>
      <c r="B20" s="303">
        <v>3194</v>
      </c>
      <c r="C20" s="303">
        <v>1313</v>
      </c>
      <c r="D20" s="366">
        <f t="shared" si="0"/>
        <v>41.11</v>
      </c>
      <c r="E20" s="336">
        <v>181</v>
      </c>
    </row>
    <row r="21" spans="1:5" ht="12" hidden="1">
      <c r="A21" s="340" t="s">
        <v>517</v>
      </c>
      <c r="B21" s="303">
        <v>29</v>
      </c>
      <c r="C21" s="303">
        <v>25</v>
      </c>
      <c r="D21" s="366">
        <f t="shared" si="0"/>
        <v>86.21</v>
      </c>
      <c r="E21" s="336">
        <v>6</v>
      </c>
    </row>
    <row r="22" spans="1:5" ht="12">
      <c r="A22" s="340" t="s">
        <v>518</v>
      </c>
      <c r="B22" s="303">
        <f>SUM(B15,B18,B19,B20,B21)</f>
        <v>26683</v>
      </c>
      <c r="C22" s="303">
        <v>10071</v>
      </c>
      <c r="D22" s="366">
        <f t="shared" si="0"/>
        <v>37.74</v>
      </c>
      <c r="E22" s="336">
        <f>SUM(E15,E18,E19,E20,E21)</f>
        <v>1863</v>
      </c>
    </row>
    <row r="23" spans="1:5" ht="12">
      <c r="A23" s="356" t="s">
        <v>519</v>
      </c>
      <c r="B23" s="303">
        <f>SUM(B19,B20)</f>
        <v>24947</v>
      </c>
      <c r="C23" s="303">
        <f>SUM(C19,C20)</f>
        <v>9906</v>
      </c>
      <c r="D23" s="366">
        <f t="shared" si="0"/>
        <v>39.71</v>
      </c>
      <c r="E23" s="336">
        <f>SUM(E19,E20)</f>
        <v>1828</v>
      </c>
    </row>
    <row r="24" spans="1:5" ht="12">
      <c r="A24" s="356" t="s">
        <v>549</v>
      </c>
      <c r="B24" s="303">
        <f>SUM(B15,B18,B21)</f>
        <v>1736</v>
      </c>
      <c r="C24" s="303">
        <v>165</v>
      </c>
      <c r="D24" s="366">
        <f t="shared" si="0"/>
        <v>9.5</v>
      </c>
      <c r="E24" s="336">
        <f>SUM(E15,E18,E21)</f>
        <v>35</v>
      </c>
    </row>
    <row r="25" spans="1:5" ht="12">
      <c r="A25" s="355" t="s">
        <v>521</v>
      </c>
      <c r="B25" s="303">
        <v>41</v>
      </c>
      <c r="C25" s="303">
        <v>28</v>
      </c>
      <c r="D25" s="366">
        <f t="shared" si="0"/>
        <v>68.29</v>
      </c>
      <c r="E25" s="336">
        <v>12</v>
      </c>
    </row>
    <row r="26" spans="1:5" ht="12">
      <c r="A26" s="355" t="s">
        <v>235</v>
      </c>
      <c r="B26" s="303">
        <v>7643</v>
      </c>
      <c r="C26" s="303">
        <v>3679</v>
      </c>
      <c r="D26" s="366">
        <f t="shared" si="0"/>
        <v>48.14</v>
      </c>
      <c r="E26" s="336">
        <v>760</v>
      </c>
    </row>
    <row r="27" spans="1:5" ht="12">
      <c r="A27" s="340" t="s">
        <v>522</v>
      </c>
      <c r="B27" s="303">
        <v>192</v>
      </c>
      <c r="C27" s="303">
        <v>166</v>
      </c>
      <c r="D27" s="366">
        <f t="shared" si="0"/>
        <v>86.46</v>
      </c>
      <c r="E27" s="336">
        <v>164</v>
      </c>
    </row>
    <row r="28" spans="1:5" ht="12">
      <c r="A28" s="340" t="s">
        <v>523</v>
      </c>
      <c r="B28" s="303">
        <v>135</v>
      </c>
      <c r="C28" s="303">
        <v>24</v>
      </c>
      <c r="D28" s="366">
        <f t="shared" si="0"/>
        <v>17.78</v>
      </c>
      <c r="E28" s="336">
        <v>6</v>
      </c>
    </row>
    <row r="29" spans="1:5" ht="12">
      <c r="A29" s="340" t="s">
        <v>524</v>
      </c>
      <c r="B29" s="303">
        <v>299</v>
      </c>
      <c r="C29" s="303">
        <v>34</v>
      </c>
      <c r="D29" s="366">
        <f t="shared" si="0"/>
        <v>11.37</v>
      </c>
      <c r="E29" s="336">
        <v>-127</v>
      </c>
    </row>
    <row r="30" spans="1:5" ht="12">
      <c r="A30" s="340" t="s">
        <v>525</v>
      </c>
      <c r="B30" s="303">
        <v>4883</v>
      </c>
      <c r="C30" s="303">
        <v>2353</v>
      </c>
      <c r="D30" s="366">
        <f t="shared" si="0"/>
        <v>48.19</v>
      </c>
      <c r="E30" s="336">
        <v>452</v>
      </c>
    </row>
    <row r="31" spans="1:5" ht="12">
      <c r="A31" s="340" t="s">
        <v>526</v>
      </c>
      <c r="B31" s="303">
        <v>2134</v>
      </c>
      <c r="C31" s="303">
        <v>1102</v>
      </c>
      <c r="D31" s="366">
        <f t="shared" si="0"/>
        <v>51.64</v>
      </c>
      <c r="E31" s="336">
        <v>265</v>
      </c>
    </row>
    <row r="32" spans="1:7" s="315" customFormat="1" ht="11.25" customHeight="1">
      <c r="A32" s="337" t="s">
        <v>527</v>
      </c>
      <c r="B32" s="303">
        <v>15761</v>
      </c>
      <c r="C32" s="303">
        <v>5189</v>
      </c>
      <c r="D32" s="366">
        <f t="shared" si="0"/>
        <v>32.92</v>
      </c>
      <c r="E32" s="336">
        <v>1552</v>
      </c>
      <c r="G32" s="288"/>
    </row>
    <row r="33" spans="1:7" s="315" customFormat="1" ht="11.25" customHeight="1">
      <c r="A33" s="340" t="s">
        <v>255</v>
      </c>
      <c r="B33" s="303">
        <v>13264</v>
      </c>
      <c r="C33" s="303">
        <v>3806</v>
      </c>
      <c r="D33" s="366">
        <f t="shared" si="0"/>
        <v>28.69</v>
      </c>
      <c r="E33" s="336">
        <v>287</v>
      </c>
      <c r="F33" s="288"/>
      <c r="G33" s="288"/>
    </row>
    <row r="34" spans="1:5" ht="12" hidden="1">
      <c r="A34" s="340" t="s">
        <v>255</v>
      </c>
      <c r="B34" s="303">
        <v>384362</v>
      </c>
      <c r="C34" s="303">
        <v>198659</v>
      </c>
      <c r="D34" s="366">
        <f t="shared" si="0"/>
        <v>51.69</v>
      </c>
      <c r="E34" s="336">
        <v>43508</v>
      </c>
    </row>
    <row r="35" spans="1:5" ht="12" hidden="1">
      <c r="A35" s="340" t="s">
        <v>528</v>
      </c>
      <c r="B35" s="303">
        <v>353970</v>
      </c>
      <c r="C35" s="303">
        <v>184469</v>
      </c>
      <c r="D35" s="366">
        <f t="shared" si="0"/>
        <v>52.11</v>
      </c>
      <c r="E35" s="336">
        <v>40901</v>
      </c>
    </row>
    <row r="36" spans="1:5" ht="12">
      <c r="A36" s="340" t="s">
        <v>256</v>
      </c>
      <c r="B36" s="303">
        <v>2497</v>
      </c>
      <c r="C36" s="303">
        <v>1383</v>
      </c>
      <c r="D36" s="366">
        <f t="shared" si="0"/>
        <v>55.39</v>
      </c>
      <c r="E36" s="336">
        <v>1265</v>
      </c>
    </row>
    <row r="37" spans="1:7" s="315" customFormat="1" ht="11.25" customHeight="1">
      <c r="A37" s="337" t="s">
        <v>529</v>
      </c>
      <c r="B37" s="303">
        <v>-6031</v>
      </c>
      <c r="C37" s="303">
        <v>-922</v>
      </c>
      <c r="D37" s="366"/>
      <c r="E37" s="336">
        <v>65</v>
      </c>
      <c r="G37" s="288"/>
    </row>
    <row r="38" spans="1:5" ht="12.75" customHeight="1">
      <c r="A38" s="340" t="s">
        <v>530</v>
      </c>
      <c r="B38" s="303">
        <v>1027</v>
      </c>
      <c r="C38" s="303">
        <v>1929</v>
      </c>
      <c r="D38" s="366"/>
      <c r="E38" s="336">
        <v>278</v>
      </c>
    </row>
    <row r="39" spans="1:5" ht="12.75" customHeight="1">
      <c r="A39" s="341" t="s">
        <v>531</v>
      </c>
      <c r="B39" s="342">
        <v>7058</v>
      </c>
      <c r="C39" s="342">
        <v>2851</v>
      </c>
      <c r="D39" s="370"/>
      <c r="E39" s="343">
        <v>213</v>
      </c>
    </row>
    <row r="40" spans="1:5" ht="12.75" customHeight="1">
      <c r="A40" s="359" t="s">
        <v>260</v>
      </c>
      <c r="B40" s="342">
        <f>B11-B12-B37</f>
        <v>-6419</v>
      </c>
      <c r="C40" s="342">
        <f>C11-C12-C37</f>
        <v>1616</v>
      </c>
      <c r="D40" s="375"/>
      <c r="E40" s="343">
        <f>E11-E12-E37</f>
        <v>290</v>
      </c>
    </row>
    <row r="41" spans="1:4" ht="12">
      <c r="A41" s="323"/>
      <c r="B41" s="347"/>
      <c r="C41" s="347"/>
      <c r="D41" s="376"/>
    </row>
    <row r="42" ht="11.25">
      <c r="A42" s="352"/>
    </row>
    <row r="43" spans="1:7" s="322" customFormat="1" ht="12">
      <c r="A43" s="352"/>
      <c r="B43" s="288"/>
      <c r="C43" s="288"/>
      <c r="D43" s="288"/>
      <c r="E43" s="288"/>
      <c r="F43" s="288"/>
      <c r="G43" s="288"/>
    </row>
    <row r="44" spans="1:7" s="322" customFormat="1" ht="12">
      <c r="A44" s="323"/>
      <c r="B44" s="288"/>
      <c r="C44" s="288"/>
      <c r="D44" s="288"/>
      <c r="E44" s="288"/>
      <c r="F44" s="288"/>
      <c r="G44" s="288"/>
    </row>
    <row r="45" spans="1:254" s="300" customFormat="1" ht="12.75">
      <c r="A45" s="319" t="s">
        <v>478</v>
      </c>
      <c r="B45" s="319"/>
      <c r="C45" s="320"/>
      <c r="D45" s="377"/>
      <c r="E45" s="350" t="s">
        <v>479</v>
      </c>
      <c r="F45" s="288"/>
      <c r="G45" s="288"/>
      <c r="H45" s="351"/>
      <c r="I45" s="378"/>
      <c r="J45" s="378"/>
      <c r="K45" s="379"/>
      <c r="L45" s="288"/>
      <c r="M45" s="319"/>
      <c r="N45" s="319"/>
      <c r="O45" s="322"/>
      <c r="P45" s="322"/>
      <c r="Q45" s="322"/>
      <c r="R45" s="322"/>
      <c r="S45" s="288"/>
      <c r="T45" s="319"/>
      <c r="U45" s="319"/>
      <c r="V45" s="351"/>
      <c r="W45" s="349"/>
      <c r="X45" s="349"/>
      <c r="Y45" s="379"/>
      <c r="Z45" s="288"/>
      <c r="AA45" s="319"/>
      <c r="AB45" s="319"/>
      <c r="AC45" s="351"/>
      <c r="AD45" s="349"/>
      <c r="AE45" s="349"/>
      <c r="AF45" s="379"/>
      <c r="AG45" s="288"/>
      <c r="AH45" s="319"/>
      <c r="AI45" s="319"/>
      <c r="AJ45" s="351"/>
      <c r="AK45" s="349"/>
      <c r="AL45" s="349"/>
      <c r="AM45" s="379"/>
      <c r="AN45" s="288"/>
      <c r="AO45" s="319"/>
      <c r="AP45" s="319"/>
      <c r="AQ45" s="351"/>
      <c r="AR45" s="349"/>
      <c r="AS45" s="349"/>
      <c r="AT45" s="379"/>
      <c r="AU45" s="288"/>
      <c r="AV45" s="319"/>
      <c r="AW45" s="319"/>
      <c r="AX45" s="351"/>
      <c r="AY45" s="349"/>
      <c r="AZ45" s="349"/>
      <c r="BA45" s="379"/>
      <c r="BB45" s="288"/>
      <c r="BC45" s="319"/>
      <c r="BD45" s="319"/>
      <c r="BE45" s="351"/>
      <c r="BF45" s="349"/>
      <c r="BG45" s="349"/>
      <c r="BH45" s="379"/>
      <c r="BI45" s="288"/>
      <c r="BJ45" s="319"/>
      <c r="BK45" s="319"/>
      <c r="BL45" s="351"/>
      <c r="BM45" s="349"/>
      <c r="BN45" s="349"/>
      <c r="BO45" s="379"/>
      <c r="BP45" s="288"/>
      <c r="BQ45" s="319"/>
      <c r="BR45" s="319"/>
      <c r="BS45" s="351"/>
      <c r="BT45" s="349"/>
      <c r="BU45" s="349"/>
      <c r="BV45" s="379"/>
      <c r="BW45" s="288"/>
      <c r="BX45" s="319"/>
      <c r="BY45" s="319"/>
      <c r="BZ45" s="351"/>
      <c r="CA45" s="349"/>
      <c r="CB45" s="349"/>
      <c r="CC45" s="379"/>
      <c r="CD45" s="288"/>
      <c r="CE45" s="319"/>
      <c r="CF45" s="319"/>
      <c r="CG45" s="351"/>
      <c r="CH45" s="349"/>
      <c r="CI45" s="349"/>
      <c r="CJ45" s="379"/>
      <c r="CK45" s="288"/>
      <c r="CL45" s="319"/>
      <c r="CM45" s="319"/>
      <c r="CN45" s="351"/>
      <c r="CO45" s="349"/>
      <c r="CP45" s="349"/>
      <c r="CQ45" s="379"/>
      <c r="CR45" s="288"/>
      <c r="CS45" s="319"/>
      <c r="CT45" s="319"/>
      <c r="CU45" s="351"/>
      <c r="CV45" s="349"/>
      <c r="CW45" s="349"/>
      <c r="CX45" s="379"/>
      <c r="CY45" s="288"/>
      <c r="CZ45" s="319"/>
      <c r="DA45" s="319"/>
      <c r="DB45" s="351"/>
      <c r="DC45" s="349"/>
      <c r="DD45" s="349"/>
      <c r="DE45" s="379"/>
      <c r="DF45" s="288"/>
      <c r="DG45" s="319"/>
      <c r="DH45" s="319"/>
      <c r="DI45" s="351"/>
      <c r="DJ45" s="349"/>
      <c r="DK45" s="349"/>
      <c r="DL45" s="379"/>
      <c r="DM45" s="288"/>
      <c r="DN45" s="319"/>
      <c r="DO45" s="319"/>
      <c r="DP45" s="351"/>
      <c r="DQ45" s="349"/>
      <c r="DR45" s="349"/>
      <c r="DS45" s="379"/>
      <c r="DT45" s="288"/>
      <c r="DU45" s="319"/>
      <c r="DV45" s="319"/>
      <c r="DW45" s="351"/>
      <c r="DX45" s="349"/>
      <c r="DY45" s="349"/>
      <c r="DZ45" s="379"/>
      <c r="EA45" s="288"/>
      <c r="EB45" s="319"/>
      <c r="EC45" s="319"/>
      <c r="ED45" s="351"/>
      <c r="EE45" s="349"/>
      <c r="EF45" s="349"/>
      <c r="EG45" s="379"/>
      <c r="EH45" s="288"/>
      <c r="EI45" s="319"/>
      <c r="EJ45" s="319"/>
      <c r="EK45" s="351"/>
      <c r="EL45" s="349"/>
      <c r="EM45" s="349"/>
      <c r="EN45" s="379"/>
      <c r="EO45" s="288"/>
      <c r="EP45" s="319"/>
      <c r="EQ45" s="319"/>
      <c r="ER45" s="351"/>
      <c r="ES45" s="349"/>
      <c r="ET45" s="349"/>
      <c r="EU45" s="379"/>
      <c r="EV45" s="288"/>
      <c r="EW45" s="319"/>
      <c r="EX45" s="319"/>
      <c r="EY45" s="351"/>
      <c r="EZ45" s="349"/>
      <c r="FA45" s="349"/>
      <c r="FB45" s="379"/>
      <c r="FC45" s="288"/>
      <c r="FD45" s="319"/>
      <c r="FE45" s="319"/>
      <c r="FF45" s="351"/>
      <c r="FG45" s="349"/>
      <c r="FH45" s="349"/>
      <c r="FI45" s="379"/>
      <c r="FJ45" s="288"/>
      <c r="FK45" s="319"/>
      <c r="FL45" s="319"/>
      <c r="FM45" s="351"/>
      <c r="FN45" s="349"/>
      <c r="FO45" s="349"/>
      <c r="FP45" s="379"/>
      <c r="FQ45" s="288"/>
      <c r="FR45" s="319"/>
      <c r="FS45" s="319"/>
      <c r="FT45" s="351"/>
      <c r="FU45" s="349"/>
      <c r="FV45" s="349"/>
      <c r="FW45" s="379"/>
      <c r="FX45" s="288"/>
      <c r="FY45" s="319"/>
      <c r="FZ45" s="319"/>
      <c r="GA45" s="351"/>
      <c r="GB45" s="349"/>
      <c r="GC45" s="349"/>
      <c r="GD45" s="379"/>
      <c r="GE45" s="288"/>
      <c r="GF45" s="319"/>
      <c r="GG45" s="319"/>
      <c r="GH45" s="351"/>
      <c r="GI45" s="349"/>
      <c r="GJ45" s="349"/>
      <c r="GK45" s="379"/>
      <c r="GL45" s="288"/>
      <c r="GM45" s="319"/>
      <c r="GN45" s="319"/>
      <c r="GO45" s="351"/>
      <c r="GP45" s="349"/>
      <c r="GQ45" s="349"/>
      <c r="GR45" s="379"/>
      <c r="GS45" s="288"/>
      <c r="GT45" s="319"/>
      <c r="GU45" s="319"/>
      <c r="GV45" s="351"/>
      <c r="GW45" s="349"/>
      <c r="GX45" s="349"/>
      <c r="GY45" s="379"/>
      <c r="GZ45" s="288"/>
      <c r="HA45" s="319"/>
      <c r="HB45" s="319"/>
      <c r="HC45" s="351"/>
      <c r="HD45" s="349"/>
      <c r="HE45" s="349"/>
      <c r="HF45" s="379"/>
      <c r="HG45" s="288"/>
      <c r="HH45" s="319"/>
      <c r="HI45" s="319"/>
      <c r="HJ45" s="351"/>
      <c r="HK45" s="349"/>
      <c r="HL45" s="349"/>
      <c r="HM45" s="379"/>
      <c r="HN45" s="288"/>
      <c r="HO45" s="319"/>
      <c r="HP45" s="319"/>
      <c r="HQ45" s="351"/>
      <c r="HR45" s="349"/>
      <c r="HS45" s="349"/>
      <c r="HT45" s="379"/>
      <c r="HU45" s="288"/>
      <c r="HV45" s="319"/>
      <c r="HW45" s="319"/>
      <c r="HX45" s="351"/>
      <c r="HY45" s="349"/>
      <c r="HZ45" s="349"/>
      <c r="IA45" s="379"/>
      <c r="IB45" s="288"/>
      <c r="IC45" s="319"/>
      <c r="ID45" s="319"/>
      <c r="IE45" s="351"/>
      <c r="IF45" s="349"/>
      <c r="IG45" s="349"/>
      <c r="IH45" s="379"/>
      <c r="II45" s="288"/>
      <c r="IJ45" s="319"/>
      <c r="IK45" s="319"/>
      <c r="IL45" s="351"/>
      <c r="IM45" s="349"/>
      <c r="IN45" s="349"/>
      <c r="IO45" s="379"/>
      <c r="IP45" s="288"/>
      <c r="IQ45" s="319"/>
      <c r="IR45" s="319"/>
      <c r="IS45" s="351"/>
      <c r="IT45" s="349"/>
    </row>
    <row r="46" spans="2:253" s="319" customFormat="1" ht="16.5" customHeight="1">
      <c r="B46" s="314"/>
      <c r="C46" s="314"/>
      <c r="D46" s="288"/>
      <c r="E46" s="288"/>
      <c r="F46" s="288"/>
      <c r="G46" s="288"/>
      <c r="H46" s="351"/>
      <c r="I46" s="322"/>
      <c r="J46" s="351"/>
      <c r="K46" s="351"/>
      <c r="M46" s="322"/>
      <c r="O46" s="351"/>
      <c r="P46" s="322"/>
      <c r="Q46" s="351"/>
      <c r="R46" s="351"/>
      <c r="T46" s="322"/>
      <c r="V46" s="351"/>
      <c r="W46" s="322"/>
      <c r="X46" s="351"/>
      <c r="Y46" s="351"/>
      <c r="AA46" s="322"/>
      <c r="AC46" s="351"/>
      <c r="AD46" s="322"/>
      <c r="AE46" s="351"/>
      <c r="AF46" s="351"/>
      <c r="AH46" s="322"/>
      <c r="AJ46" s="351"/>
      <c r="AK46" s="322"/>
      <c r="AL46" s="351"/>
      <c r="AM46" s="351"/>
      <c r="AO46" s="322"/>
      <c r="AQ46" s="351"/>
      <c r="AR46" s="322"/>
      <c r="AS46" s="351"/>
      <c r="AT46" s="351"/>
      <c r="AV46" s="322"/>
      <c r="AX46" s="351"/>
      <c r="AY46" s="322"/>
      <c r="AZ46" s="351"/>
      <c r="BA46" s="351"/>
      <c r="BC46" s="322"/>
      <c r="BE46" s="351"/>
      <c r="BF46" s="322"/>
      <c r="BG46" s="351"/>
      <c r="BH46" s="351"/>
      <c r="BJ46" s="322"/>
      <c r="BL46" s="351"/>
      <c r="BM46" s="322"/>
      <c r="BN46" s="351"/>
      <c r="BO46" s="351"/>
      <c r="BQ46" s="322"/>
      <c r="BS46" s="351"/>
      <c r="BT46" s="322"/>
      <c r="BU46" s="351"/>
      <c r="BV46" s="351"/>
      <c r="BX46" s="322"/>
      <c r="BZ46" s="351"/>
      <c r="CA46" s="322"/>
      <c r="CB46" s="351"/>
      <c r="CC46" s="351"/>
      <c r="CE46" s="322"/>
      <c r="CG46" s="351"/>
      <c r="CH46" s="322"/>
      <c r="CI46" s="351"/>
      <c r="CJ46" s="351"/>
      <c r="CL46" s="322"/>
      <c r="CN46" s="351"/>
      <c r="CO46" s="322"/>
      <c r="CP46" s="351"/>
      <c r="CQ46" s="351"/>
      <c r="CS46" s="322"/>
      <c r="CU46" s="351"/>
      <c r="CV46" s="322"/>
      <c r="CW46" s="351"/>
      <c r="CX46" s="351"/>
      <c r="CZ46" s="322"/>
      <c r="DB46" s="351"/>
      <c r="DC46" s="322"/>
      <c r="DD46" s="351"/>
      <c r="DE46" s="351"/>
      <c r="DG46" s="322"/>
      <c r="DI46" s="351"/>
      <c r="DJ46" s="322"/>
      <c r="DK46" s="351"/>
      <c r="DL46" s="351"/>
      <c r="DN46" s="322"/>
      <c r="DP46" s="351"/>
      <c r="DQ46" s="322"/>
      <c r="DR46" s="351"/>
      <c r="DS46" s="351"/>
      <c r="DU46" s="322"/>
      <c r="DW46" s="351"/>
      <c r="DX46" s="322"/>
      <c r="DY46" s="351"/>
      <c r="DZ46" s="351"/>
      <c r="EB46" s="322"/>
      <c r="ED46" s="351"/>
      <c r="EE46" s="322"/>
      <c r="EF46" s="351"/>
      <c r="EG46" s="351"/>
      <c r="EI46" s="322"/>
      <c r="EK46" s="351"/>
      <c r="EL46" s="322"/>
      <c r="EM46" s="351"/>
      <c r="EN46" s="351"/>
      <c r="EP46" s="322"/>
      <c r="ER46" s="351"/>
      <c r="ES46" s="322"/>
      <c r="ET46" s="351"/>
      <c r="EU46" s="351"/>
      <c r="EW46" s="322"/>
      <c r="EY46" s="351"/>
      <c r="EZ46" s="322"/>
      <c r="FA46" s="351"/>
      <c r="FB46" s="351"/>
      <c r="FD46" s="322"/>
      <c r="FF46" s="351"/>
      <c r="FG46" s="322"/>
      <c r="FH46" s="351"/>
      <c r="FI46" s="351"/>
      <c r="FK46" s="322"/>
      <c r="FM46" s="351"/>
      <c r="FN46" s="322"/>
      <c r="FO46" s="351"/>
      <c r="FP46" s="351"/>
      <c r="FR46" s="322"/>
      <c r="FT46" s="351"/>
      <c r="FU46" s="322"/>
      <c r="FV46" s="351"/>
      <c r="FW46" s="351"/>
      <c r="FY46" s="322"/>
      <c r="GA46" s="351"/>
      <c r="GB46" s="322"/>
      <c r="GC46" s="351"/>
      <c r="GD46" s="351"/>
      <c r="GF46" s="322"/>
      <c r="GH46" s="351"/>
      <c r="GI46" s="322"/>
      <c r="GJ46" s="351"/>
      <c r="GK46" s="351"/>
      <c r="GM46" s="322"/>
      <c r="GO46" s="351"/>
      <c r="GP46" s="322"/>
      <c r="GQ46" s="351"/>
      <c r="GR46" s="351"/>
      <c r="GT46" s="322"/>
      <c r="GV46" s="351"/>
      <c r="GW46" s="322"/>
      <c r="GX46" s="351"/>
      <c r="GY46" s="351"/>
      <c r="HA46" s="322"/>
      <c r="HC46" s="351"/>
      <c r="HD46" s="322"/>
      <c r="HE46" s="351"/>
      <c r="HF46" s="351"/>
      <c r="HH46" s="322"/>
      <c r="HJ46" s="351"/>
      <c r="HK46" s="322"/>
      <c r="HL46" s="351"/>
      <c r="HM46" s="351"/>
      <c r="HO46" s="322"/>
      <c r="HQ46" s="351"/>
      <c r="HR46" s="322"/>
      <c r="HS46" s="351"/>
      <c r="HT46" s="351"/>
      <c r="HV46" s="322"/>
      <c r="HX46" s="351"/>
      <c r="HY46" s="322"/>
      <c r="HZ46" s="351"/>
      <c r="IA46" s="351"/>
      <c r="IC46" s="322"/>
      <c r="IE46" s="351"/>
      <c r="IF46" s="322"/>
      <c r="IG46" s="351"/>
      <c r="IH46" s="351"/>
      <c r="IJ46" s="322"/>
      <c r="IL46" s="351"/>
      <c r="IM46" s="322"/>
      <c r="IN46" s="351"/>
      <c r="IO46" s="351"/>
      <c r="IQ46" s="322"/>
      <c r="IS46" s="351"/>
    </row>
    <row r="47" spans="1:7" s="322" customFormat="1" ht="12.75">
      <c r="A47" s="352"/>
      <c r="B47" s="380"/>
      <c r="C47" s="380"/>
      <c r="D47" s="288"/>
      <c r="E47" s="288"/>
      <c r="F47" s="288"/>
      <c r="G47" s="288"/>
    </row>
    <row r="48" spans="1:7" s="300" customFormat="1" ht="12.75">
      <c r="A48" s="381"/>
      <c r="D48" s="288"/>
      <c r="E48" s="288"/>
      <c r="F48" s="288"/>
      <c r="G48" s="288"/>
    </row>
    <row r="49" spans="1:7" s="300" customFormat="1" ht="12.75">
      <c r="A49" s="317"/>
      <c r="B49" s="317"/>
      <c r="C49" s="317"/>
      <c r="D49" s="288"/>
      <c r="E49" s="288"/>
      <c r="F49" s="288"/>
      <c r="G49" s="288"/>
    </row>
    <row r="57" spans="4:7" ht="11.25">
      <c r="D57" s="288">
        <v>0</v>
      </c>
      <c r="E57" s="288">
        <v>0</v>
      </c>
      <c r="F57" s="288">
        <v>0</v>
      </c>
      <c r="G57" s="288">
        <v>0</v>
      </c>
    </row>
    <row r="58" spans="4:7" ht="11.25">
      <c r="D58" s="288">
        <v>0</v>
      </c>
      <c r="E58" s="288">
        <v>0</v>
      </c>
      <c r="F58" s="288">
        <v>0</v>
      </c>
      <c r="G58" s="288">
        <v>0</v>
      </c>
    </row>
    <row r="59" spans="4:7" ht="11.25">
      <c r="D59" s="288">
        <v>0</v>
      </c>
      <c r="E59" s="288">
        <v>0</v>
      </c>
      <c r="F59" s="288">
        <v>0</v>
      </c>
      <c r="G59" s="288">
        <v>0</v>
      </c>
    </row>
  </sheetData>
  <printOptions/>
  <pageMargins left="0.7480314960629921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Valsts kase / Pārskatu departaments
 15.07.99.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A39">
      <selection activeCell="A45" sqref="A45"/>
    </sheetView>
  </sheetViews>
  <sheetFormatPr defaultColWidth="9.140625" defaultRowHeight="12.75"/>
  <cols>
    <col min="1" max="1" width="17.7109375" style="383" customWidth="1"/>
    <col min="2" max="2" width="8.8515625" style="288" customWidth="1"/>
    <col min="3" max="3" width="8.421875" style="288" customWidth="1"/>
    <col min="4" max="4" width="8.8515625" style="288" customWidth="1"/>
    <col min="5" max="5" width="8.57421875" style="288" customWidth="1"/>
    <col min="6" max="6" width="6.8515625" style="288" customWidth="1"/>
    <col min="7" max="7" width="8.421875" style="288" customWidth="1"/>
    <col min="8" max="8" width="11.28125" style="288" customWidth="1"/>
    <col min="9" max="9" width="10.140625" style="288" customWidth="1"/>
    <col min="10" max="10" width="8.57421875" style="288" customWidth="1"/>
    <col min="11" max="11" width="8.00390625" style="288" customWidth="1"/>
    <col min="12" max="13" width="7.57421875" style="288" customWidth="1"/>
    <col min="14" max="14" width="7.140625" style="288" customWidth="1"/>
    <col min="15" max="16" width="9.28125" style="288" customWidth="1"/>
    <col min="17" max="16384" width="8.00390625" style="288" customWidth="1"/>
  </cols>
  <sheetData>
    <row r="1" spans="1:16" ht="12.75">
      <c r="A1" s="382"/>
      <c r="B1" s="300"/>
      <c r="C1" s="300"/>
      <c r="D1" s="300"/>
      <c r="E1" s="300"/>
      <c r="F1" s="300" t="s">
        <v>550</v>
      </c>
      <c r="G1" s="300"/>
      <c r="H1" s="300"/>
      <c r="I1" s="300"/>
      <c r="J1" s="300"/>
      <c r="K1" s="300"/>
      <c r="L1" s="300"/>
      <c r="M1" s="300"/>
      <c r="N1" s="287"/>
      <c r="O1" s="287"/>
      <c r="P1" s="287" t="s">
        <v>551</v>
      </c>
    </row>
    <row r="2" spans="14:15" ht="12">
      <c r="N2" s="384"/>
      <c r="O2" s="265"/>
    </row>
    <row r="3" spans="1:16" s="300" customFormat="1" ht="12.75">
      <c r="A3" s="382"/>
      <c r="N3" s="287"/>
      <c r="O3" s="287"/>
      <c r="P3" s="287"/>
    </row>
    <row r="4" spans="1:16" s="293" customFormat="1" ht="15.75">
      <c r="A4" s="385" t="s">
        <v>552</v>
      </c>
      <c r="B4" s="38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</row>
    <row r="5" spans="1:16" s="388" customFormat="1" ht="15.75">
      <c r="A5" s="386" t="s">
        <v>443</v>
      </c>
      <c r="B5" s="386"/>
      <c r="C5" s="386"/>
      <c r="D5" s="386"/>
      <c r="E5" s="387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</row>
    <row r="6" spans="1:16" s="388" customFormat="1" ht="15.75">
      <c r="A6" s="386"/>
      <c r="B6" s="386"/>
      <c r="C6" s="386"/>
      <c r="D6" s="386"/>
      <c r="E6" s="387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" s="295" customFormat="1" ht="11.25">
      <c r="A7" s="389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 t="s">
        <v>553</v>
      </c>
      <c r="N7" s="297"/>
      <c r="O7" s="374"/>
      <c r="P7" s="297"/>
    </row>
    <row r="8" spans="1:16" s="300" customFormat="1" ht="12.75">
      <c r="A8" s="390"/>
      <c r="B8" s="391" t="s">
        <v>278</v>
      </c>
      <c r="C8" s="391"/>
      <c r="D8" s="391"/>
      <c r="E8" s="392" t="s">
        <v>554</v>
      </c>
      <c r="F8" s="391"/>
      <c r="G8" s="391"/>
      <c r="H8" s="393"/>
      <c r="I8" s="393"/>
      <c r="J8" s="394" t="s">
        <v>555</v>
      </c>
      <c r="K8" s="391"/>
      <c r="L8" s="391"/>
      <c r="M8" s="395"/>
      <c r="N8" s="391"/>
      <c r="O8" s="396"/>
      <c r="P8" s="397"/>
    </row>
    <row r="9" spans="1:16" ht="11.25">
      <c r="A9" s="398"/>
      <c r="B9" s="329"/>
      <c r="C9" s="399"/>
      <c r="D9" s="399"/>
      <c r="E9" s="399"/>
      <c r="F9" s="399"/>
      <c r="G9" s="399"/>
      <c r="H9" s="399"/>
      <c r="I9" s="399"/>
      <c r="J9" s="399"/>
      <c r="K9" s="399"/>
      <c r="L9" s="400" t="s">
        <v>556</v>
      </c>
      <c r="M9" s="400"/>
      <c r="N9" s="329"/>
      <c r="O9" s="399"/>
      <c r="P9" s="401"/>
    </row>
    <row r="10" spans="1:16" s="408" customFormat="1" ht="45">
      <c r="A10" s="402" t="s">
        <v>557</v>
      </c>
      <c r="B10" s="403" t="s">
        <v>558</v>
      </c>
      <c r="C10" s="404" t="s">
        <v>559</v>
      </c>
      <c r="D10" s="405" t="s">
        <v>560</v>
      </c>
      <c r="E10" s="405" t="s">
        <v>561</v>
      </c>
      <c r="F10" s="405" t="s">
        <v>562</v>
      </c>
      <c r="G10" s="405" t="s">
        <v>563</v>
      </c>
      <c r="H10" s="405" t="s">
        <v>564</v>
      </c>
      <c r="I10" s="405" t="s">
        <v>565</v>
      </c>
      <c r="J10" s="405" t="s">
        <v>415</v>
      </c>
      <c r="K10" s="405" t="s">
        <v>566</v>
      </c>
      <c r="L10" s="405" t="s">
        <v>567</v>
      </c>
      <c r="M10" s="405" t="s">
        <v>568</v>
      </c>
      <c r="N10" s="405" t="s">
        <v>569</v>
      </c>
      <c r="O10" s="406" t="s">
        <v>427</v>
      </c>
      <c r="P10" s="407" t="s">
        <v>570</v>
      </c>
    </row>
    <row r="11" spans="1:16" s="295" customFormat="1" ht="11.25">
      <c r="A11" s="409">
        <v>1</v>
      </c>
      <c r="B11" s="410">
        <v>2</v>
      </c>
      <c r="C11" s="410">
        <v>3</v>
      </c>
      <c r="D11" s="410">
        <v>4</v>
      </c>
      <c r="E11" s="410">
        <v>5</v>
      </c>
      <c r="F11" s="410">
        <v>6</v>
      </c>
      <c r="G11" s="410">
        <v>7</v>
      </c>
      <c r="H11" s="410">
        <v>8</v>
      </c>
      <c r="I11" s="410">
        <v>9</v>
      </c>
      <c r="J11" s="410">
        <v>10</v>
      </c>
      <c r="K11" s="410">
        <v>11</v>
      </c>
      <c r="L11" s="410">
        <v>12</v>
      </c>
      <c r="M11" s="410">
        <v>13</v>
      </c>
      <c r="N11" s="410">
        <v>14</v>
      </c>
      <c r="O11" s="410">
        <v>15</v>
      </c>
      <c r="P11" s="411">
        <v>16</v>
      </c>
    </row>
    <row r="12" spans="1:16" ht="12.75">
      <c r="A12" s="412" t="s">
        <v>571</v>
      </c>
      <c r="B12" s="413"/>
      <c r="C12" s="413"/>
      <c r="D12" s="413"/>
      <c r="E12" s="413"/>
      <c r="F12" s="413"/>
      <c r="G12" s="413"/>
      <c r="H12" s="413"/>
      <c r="I12" s="413"/>
      <c r="J12" s="413">
        <v>0</v>
      </c>
      <c r="K12" s="413"/>
      <c r="L12" s="413"/>
      <c r="M12" s="413"/>
      <c r="N12" s="413"/>
      <c r="O12" s="413"/>
      <c r="P12" s="414">
        <v>0</v>
      </c>
    </row>
    <row r="13" spans="1:16" ht="12">
      <c r="A13" s="415" t="s">
        <v>572</v>
      </c>
      <c r="B13" s="416">
        <v>57735766</v>
      </c>
      <c r="C13" s="416">
        <v>12627510</v>
      </c>
      <c r="D13" s="416">
        <v>70363276</v>
      </c>
      <c r="E13" s="416">
        <v>62986938</v>
      </c>
      <c r="F13" s="416">
        <v>8625449</v>
      </c>
      <c r="G13" s="416">
        <v>71612387</v>
      </c>
      <c r="H13" s="416">
        <v>-1249111</v>
      </c>
      <c r="I13" s="416">
        <v>1249111</v>
      </c>
      <c r="J13" s="416">
        <v>-2000000</v>
      </c>
      <c r="K13" s="416">
        <v>2547368</v>
      </c>
      <c r="L13" s="416">
        <v>7153838</v>
      </c>
      <c r="M13" s="416">
        <v>4606470</v>
      </c>
      <c r="N13" s="416">
        <v>0</v>
      </c>
      <c r="O13" s="416">
        <v>0</v>
      </c>
      <c r="P13" s="417">
        <v>701743</v>
      </c>
    </row>
    <row r="14" spans="1:16" ht="12">
      <c r="A14" s="418" t="s">
        <v>573</v>
      </c>
      <c r="B14" s="416">
        <v>4819249</v>
      </c>
      <c r="C14" s="416">
        <v>2124168</v>
      </c>
      <c r="D14" s="416">
        <v>6943417</v>
      </c>
      <c r="E14" s="416">
        <v>7323661</v>
      </c>
      <c r="F14" s="416">
        <v>5962</v>
      </c>
      <c r="G14" s="416">
        <v>7329623</v>
      </c>
      <c r="H14" s="416">
        <v>-386206</v>
      </c>
      <c r="I14" s="416">
        <v>386206</v>
      </c>
      <c r="J14" s="416">
        <v>75000</v>
      </c>
      <c r="K14" s="416">
        <v>311206</v>
      </c>
      <c r="L14" s="416">
        <v>461910</v>
      </c>
      <c r="M14" s="416">
        <v>150704</v>
      </c>
      <c r="N14" s="416">
        <v>0</v>
      </c>
      <c r="O14" s="416">
        <v>0</v>
      </c>
      <c r="P14" s="417">
        <v>0</v>
      </c>
    </row>
    <row r="15" spans="1:16" ht="12">
      <c r="A15" s="418" t="s">
        <v>574</v>
      </c>
      <c r="B15" s="416">
        <v>3108025</v>
      </c>
      <c r="C15" s="416">
        <v>1666583</v>
      </c>
      <c r="D15" s="416">
        <v>4774608</v>
      </c>
      <c r="E15" s="416">
        <v>4339928</v>
      </c>
      <c r="F15" s="416">
        <v>64313</v>
      </c>
      <c r="G15" s="416">
        <v>4404241</v>
      </c>
      <c r="H15" s="416">
        <v>370367</v>
      </c>
      <c r="I15" s="416">
        <v>-370367</v>
      </c>
      <c r="J15" s="416">
        <v>-583800</v>
      </c>
      <c r="K15" s="416">
        <v>-213816</v>
      </c>
      <c r="L15" s="416">
        <v>64369</v>
      </c>
      <c r="M15" s="416">
        <v>278185</v>
      </c>
      <c r="N15" s="416">
        <v>0</v>
      </c>
      <c r="O15" s="416">
        <v>156100</v>
      </c>
      <c r="P15" s="417">
        <v>271149</v>
      </c>
    </row>
    <row r="16" spans="1:16" ht="12">
      <c r="A16" s="418" t="s">
        <v>575</v>
      </c>
      <c r="B16" s="416">
        <v>3003703</v>
      </c>
      <c r="C16" s="416">
        <v>919450</v>
      </c>
      <c r="D16" s="416">
        <v>3923153</v>
      </c>
      <c r="E16" s="416">
        <v>4148931</v>
      </c>
      <c r="F16" s="416">
        <v>45717</v>
      </c>
      <c r="G16" s="416">
        <v>4194648</v>
      </c>
      <c r="H16" s="416">
        <v>-271495</v>
      </c>
      <c r="I16" s="416">
        <v>271495</v>
      </c>
      <c r="J16" s="416">
        <v>430000</v>
      </c>
      <c r="K16" s="416">
        <v>-158505</v>
      </c>
      <c r="L16" s="416">
        <v>205452</v>
      </c>
      <c r="M16" s="416">
        <v>363957</v>
      </c>
      <c r="N16" s="416">
        <v>0</v>
      </c>
      <c r="O16" s="416">
        <v>0</v>
      </c>
      <c r="P16" s="417">
        <v>0</v>
      </c>
    </row>
    <row r="17" spans="1:16" ht="12">
      <c r="A17" s="418" t="s">
        <v>576</v>
      </c>
      <c r="B17" s="416">
        <v>4618617</v>
      </c>
      <c r="C17" s="416">
        <v>1803968</v>
      </c>
      <c r="D17" s="416">
        <v>6422585</v>
      </c>
      <c r="E17" s="416">
        <v>6171473</v>
      </c>
      <c r="F17" s="416">
        <v>137815</v>
      </c>
      <c r="G17" s="416">
        <v>6309288</v>
      </c>
      <c r="H17" s="416">
        <v>113297</v>
      </c>
      <c r="I17" s="416">
        <v>-113297</v>
      </c>
      <c r="J17" s="416">
        <v>-26891</v>
      </c>
      <c r="K17" s="416">
        <v>-86406</v>
      </c>
      <c r="L17" s="416">
        <v>408121</v>
      </c>
      <c r="M17" s="416">
        <v>494527</v>
      </c>
      <c r="N17" s="416">
        <v>0</v>
      </c>
      <c r="O17" s="416">
        <v>0</v>
      </c>
      <c r="P17" s="417">
        <v>0</v>
      </c>
    </row>
    <row r="18" spans="1:16" ht="12">
      <c r="A18" s="418" t="s">
        <v>577</v>
      </c>
      <c r="B18" s="416">
        <v>1768168</v>
      </c>
      <c r="C18" s="416">
        <v>897744</v>
      </c>
      <c r="D18" s="416">
        <v>2665912</v>
      </c>
      <c r="E18" s="416">
        <v>2466261</v>
      </c>
      <c r="F18" s="416">
        <v>4363</v>
      </c>
      <c r="G18" s="416">
        <v>2470624</v>
      </c>
      <c r="H18" s="416">
        <v>195288</v>
      </c>
      <c r="I18" s="416">
        <v>-195288</v>
      </c>
      <c r="J18" s="416">
        <v>72000</v>
      </c>
      <c r="K18" s="416">
        <v>-267288</v>
      </c>
      <c r="L18" s="416">
        <v>78705</v>
      </c>
      <c r="M18" s="416">
        <v>345993</v>
      </c>
      <c r="N18" s="416">
        <v>0</v>
      </c>
      <c r="O18" s="416">
        <v>0</v>
      </c>
      <c r="P18" s="417">
        <v>0</v>
      </c>
    </row>
    <row r="19" spans="1:16" ht="12">
      <c r="A19" s="418" t="s">
        <v>578</v>
      </c>
      <c r="B19" s="416">
        <v>5760762</v>
      </c>
      <c r="C19" s="416">
        <v>699832</v>
      </c>
      <c r="D19" s="416">
        <v>6460594</v>
      </c>
      <c r="E19" s="416">
        <v>4373391</v>
      </c>
      <c r="F19" s="416">
        <v>1332539</v>
      </c>
      <c r="G19" s="416">
        <v>5705930</v>
      </c>
      <c r="H19" s="416">
        <v>754664</v>
      </c>
      <c r="I19" s="416">
        <v>-754664</v>
      </c>
      <c r="J19" s="416">
        <v>0</v>
      </c>
      <c r="K19" s="416">
        <v>-754664</v>
      </c>
      <c r="L19" s="416">
        <v>630911</v>
      </c>
      <c r="M19" s="416">
        <v>1385575</v>
      </c>
      <c r="N19" s="416">
        <v>0</v>
      </c>
      <c r="O19" s="416">
        <v>0</v>
      </c>
      <c r="P19" s="417">
        <v>0</v>
      </c>
    </row>
    <row r="20" spans="1:16" ht="12.75">
      <c r="A20" s="412" t="s">
        <v>579</v>
      </c>
      <c r="B20" s="416">
        <f aca="true" t="shared" si="0" ref="B20:P20">SUM(B13:B19)</f>
        <v>80814000</v>
      </c>
      <c r="C20" s="416">
        <f t="shared" si="0"/>
        <v>20739000</v>
      </c>
      <c r="D20" s="416">
        <f t="shared" si="0"/>
        <v>101554000</v>
      </c>
      <c r="E20" s="416">
        <f t="shared" si="0"/>
        <v>91811000</v>
      </c>
      <c r="F20" s="416">
        <f t="shared" si="0"/>
        <v>10216000</v>
      </c>
      <c r="G20" s="416">
        <f t="shared" si="0"/>
        <v>102027000</v>
      </c>
      <c r="H20" s="416">
        <f t="shared" si="0"/>
        <v>-473000</v>
      </c>
      <c r="I20" s="416">
        <f t="shared" si="0"/>
        <v>473000</v>
      </c>
      <c r="J20" s="416">
        <f t="shared" si="0"/>
        <v>-2034000</v>
      </c>
      <c r="K20" s="416">
        <f t="shared" si="0"/>
        <v>1378000</v>
      </c>
      <c r="L20" s="416">
        <f t="shared" si="0"/>
        <v>9003000</v>
      </c>
      <c r="M20" s="416">
        <f t="shared" si="0"/>
        <v>7625000</v>
      </c>
      <c r="N20" s="416">
        <f t="shared" si="0"/>
        <v>0</v>
      </c>
      <c r="O20" s="416">
        <f t="shared" si="0"/>
        <v>156000</v>
      </c>
      <c r="P20" s="417">
        <f t="shared" si="0"/>
        <v>973000</v>
      </c>
    </row>
    <row r="21" spans="1:16" s="419" customFormat="1" ht="12.75">
      <c r="A21" s="412" t="s">
        <v>580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7"/>
    </row>
    <row r="22" spans="1:16" ht="12">
      <c r="A22" s="418" t="s">
        <v>581</v>
      </c>
      <c r="B22" s="416">
        <v>1768646</v>
      </c>
      <c r="C22" s="416">
        <v>1822605</v>
      </c>
      <c r="D22" s="416">
        <v>3591251</v>
      </c>
      <c r="E22" s="416">
        <v>3241317</v>
      </c>
      <c r="F22" s="416">
        <v>189147</v>
      </c>
      <c r="G22" s="416">
        <v>3430464</v>
      </c>
      <c r="H22" s="416">
        <v>160787</v>
      </c>
      <c r="I22" s="416">
        <v>-160787</v>
      </c>
      <c r="J22" s="416">
        <v>-30210</v>
      </c>
      <c r="K22" s="416">
        <v>-100353</v>
      </c>
      <c r="L22" s="416">
        <v>255676</v>
      </c>
      <c r="M22" s="416">
        <v>356029</v>
      </c>
      <c r="N22" s="416">
        <v>-4783</v>
      </c>
      <c r="O22" s="416">
        <v>7000</v>
      </c>
      <c r="P22" s="417">
        <v>-32441</v>
      </c>
    </row>
    <row r="23" spans="1:16" ht="12">
      <c r="A23" s="418" t="s">
        <v>582</v>
      </c>
      <c r="B23" s="416">
        <v>886240</v>
      </c>
      <c r="C23" s="416">
        <v>1285486</v>
      </c>
      <c r="D23" s="416">
        <v>2171726</v>
      </c>
      <c r="E23" s="416">
        <v>2076058</v>
      </c>
      <c r="F23" s="416">
        <v>19431</v>
      </c>
      <c r="G23" s="416">
        <v>2095489</v>
      </c>
      <c r="H23" s="416">
        <v>76237</v>
      </c>
      <c r="I23" s="416">
        <v>-76237</v>
      </c>
      <c r="J23" s="416">
        <v>6950</v>
      </c>
      <c r="K23" s="416">
        <v>-81217</v>
      </c>
      <c r="L23" s="416">
        <v>80897</v>
      </c>
      <c r="M23" s="416">
        <v>162114</v>
      </c>
      <c r="N23" s="416">
        <v>0</v>
      </c>
      <c r="O23" s="416">
        <v>-1048</v>
      </c>
      <c r="P23" s="417">
        <v>-922</v>
      </c>
    </row>
    <row r="24" spans="1:16" ht="12">
      <c r="A24" s="418" t="s">
        <v>583</v>
      </c>
      <c r="B24" s="416">
        <v>870439</v>
      </c>
      <c r="C24" s="416">
        <v>1609414</v>
      </c>
      <c r="D24" s="416">
        <v>2479853</v>
      </c>
      <c r="E24" s="416">
        <v>2389111</v>
      </c>
      <c r="F24" s="416">
        <v>42742</v>
      </c>
      <c r="G24" s="416">
        <v>2431853</v>
      </c>
      <c r="H24" s="416">
        <v>48000</v>
      </c>
      <c r="I24" s="416">
        <v>-48000</v>
      </c>
      <c r="J24" s="416">
        <v>0</v>
      </c>
      <c r="K24" s="416">
        <v>-48584</v>
      </c>
      <c r="L24" s="416">
        <v>116960</v>
      </c>
      <c r="M24" s="416">
        <v>165544</v>
      </c>
      <c r="N24" s="416">
        <v>0</v>
      </c>
      <c r="O24" s="416">
        <v>584</v>
      </c>
      <c r="P24" s="417">
        <v>0</v>
      </c>
    </row>
    <row r="25" spans="1:16" ht="12">
      <c r="A25" s="418" t="s">
        <v>584</v>
      </c>
      <c r="B25" s="416">
        <v>1908439</v>
      </c>
      <c r="C25" s="416">
        <v>2099963</v>
      </c>
      <c r="D25" s="416">
        <v>4008402</v>
      </c>
      <c r="E25" s="416">
        <v>3751694</v>
      </c>
      <c r="F25" s="416">
        <v>153840</v>
      </c>
      <c r="G25" s="416">
        <v>3905534</v>
      </c>
      <c r="H25" s="416">
        <v>102868</v>
      </c>
      <c r="I25" s="416">
        <v>-102868</v>
      </c>
      <c r="J25" s="416">
        <v>-13395</v>
      </c>
      <c r="K25" s="416">
        <v>-86861</v>
      </c>
      <c r="L25" s="416">
        <v>168381</v>
      </c>
      <c r="M25" s="416">
        <v>255242</v>
      </c>
      <c r="N25" s="416">
        <v>0</v>
      </c>
      <c r="O25" s="416">
        <v>0</v>
      </c>
      <c r="P25" s="417">
        <v>-2612</v>
      </c>
    </row>
    <row r="26" spans="1:16" ht="12">
      <c r="A26" s="418" t="s">
        <v>585</v>
      </c>
      <c r="B26" s="416">
        <v>2687701</v>
      </c>
      <c r="C26" s="416">
        <v>2694502</v>
      </c>
      <c r="D26" s="416">
        <v>5382203</v>
      </c>
      <c r="E26" s="416">
        <v>5249946</v>
      </c>
      <c r="F26" s="416">
        <v>99093</v>
      </c>
      <c r="G26" s="416">
        <v>5349039</v>
      </c>
      <c r="H26" s="416">
        <v>33164</v>
      </c>
      <c r="I26" s="416">
        <v>-33164</v>
      </c>
      <c r="J26" s="416">
        <v>8850</v>
      </c>
      <c r="K26" s="416">
        <v>-35093</v>
      </c>
      <c r="L26" s="416">
        <v>278037</v>
      </c>
      <c r="M26" s="416">
        <v>313130</v>
      </c>
      <c r="N26" s="416">
        <v>-4188</v>
      </c>
      <c r="O26" s="416">
        <v>0</v>
      </c>
      <c r="P26" s="417">
        <v>-2733</v>
      </c>
    </row>
    <row r="27" spans="1:16" ht="12">
      <c r="A27" s="418" t="s">
        <v>586</v>
      </c>
      <c r="B27" s="416">
        <v>1586560</v>
      </c>
      <c r="C27" s="416">
        <v>1871513</v>
      </c>
      <c r="D27" s="416">
        <v>3458073</v>
      </c>
      <c r="E27" s="416">
        <v>3094654</v>
      </c>
      <c r="F27" s="416">
        <v>142893</v>
      </c>
      <c r="G27" s="416">
        <v>3237547</v>
      </c>
      <c r="H27" s="416">
        <v>220526</v>
      </c>
      <c r="I27" s="416">
        <v>-220526</v>
      </c>
      <c r="J27" s="416">
        <v>-86330</v>
      </c>
      <c r="K27" s="416">
        <v>-127727</v>
      </c>
      <c r="L27" s="416">
        <v>182974</v>
      </c>
      <c r="M27" s="416">
        <v>310701</v>
      </c>
      <c r="N27" s="416">
        <v>0</v>
      </c>
      <c r="O27" s="416">
        <v>0</v>
      </c>
      <c r="P27" s="417">
        <v>-6469</v>
      </c>
    </row>
    <row r="28" spans="1:16" ht="12">
      <c r="A28" s="418" t="s">
        <v>587</v>
      </c>
      <c r="B28" s="416">
        <v>1555332</v>
      </c>
      <c r="C28" s="416">
        <v>1536795</v>
      </c>
      <c r="D28" s="416">
        <v>3092127</v>
      </c>
      <c r="E28" s="416">
        <v>2933312</v>
      </c>
      <c r="F28" s="416">
        <v>115002</v>
      </c>
      <c r="G28" s="416">
        <v>3048314</v>
      </c>
      <c r="H28" s="416">
        <v>43813</v>
      </c>
      <c r="I28" s="416">
        <v>-43813</v>
      </c>
      <c r="J28" s="416">
        <v>-68564</v>
      </c>
      <c r="K28" s="416">
        <v>27671</v>
      </c>
      <c r="L28" s="416">
        <v>190834</v>
      </c>
      <c r="M28" s="416">
        <v>163163</v>
      </c>
      <c r="N28" s="416">
        <v>0</v>
      </c>
      <c r="O28" s="416">
        <v>0</v>
      </c>
      <c r="P28" s="417">
        <v>-2920</v>
      </c>
    </row>
    <row r="29" spans="1:16" ht="12">
      <c r="A29" s="418" t="s">
        <v>588</v>
      </c>
      <c r="B29" s="416">
        <v>1038793</v>
      </c>
      <c r="C29" s="416">
        <v>1092604</v>
      </c>
      <c r="D29" s="416">
        <v>2131397</v>
      </c>
      <c r="E29" s="416">
        <v>2021781</v>
      </c>
      <c r="F29" s="416">
        <v>49167</v>
      </c>
      <c r="G29" s="416">
        <v>2070948</v>
      </c>
      <c r="H29" s="416">
        <v>60449</v>
      </c>
      <c r="I29" s="416">
        <v>-60449</v>
      </c>
      <c r="J29" s="416">
        <v>-11229</v>
      </c>
      <c r="K29" s="416">
        <v>-45115</v>
      </c>
      <c r="L29" s="416">
        <v>46901</v>
      </c>
      <c r="M29" s="416">
        <v>92016</v>
      </c>
      <c r="N29" s="416">
        <v>0</v>
      </c>
      <c r="O29" s="416">
        <v>0</v>
      </c>
      <c r="P29" s="417">
        <v>-4105</v>
      </c>
    </row>
    <row r="30" spans="1:16" ht="12">
      <c r="A30" s="418" t="s">
        <v>589</v>
      </c>
      <c r="B30" s="416">
        <v>1354967</v>
      </c>
      <c r="C30" s="416">
        <v>1491083</v>
      </c>
      <c r="D30" s="416">
        <v>2846050</v>
      </c>
      <c r="E30" s="416">
        <v>2650756</v>
      </c>
      <c r="F30" s="416">
        <v>135121</v>
      </c>
      <c r="G30" s="416">
        <v>2785877</v>
      </c>
      <c r="H30" s="416">
        <v>60173</v>
      </c>
      <c r="I30" s="416">
        <v>-60173</v>
      </c>
      <c r="J30" s="416">
        <v>-21513</v>
      </c>
      <c r="K30" s="416">
        <v>-38660</v>
      </c>
      <c r="L30" s="416">
        <v>83636</v>
      </c>
      <c r="M30" s="416">
        <v>122296</v>
      </c>
      <c r="N30" s="416">
        <v>0</v>
      </c>
      <c r="O30" s="416">
        <v>0</v>
      </c>
      <c r="P30" s="417">
        <v>0</v>
      </c>
    </row>
    <row r="31" spans="1:16" ht="12">
      <c r="A31" s="418" t="s">
        <v>590</v>
      </c>
      <c r="B31" s="416">
        <v>1675441</v>
      </c>
      <c r="C31" s="416">
        <v>2322618</v>
      </c>
      <c r="D31" s="416">
        <v>3998059</v>
      </c>
      <c r="E31" s="416">
        <v>3832672</v>
      </c>
      <c r="F31" s="416">
        <v>92158</v>
      </c>
      <c r="G31" s="416">
        <v>3924830</v>
      </c>
      <c r="H31" s="416">
        <v>73229</v>
      </c>
      <c r="I31" s="416">
        <v>-73229</v>
      </c>
      <c r="J31" s="416">
        <v>-7292</v>
      </c>
      <c r="K31" s="416">
        <v>-75574</v>
      </c>
      <c r="L31" s="416">
        <v>207287</v>
      </c>
      <c r="M31" s="416">
        <v>282861</v>
      </c>
      <c r="N31" s="416">
        <v>0</v>
      </c>
      <c r="O31" s="416">
        <v>9637</v>
      </c>
      <c r="P31" s="417">
        <v>0</v>
      </c>
    </row>
    <row r="32" spans="1:16" ht="12">
      <c r="A32" s="418" t="s">
        <v>591</v>
      </c>
      <c r="B32" s="416">
        <v>945718</v>
      </c>
      <c r="C32" s="416">
        <v>1521982</v>
      </c>
      <c r="D32" s="416">
        <v>2467700</v>
      </c>
      <c r="E32" s="416">
        <v>2526764</v>
      </c>
      <c r="F32" s="416">
        <v>4348</v>
      </c>
      <c r="G32" s="416">
        <v>2531112</v>
      </c>
      <c r="H32" s="416">
        <v>-63412</v>
      </c>
      <c r="I32" s="416">
        <v>63412</v>
      </c>
      <c r="J32" s="416">
        <v>104788</v>
      </c>
      <c r="K32" s="416">
        <v>-41876</v>
      </c>
      <c r="L32" s="416">
        <v>134900</v>
      </c>
      <c r="M32" s="416">
        <v>176776</v>
      </c>
      <c r="N32" s="416">
        <v>0</v>
      </c>
      <c r="O32" s="416">
        <v>500</v>
      </c>
      <c r="P32" s="417">
        <v>0</v>
      </c>
    </row>
    <row r="33" spans="1:16" ht="12">
      <c r="A33" s="418" t="s">
        <v>592</v>
      </c>
      <c r="B33" s="416">
        <v>1684150</v>
      </c>
      <c r="C33" s="416">
        <v>2013654</v>
      </c>
      <c r="D33" s="416">
        <v>3697804</v>
      </c>
      <c r="E33" s="416">
        <v>3303292</v>
      </c>
      <c r="F33" s="416">
        <v>76716</v>
      </c>
      <c r="G33" s="416">
        <v>3380008</v>
      </c>
      <c r="H33" s="416">
        <v>317796</v>
      </c>
      <c r="I33" s="416">
        <v>-317796</v>
      </c>
      <c r="J33" s="416">
        <v>17200</v>
      </c>
      <c r="K33" s="416">
        <v>-312095</v>
      </c>
      <c r="L33" s="416">
        <v>126121</v>
      </c>
      <c r="M33" s="416">
        <v>438216</v>
      </c>
      <c r="N33" s="416">
        <v>0</v>
      </c>
      <c r="O33" s="416">
        <v>0</v>
      </c>
      <c r="P33" s="417">
        <v>-22901</v>
      </c>
    </row>
    <row r="34" spans="1:16" ht="12">
      <c r="A34" s="418" t="s">
        <v>593</v>
      </c>
      <c r="B34" s="416">
        <v>1640182</v>
      </c>
      <c r="C34" s="416">
        <v>2038055</v>
      </c>
      <c r="D34" s="416">
        <v>3678237</v>
      </c>
      <c r="E34" s="416">
        <v>3561824</v>
      </c>
      <c r="F34" s="416">
        <v>66178</v>
      </c>
      <c r="G34" s="416">
        <v>3628002</v>
      </c>
      <c r="H34" s="416">
        <v>50235</v>
      </c>
      <c r="I34" s="416">
        <v>-50235</v>
      </c>
      <c r="J34" s="416">
        <v>-27268</v>
      </c>
      <c r="K34" s="416">
        <v>-62792</v>
      </c>
      <c r="L34" s="416">
        <v>86262</v>
      </c>
      <c r="M34" s="416">
        <v>149054</v>
      </c>
      <c r="N34" s="416">
        <v>0</v>
      </c>
      <c r="O34" s="416">
        <v>10000</v>
      </c>
      <c r="P34" s="417">
        <v>29825</v>
      </c>
    </row>
    <row r="35" spans="1:16" ht="12">
      <c r="A35" s="418" t="s">
        <v>594</v>
      </c>
      <c r="B35" s="416">
        <v>1733711</v>
      </c>
      <c r="C35" s="416">
        <v>1759918</v>
      </c>
      <c r="D35" s="416">
        <v>3493000</v>
      </c>
      <c r="E35" s="416">
        <v>3396128</v>
      </c>
      <c r="F35" s="416">
        <v>219320</v>
      </c>
      <c r="G35" s="416">
        <v>3615448</v>
      </c>
      <c r="H35" s="416">
        <v>-121819</v>
      </c>
      <c r="I35" s="416">
        <v>121819</v>
      </c>
      <c r="J35" s="416">
        <v>222117</v>
      </c>
      <c r="K35" s="416">
        <v>-99501</v>
      </c>
      <c r="L35" s="416">
        <v>266029</v>
      </c>
      <c r="M35" s="416">
        <v>365530</v>
      </c>
      <c r="N35" s="416">
        <v>0</v>
      </c>
      <c r="O35" s="416">
        <v>0</v>
      </c>
      <c r="P35" s="417">
        <v>-797</v>
      </c>
    </row>
    <row r="36" spans="1:16" ht="12">
      <c r="A36" s="418" t="s">
        <v>595</v>
      </c>
      <c r="B36" s="416">
        <v>974374</v>
      </c>
      <c r="C36" s="416">
        <v>1566795</v>
      </c>
      <c r="D36" s="416">
        <v>2541169</v>
      </c>
      <c r="E36" s="416">
        <v>2403293</v>
      </c>
      <c r="F36" s="416">
        <v>94499</v>
      </c>
      <c r="G36" s="416">
        <v>2497792</v>
      </c>
      <c r="H36" s="416">
        <v>43377</v>
      </c>
      <c r="I36" s="416">
        <v>-43377</v>
      </c>
      <c r="J36" s="416">
        <v>7057</v>
      </c>
      <c r="K36" s="416">
        <v>-66446</v>
      </c>
      <c r="L36" s="416">
        <v>233433</v>
      </c>
      <c r="M36" s="416">
        <v>299879</v>
      </c>
      <c r="N36" s="416">
        <v>0</v>
      </c>
      <c r="O36" s="416">
        <v>16012</v>
      </c>
      <c r="P36" s="417">
        <v>0</v>
      </c>
    </row>
    <row r="37" spans="1:16" ht="12">
      <c r="A37" s="418" t="s">
        <v>596</v>
      </c>
      <c r="B37" s="416">
        <v>1744064</v>
      </c>
      <c r="C37" s="416">
        <v>2110790</v>
      </c>
      <c r="D37" s="416">
        <v>3854854</v>
      </c>
      <c r="E37" s="416">
        <v>3525109</v>
      </c>
      <c r="F37" s="416">
        <v>139504</v>
      </c>
      <c r="G37" s="416">
        <v>3664613</v>
      </c>
      <c r="H37" s="416">
        <v>190241</v>
      </c>
      <c r="I37" s="416">
        <v>-190241</v>
      </c>
      <c r="J37" s="416">
        <v>-20125</v>
      </c>
      <c r="K37" s="416">
        <v>-201359</v>
      </c>
      <c r="L37" s="416">
        <v>213643</v>
      </c>
      <c r="M37" s="416">
        <v>415002</v>
      </c>
      <c r="N37" s="416">
        <v>-689</v>
      </c>
      <c r="O37" s="416">
        <v>31932</v>
      </c>
      <c r="P37" s="417">
        <v>0</v>
      </c>
    </row>
    <row r="38" spans="1:16" ht="12">
      <c r="A38" s="418" t="s">
        <v>597</v>
      </c>
      <c r="B38" s="416">
        <v>2577494</v>
      </c>
      <c r="C38" s="416">
        <v>1963340</v>
      </c>
      <c r="D38" s="416">
        <v>4540834</v>
      </c>
      <c r="E38" s="416">
        <v>4361047</v>
      </c>
      <c r="F38" s="416">
        <v>134135</v>
      </c>
      <c r="G38" s="416">
        <v>4495182</v>
      </c>
      <c r="H38" s="416">
        <v>45652</v>
      </c>
      <c r="I38" s="416">
        <v>-45652</v>
      </c>
      <c r="J38" s="416">
        <v>-64186</v>
      </c>
      <c r="K38" s="416">
        <v>18042</v>
      </c>
      <c r="L38" s="416">
        <v>373291</v>
      </c>
      <c r="M38" s="416">
        <v>355249</v>
      </c>
      <c r="N38" s="416">
        <v>-3944</v>
      </c>
      <c r="O38" s="416">
        <v>550</v>
      </c>
      <c r="P38" s="417">
        <v>3886</v>
      </c>
    </row>
    <row r="39" spans="1:16" ht="12">
      <c r="A39" s="418" t="s">
        <v>598</v>
      </c>
      <c r="B39" s="416">
        <v>830657</v>
      </c>
      <c r="C39" s="416">
        <v>2187494</v>
      </c>
      <c r="D39" s="416">
        <v>3018151</v>
      </c>
      <c r="E39" s="416">
        <v>2804122</v>
      </c>
      <c r="F39" s="416">
        <v>30439</v>
      </c>
      <c r="G39" s="416">
        <v>2834561</v>
      </c>
      <c r="H39" s="416">
        <v>183590</v>
      </c>
      <c r="I39" s="416">
        <v>-183590</v>
      </c>
      <c r="J39" s="416">
        <v>-184498</v>
      </c>
      <c r="K39" s="416">
        <v>-112483</v>
      </c>
      <c r="L39" s="416">
        <v>170581</v>
      </c>
      <c r="M39" s="416">
        <v>283064</v>
      </c>
      <c r="N39" s="416">
        <v>-1116</v>
      </c>
      <c r="O39" s="416">
        <v>82864</v>
      </c>
      <c r="P39" s="417">
        <v>31643</v>
      </c>
    </row>
    <row r="40" spans="1:16" ht="12">
      <c r="A40" s="418" t="s">
        <v>599</v>
      </c>
      <c r="B40" s="416">
        <v>930223</v>
      </c>
      <c r="C40" s="416">
        <v>2122268</v>
      </c>
      <c r="D40" s="416">
        <v>3052491</v>
      </c>
      <c r="E40" s="416">
        <v>2803585</v>
      </c>
      <c r="F40" s="416">
        <v>109911</v>
      </c>
      <c r="G40" s="416">
        <v>2913496</v>
      </c>
      <c r="H40" s="416">
        <v>138995</v>
      </c>
      <c r="I40" s="416">
        <v>-138995</v>
      </c>
      <c r="J40" s="416">
        <v>-21168</v>
      </c>
      <c r="K40" s="416">
        <v>-116051</v>
      </c>
      <c r="L40" s="416">
        <v>130735</v>
      </c>
      <c r="M40" s="416">
        <v>246786</v>
      </c>
      <c r="N40" s="416">
        <v>-1776</v>
      </c>
      <c r="O40" s="416">
        <v>0</v>
      </c>
      <c r="P40" s="417">
        <v>0</v>
      </c>
    </row>
    <row r="41" spans="1:16" ht="12">
      <c r="A41" s="418" t="s">
        <v>600</v>
      </c>
      <c r="B41" s="416">
        <v>9134387</v>
      </c>
      <c r="C41" s="416">
        <v>3856841</v>
      </c>
      <c r="D41" s="416">
        <v>12991228</v>
      </c>
      <c r="E41" s="416">
        <v>11204621</v>
      </c>
      <c r="F41" s="416">
        <v>1399765</v>
      </c>
      <c r="G41" s="416">
        <v>12604386</v>
      </c>
      <c r="H41" s="416">
        <v>386842</v>
      </c>
      <c r="I41" s="416">
        <v>-386842</v>
      </c>
      <c r="J41" s="416">
        <v>117876</v>
      </c>
      <c r="K41" s="416">
        <v>-490410</v>
      </c>
      <c r="L41" s="416">
        <v>1178478</v>
      </c>
      <c r="M41" s="416">
        <v>1668888</v>
      </c>
      <c r="N41" s="416">
        <v>-7214</v>
      </c>
      <c r="O41" s="416">
        <v>-25540</v>
      </c>
      <c r="P41" s="417">
        <v>18446</v>
      </c>
    </row>
    <row r="42" spans="1:16" ht="12">
      <c r="A42" s="418" t="s">
        <v>601</v>
      </c>
      <c r="B42" s="416">
        <v>1702310</v>
      </c>
      <c r="C42" s="416">
        <v>1814926</v>
      </c>
      <c r="D42" s="416">
        <v>3517236</v>
      </c>
      <c r="E42" s="416">
        <v>3235010</v>
      </c>
      <c r="F42" s="416">
        <v>69352</v>
      </c>
      <c r="G42" s="416">
        <v>3304362</v>
      </c>
      <c r="H42" s="416">
        <v>212874</v>
      </c>
      <c r="I42" s="416">
        <v>-212874</v>
      </c>
      <c r="J42" s="416">
        <v>49938</v>
      </c>
      <c r="K42" s="416">
        <v>-210343</v>
      </c>
      <c r="L42" s="416">
        <v>184591</v>
      </c>
      <c r="M42" s="416">
        <v>394934</v>
      </c>
      <c r="N42" s="416">
        <v>0</v>
      </c>
      <c r="O42" s="416">
        <v>0</v>
      </c>
      <c r="P42" s="417">
        <v>-52469</v>
      </c>
    </row>
    <row r="43" spans="1:16" ht="12">
      <c r="A43" s="418" t="s">
        <v>602</v>
      </c>
      <c r="B43" s="416">
        <v>2024713</v>
      </c>
      <c r="C43" s="416">
        <v>1865385</v>
      </c>
      <c r="D43" s="416">
        <v>3890098</v>
      </c>
      <c r="E43" s="416">
        <v>3823501</v>
      </c>
      <c r="F43" s="416">
        <v>102007</v>
      </c>
      <c r="G43" s="416">
        <v>3925508</v>
      </c>
      <c r="H43" s="416">
        <v>-35410</v>
      </c>
      <c r="I43" s="416">
        <v>35410</v>
      </c>
      <c r="J43" s="416">
        <v>-47325</v>
      </c>
      <c r="K43" s="416">
        <v>96619</v>
      </c>
      <c r="L43" s="416">
        <v>373141</v>
      </c>
      <c r="M43" s="416">
        <v>276522</v>
      </c>
      <c r="N43" s="416">
        <v>-1500</v>
      </c>
      <c r="O43" s="416">
        <v>0</v>
      </c>
      <c r="P43" s="417">
        <v>-12384</v>
      </c>
    </row>
    <row r="44" spans="1:16" ht="12">
      <c r="A44" s="418" t="s">
        <v>603</v>
      </c>
      <c r="B44" s="416">
        <v>2399589</v>
      </c>
      <c r="C44" s="416">
        <v>2396586</v>
      </c>
      <c r="D44" s="416">
        <v>4796175</v>
      </c>
      <c r="E44" s="416">
        <v>5257251</v>
      </c>
      <c r="F44" s="416">
        <v>90210</v>
      </c>
      <c r="G44" s="416">
        <v>5347461</v>
      </c>
      <c r="H44" s="416">
        <v>-551286</v>
      </c>
      <c r="I44" s="416">
        <v>551286</v>
      </c>
      <c r="J44" s="416">
        <v>404375</v>
      </c>
      <c r="K44" s="416">
        <v>27030</v>
      </c>
      <c r="L44" s="416">
        <v>444384</v>
      </c>
      <c r="M44" s="416">
        <v>417354</v>
      </c>
      <c r="N44" s="416">
        <v>-2849</v>
      </c>
      <c r="O44" s="416">
        <v>-2500</v>
      </c>
      <c r="P44" s="417">
        <v>125230</v>
      </c>
    </row>
    <row r="45" spans="1:16" ht="12">
      <c r="A45" s="418" t="s">
        <v>604</v>
      </c>
      <c r="B45" s="416">
        <v>1426506</v>
      </c>
      <c r="C45" s="416">
        <v>1437642</v>
      </c>
      <c r="D45" s="416">
        <v>2864148</v>
      </c>
      <c r="E45" s="416">
        <v>2528601</v>
      </c>
      <c r="F45" s="416">
        <v>109566</v>
      </c>
      <c r="G45" s="416">
        <v>2638167</v>
      </c>
      <c r="H45" s="416">
        <v>225000</v>
      </c>
      <c r="I45" s="416">
        <v>-225000</v>
      </c>
      <c r="J45" s="416">
        <v>-26890</v>
      </c>
      <c r="K45" s="416">
        <v>-178836</v>
      </c>
      <c r="L45" s="416">
        <v>139839</v>
      </c>
      <c r="M45" s="416">
        <v>318675</v>
      </c>
      <c r="N45" s="416">
        <v>0</v>
      </c>
      <c r="O45" s="416">
        <v>7670</v>
      </c>
      <c r="P45" s="417">
        <v>-27925</v>
      </c>
    </row>
    <row r="46" spans="1:16" ht="12">
      <c r="A46" s="418" t="s">
        <v>605</v>
      </c>
      <c r="B46" s="416">
        <v>4090142</v>
      </c>
      <c r="C46" s="416">
        <v>2503650</v>
      </c>
      <c r="D46" s="416">
        <v>6593792</v>
      </c>
      <c r="E46" s="416">
        <v>5499543</v>
      </c>
      <c r="F46" s="416">
        <v>227440</v>
      </c>
      <c r="G46" s="416">
        <v>5726983</v>
      </c>
      <c r="H46" s="416">
        <v>866809</v>
      </c>
      <c r="I46" s="416">
        <v>-866809</v>
      </c>
      <c r="J46" s="416">
        <v>-686092</v>
      </c>
      <c r="K46" s="416">
        <v>-127820</v>
      </c>
      <c r="L46" s="416">
        <v>275398</v>
      </c>
      <c r="M46" s="416">
        <v>403218</v>
      </c>
      <c r="N46" s="416">
        <v>-3000</v>
      </c>
      <c r="O46" s="416">
        <v>9000</v>
      </c>
      <c r="P46" s="417">
        <v>-58378</v>
      </c>
    </row>
    <row r="47" spans="1:16" ht="12">
      <c r="A47" s="418" t="s">
        <v>606</v>
      </c>
      <c r="B47" s="416">
        <v>727917</v>
      </c>
      <c r="C47" s="416">
        <v>512999</v>
      </c>
      <c r="D47" s="416">
        <v>1240916</v>
      </c>
      <c r="E47" s="416">
        <v>1183000</v>
      </c>
      <c r="F47" s="416">
        <v>62091</v>
      </c>
      <c r="G47" s="416">
        <v>1245091</v>
      </c>
      <c r="H47" s="416">
        <v>-4175</v>
      </c>
      <c r="I47" s="416">
        <v>4175</v>
      </c>
      <c r="J47" s="416">
        <v>4000</v>
      </c>
      <c r="K47" s="416">
        <v>175</v>
      </c>
      <c r="L47" s="416">
        <v>84789</v>
      </c>
      <c r="M47" s="416">
        <v>84614</v>
      </c>
      <c r="N47" s="416">
        <v>0</v>
      </c>
      <c r="O47" s="416">
        <v>0</v>
      </c>
      <c r="P47" s="417">
        <v>0</v>
      </c>
    </row>
    <row r="48" spans="1:16" ht="12.75">
      <c r="A48" s="412" t="s">
        <v>607</v>
      </c>
      <c r="B48" s="416">
        <f aca="true" t="shared" si="1" ref="B48:P48">SUM(B22:B47)</f>
        <v>49899000</v>
      </c>
      <c r="C48" s="416">
        <f t="shared" si="1"/>
        <v>49499000</v>
      </c>
      <c r="D48" s="416">
        <f t="shared" si="1"/>
        <v>99397000</v>
      </c>
      <c r="E48" s="416">
        <f t="shared" si="1"/>
        <v>92658000</v>
      </c>
      <c r="F48" s="416">
        <f t="shared" si="1"/>
        <v>3974000</v>
      </c>
      <c r="G48" s="416">
        <f t="shared" si="1"/>
        <v>96632000</v>
      </c>
      <c r="H48" s="416">
        <f t="shared" si="1"/>
        <v>2765000</v>
      </c>
      <c r="I48" s="416">
        <f t="shared" si="1"/>
        <v>-2765000</v>
      </c>
      <c r="J48" s="416">
        <f t="shared" si="1"/>
        <v>-373000</v>
      </c>
      <c r="K48" s="416">
        <f t="shared" si="1"/>
        <v>-2490000</v>
      </c>
      <c r="L48" s="416">
        <f t="shared" si="1"/>
        <v>6027000</v>
      </c>
      <c r="M48" s="416">
        <f t="shared" si="1"/>
        <v>8517000</v>
      </c>
      <c r="N48" s="416">
        <f t="shared" si="1"/>
        <v>-31000</v>
      </c>
      <c r="O48" s="416">
        <f t="shared" si="1"/>
        <v>147000</v>
      </c>
      <c r="P48" s="417">
        <f t="shared" si="1"/>
        <v>-18000</v>
      </c>
    </row>
    <row r="49" spans="1:16" ht="12.75">
      <c r="A49" s="420" t="s">
        <v>608</v>
      </c>
      <c r="B49" s="421">
        <f aca="true" t="shared" si="2" ref="B49:P49">B48+B20</f>
        <v>130713000</v>
      </c>
      <c r="C49" s="421">
        <f t="shared" si="2"/>
        <v>70238000</v>
      </c>
      <c r="D49" s="421">
        <f t="shared" si="2"/>
        <v>200951000</v>
      </c>
      <c r="E49" s="421">
        <f t="shared" si="2"/>
        <v>184469000</v>
      </c>
      <c r="F49" s="421">
        <f t="shared" si="2"/>
        <v>14190000</v>
      </c>
      <c r="G49" s="421">
        <f t="shared" si="2"/>
        <v>198659000</v>
      </c>
      <c r="H49" s="421">
        <f t="shared" si="2"/>
        <v>2292000</v>
      </c>
      <c r="I49" s="421">
        <f t="shared" si="2"/>
        <v>-2292000</v>
      </c>
      <c r="J49" s="421">
        <f t="shared" si="2"/>
        <v>-2407000</v>
      </c>
      <c r="K49" s="421">
        <f t="shared" si="2"/>
        <v>-1112000</v>
      </c>
      <c r="L49" s="421">
        <f t="shared" si="2"/>
        <v>15030000</v>
      </c>
      <c r="M49" s="421">
        <f t="shared" si="2"/>
        <v>16142000</v>
      </c>
      <c r="N49" s="421">
        <f t="shared" si="2"/>
        <v>-31000</v>
      </c>
      <c r="O49" s="421">
        <f t="shared" si="2"/>
        <v>303000</v>
      </c>
      <c r="P49" s="422">
        <f t="shared" si="2"/>
        <v>955000</v>
      </c>
    </row>
    <row r="50" spans="1:7" s="424" customFormat="1" ht="12">
      <c r="A50" s="423" t="s">
        <v>609</v>
      </c>
      <c r="G50" s="424" t="s">
        <v>482</v>
      </c>
    </row>
    <row r="51" s="424" customFormat="1" ht="12">
      <c r="A51" s="423" t="s">
        <v>610</v>
      </c>
    </row>
    <row r="52" spans="1:11" s="424" customFormat="1" ht="12">
      <c r="A52" s="425"/>
      <c r="B52" s="350"/>
      <c r="C52" s="350"/>
      <c r="D52" s="350"/>
      <c r="E52" s="350"/>
      <c r="F52" s="350"/>
      <c r="G52" s="350"/>
      <c r="H52" s="350"/>
      <c r="I52" s="350"/>
      <c r="J52" s="350"/>
      <c r="K52" s="350"/>
    </row>
    <row r="53" s="424" customFormat="1" ht="12">
      <c r="A53" s="378"/>
    </row>
    <row r="54" spans="1:12" s="424" customFormat="1" ht="12">
      <c r="A54" s="426"/>
      <c r="B54" s="426"/>
      <c r="C54" s="322"/>
      <c r="D54" s="322"/>
      <c r="E54" s="322"/>
      <c r="F54" s="322"/>
      <c r="H54" s="427"/>
      <c r="I54" s="427"/>
      <c r="J54" s="427"/>
      <c r="K54" s="427"/>
      <c r="L54" s="427"/>
    </row>
    <row r="55" s="429" customFormat="1" ht="11.25">
      <c r="A55" s="428"/>
    </row>
    <row r="58" spans="1:11" s="322" customFormat="1" ht="11.25" customHeight="1">
      <c r="A58" s="430" t="s">
        <v>611</v>
      </c>
      <c r="H58" s="322" t="s">
        <v>612</v>
      </c>
      <c r="K58" s="322" t="s">
        <v>479</v>
      </c>
    </row>
    <row r="59" ht="11.25">
      <c r="A59" s="325"/>
    </row>
    <row r="67" s="295" customFormat="1" ht="11.25">
      <c r="A67" s="329" t="s">
        <v>613</v>
      </c>
    </row>
    <row r="68" ht="11.25">
      <c r="A68" s="431" t="s">
        <v>614</v>
      </c>
    </row>
  </sheetData>
  <printOptions/>
  <pageMargins left="0.25" right="0.25" top="0.6" bottom="0.86" header="0.22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P68"/>
  <sheetViews>
    <sheetView showGridLines="0" showZeros="0" workbookViewId="0" topLeftCell="C37">
      <selection activeCell="A45" sqref="A45"/>
    </sheetView>
  </sheetViews>
  <sheetFormatPr defaultColWidth="9.140625" defaultRowHeight="12.75"/>
  <cols>
    <col min="1" max="1" width="20.421875" style="383" customWidth="1"/>
    <col min="2" max="2" width="9.7109375" style="288" customWidth="1"/>
    <col min="3" max="3" width="9.57421875" style="288" customWidth="1"/>
    <col min="4" max="4" width="14.8515625" style="288" customWidth="1"/>
    <col min="5" max="9" width="10.57421875" style="288" customWidth="1"/>
    <col min="10" max="10" width="11.8515625" style="288" customWidth="1"/>
    <col min="11" max="12" width="11.00390625" style="288" customWidth="1"/>
    <col min="13" max="16" width="7.140625" style="288" customWidth="1"/>
    <col min="17" max="16384" width="8.00390625" style="288" customWidth="1"/>
  </cols>
  <sheetData>
    <row r="1" spans="1:12" s="295" customFormat="1" ht="12.75">
      <c r="A1" s="287" t="s">
        <v>615</v>
      </c>
      <c r="B1" s="287"/>
      <c r="C1" s="287"/>
      <c r="D1" s="287"/>
      <c r="E1" s="287"/>
      <c r="F1" s="287"/>
      <c r="G1" s="287"/>
      <c r="H1" s="287"/>
      <c r="I1" s="287"/>
      <c r="J1" s="287"/>
      <c r="K1" s="297"/>
      <c r="L1" s="380" t="s">
        <v>616</v>
      </c>
    </row>
    <row r="2" spans="1:12" s="295" customFormat="1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97"/>
      <c r="L2" s="380"/>
    </row>
    <row r="3" spans="1:12" s="300" customFormat="1" ht="12.7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380"/>
    </row>
    <row r="4" spans="1:16" s="388" customFormat="1" ht="15.75">
      <c r="A4" s="386" t="s">
        <v>617</v>
      </c>
      <c r="B4" s="386"/>
      <c r="C4" s="386"/>
      <c r="D4" s="292"/>
      <c r="E4" s="386"/>
      <c r="F4" s="386"/>
      <c r="G4" s="386"/>
      <c r="H4" s="386"/>
      <c r="I4" s="386"/>
      <c r="J4" s="386"/>
      <c r="K4" s="386"/>
      <c r="L4" s="386"/>
      <c r="M4" s="432"/>
      <c r="N4" s="432"/>
      <c r="O4" s="432"/>
      <c r="P4" s="432"/>
    </row>
    <row r="5" spans="1:16" s="388" customFormat="1" ht="15.75">
      <c r="A5" s="386" t="s">
        <v>443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432"/>
      <c r="N5" s="432"/>
      <c r="O5" s="432"/>
      <c r="P5" s="432"/>
    </row>
    <row r="6" spans="1:16" ht="12.75">
      <c r="A6" s="433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s="295" customFormat="1" ht="11.25">
      <c r="A7" s="389"/>
      <c r="B7" s="297"/>
      <c r="C7" s="297"/>
      <c r="D7" s="297"/>
      <c r="E7" s="297"/>
      <c r="F7" s="297"/>
      <c r="G7" s="297"/>
      <c r="H7" s="297"/>
      <c r="I7" s="297"/>
      <c r="J7" s="297"/>
      <c r="K7" s="297" t="s">
        <v>618</v>
      </c>
      <c r="L7" s="297"/>
      <c r="N7" s="297"/>
      <c r="O7" s="297"/>
      <c r="P7" s="297"/>
    </row>
    <row r="8" spans="1:16" s="300" customFormat="1" ht="12.75">
      <c r="A8" s="434"/>
      <c r="B8" s="435"/>
      <c r="C8" s="435"/>
      <c r="D8" s="436"/>
      <c r="E8" s="436"/>
      <c r="F8" s="437" t="s">
        <v>619</v>
      </c>
      <c r="G8" s="396"/>
      <c r="H8" s="396"/>
      <c r="I8" s="438"/>
      <c r="J8" s="396"/>
      <c r="K8" s="396"/>
      <c r="L8" s="439"/>
      <c r="N8" s="287"/>
      <c r="O8" s="287"/>
      <c r="P8" s="287"/>
    </row>
    <row r="9" spans="1:12" s="325" customFormat="1" ht="11.25">
      <c r="A9" s="440"/>
      <c r="B9" s="441"/>
      <c r="C9" s="441"/>
      <c r="D9" s="399"/>
      <c r="E9" s="399"/>
      <c r="F9" s="399"/>
      <c r="G9" s="399"/>
      <c r="H9" s="442" t="s">
        <v>556</v>
      </c>
      <c r="I9" s="443"/>
      <c r="J9" s="399"/>
      <c r="K9" s="399"/>
      <c r="L9" s="444"/>
    </row>
    <row r="10" spans="1:16" ht="45">
      <c r="A10" s="440" t="s">
        <v>620</v>
      </c>
      <c r="B10" s="445" t="s">
        <v>621</v>
      </c>
      <c r="C10" s="445" t="s">
        <v>622</v>
      </c>
      <c r="D10" s="445" t="s">
        <v>623</v>
      </c>
      <c r="E10" s="445" t="s">
        <v>624</v>
      </c>
      <c r="F10" s="445" t="s">
        <v>415</v>
      </c>
      <c r="G10" s="445" t="s">
        <v>625</v>
      </c>
      <c r="H10" s="445" t="s">
        <v>567</v>
      </c>
      <c r="I10" s="445" t="s">
        <v>568</v>
      </c>
      <c r="J10" s="445" t="s">
        <v>425</v>
      </c>
      <c r="K10" s="445" t="s">
        <v>427</v>
      </c>
      <c r="L10" s="446" t="s">
        <v>626</v>
      </c>
      <c r="M10" s="351"/>
      <c r="N10" s="265"/>
      <c r="O10" s="265"/>
      <c r="P10" s="265"/>
    </row>
    <row r="11" spans="1:16" s="295" customFormat="1" ht="11.25">
      <c r="A11" s="447">
        <v>1</v>
      </c>
      <c r="B11" s="448">
        <v>2</v>
      </c>
      <c r="C11" s="448">
        <v>3</v>
      </c>
      <c r="D11" s="448">
        <v>4</v>
      </c>
      <c r="E11" s="448">
        <v>5</v>
      </c>
      <c r="F11" s="448">
        <v>6</v>
      </c>
      <c r="G11" s="448">
        <v>7</v>
      </c>
      <c r="H11" s="448">
        <v>8</v>
      </c>
      <c r="I11" s="448">
        <v>9</v>
      </c>
      <c r="J11" s="448">
        <v>10</v>
      </c>
      <c r="K11" s="448">
        <v>11</v>
      </c>
      <c r="L11" s="449">
        <v>12</v>
      </c>
      <c r="M11" s="329"/>
      <c r="N11" s="297"/>
      <c r="O11" s="297"/>
      <c r="P11" s="297"/>
    </row>
    <row r="12" spans="1:13" ht="12">
      <c r="A12" s="450" t="s">
        <v>572</v>
      </c>
      <c r="B12" s="416">
        <v>4361897</v>
      </c>
      <c r="C12" s="416">
        <v>3731668</v>
      </c>
      <c r="D12" s="416">
        <v>630229</v>
      </c>
      <c r="E12" s="416">
        <v>-630229</v>
      </c>
      <c r="F12" s="416">
        <v>0</v>
      </c>
      <c r="G12" s="416">
        <v>-630229</v>
      </c>
      <c r="H12" s="416">
        <v>3600041</v>
      </c>
      <c r="I12" s="416">
        <v>4230270</v>
      </c>
      <c r="J12" s="416">
        <v>0</v>
      </c>
      <c r="K12" s="416">
        <v>0</v>
      </c>
      <c r="L12" s="417">
        <v>0</v>
      </c>
      <c r="M12" s="451"/>
    </row>
    <row r="13" spans="1:13" ht="12">
      <c r="A13" s="450" t="s">
        <v>573</v>
      </c>
      <c r="B13" s="416">
        <v>683216</v>
      </c>
      <c r="C13" s="416">
        <v>577260</v>
      </c>
      <c r="D13" s="416">
        <v>105956</v>
      </c>
      <c r="E13" s="416">
        <v>-105956</v>
      </c>
      <c r="F13" s="416">
        <v>0</v>
      </c>
      <c r="G13" s="416">
        <v>-105956</v>
      </c>
      <c r="H13" s="416">
        <v>36619</v>
      </c>
      <c r="I13" s="416">
        <v>142575</v>
      </c>
      <c r="J13" s="416">
        <v>0</v>
      </c>
      <c r="K13" s="416">
        <v>0</v>
      </c>
      <c r="L13" s="417">
        <v>0</v>
      </c>
      <c r="M13" s="451"/>
    </row>
    <row r="14" spans="1:13" ht="12">
      <c r="A14" s="450" t="s">
        <v>574</v>
      </c>
      <c r="B14" s="416">
        <v>635671</v>
      </c>
      <c r="C14" s="416">
        <v>635110</v>
      </c>
      <c r="D14" s="416">
        <v>561</v>
      </c>
      <c r="E14" s="416">
        <v>-561</v>
      </c>
      <c r="F14" s="416">
        <v>0</v>
      </c>
      <c r="G14" s="416">
        <v>-561</v>
      </c>
      <c r="H14" s="416">
        <v>263775</v>
      </c>
      <c r="I14" s="416">
        <v>264336</v>
      </c>
      <c r="J14" s="416">
        <v>0</v>
      </c>
      <c r="K14" s="416">
        <v>0</v>
      </c>
      <c r="L14" s="417">
        <v>0</v>
      </c>
      <c r="M14" s="451">
        <v>0</v>
      </c>
    </row>
    <row r="15" spans="1:13" ht="12">
      <c r="A15" s="450" t="s">
        <v>575</v>
      </c>
      <c r="B15" s="416">
        <v>1212496</v>
      </c>
      <c r="C15" s="416">
        <v>1020736</v>
      </c>
      <c r="D15" s="416">
        <v>191760</v>
      </c>
      <c r="E15" s="416">
        <v>-191760</v>
      </c>
      <c r="F15" s="416">
        <v>0</v>
      </c>
      <c r="G15" s="416">
        <v>-191760</v>
      </c>
      <c r="H15" s="416">
        <v>344938</v>
      </c>
      <c r="I15" s="416">
        <v>536698</v>
      </c>
      <c r="J15" s="416">
        <v>0</v>
      </c>
      <c r="K15" s="416">
        <v>0</v>
      </c>
      <c r="L15" s="417">
        <v>0</v>
      </c>
      <c r="M15" s="451">
        <v>0</v>
      </c>
    </row>
    <row r="16" spans="1:13" ht="12">
      <c r="A16" s="450" t="s">
        <v>576</v>
      </c>
      <c r="B16" s="416">
        <v>478139</v>
      </c>
      <c r="C16" s="416">
        <v>464232</v>
      </c>
      <c r="D16" s="416">
        <v>13907</v>
      </c>
      <c r="E16" s="416">
        <v>-13907</v>
      </c>
      <c r="F16" s="416">
        <v>0</v>
      </c>
      <c r="G16" s="416">
        <v>-13907</v>
      </c>
      <c r="H16" s="416">
        <v>150616</v>
      </c>
      <c r="I16" s="416">
        <v>164523</v>
      </c>
      <c r="J16" s="416">
        <v>0</v>
      </c>
      <c r="K16" s="416">
        <v>0</v>
      </c>
      <c r="L16" s="417">
        <v>0</v>
      </c>
      <c r="M16" s="451">
        <v>0</v>
      </c>
    </row>
    <row r="17" spans="1:13" ht="12">
      <c r="A17" s="450" t="s">
        <v>577</v>
      </c>
      <c r="B17" s="416">
        <v>210125</v>
      </c>
      <c r="C17" s="416">
        <v>134926</v>
      </c>
      <c r="D17" s="416">
        <v>75199</v>
      </c>
      <c r="E17" s="416">
        <v>-75199</v>
      </c>
      <c r="F17" s="416">
        <v>0</v>
      </c>
      <c r="G17" s="416">
        <v>-75199</v>
      </c>
      <c r="H17" s="416">
        <v>38765</v>
      </c>
      <c r="I17" s="416">
        <v>113964</v>
      </c>
      <c r="J17" s="416">
        <v>0</v>
      </c>
      <c r="K17" s="416">
        <v>0</v>
      </c>
      <c r="L17" s="417">
        <v>0</v>
      </c>
      <c r="M17" s="451">
        <v>0</v>
      </c>
    </row>
    <row r="18" spans="1:13" ht="12">
      <c r="A18" s="450" t="s">
        <v>578</v>
      </c>
      <c r="B18" s="416">
        <v>3093743</v>
      </c>
      <c r="C18" s="416">
        <v>1489663</v>
      </c>
      <c r="D18" s="416">
        <v>1604080</v>
      </c>
      <c r="E18" s="416">
        <v>-1604080</v>
      </c>
      <c r="F18" s="416">
        <v>100000</v>
      </c>
      <c r="G18" s="416">
        <v>-1704080</v>
      </c>
      <c r="H18" s="416">
        <v>2268757</v>
      </c>
      <c r="I18" s="416">
        <v>3972837</v>
      </c>
      <c r="J18" s="416">
        <v>0</v>
      </c>
      <c r="K18" s="416">
        <v>0</v>
      </c>
      <c r="L18" s="417">
        <v>0</v>
      </c>
      <c r="M18" s="429">
        <v>0</v>
      </c>
    </row>
    <row r="19" spans="1:16" s="454" customFormat="1" ht="12.75">
      <c r="A19" s="452" t="s">
        <v>579</v>
      </c>
      <c r="B19" s="416">
        <f aca="true" t="shared" si="0" ref="B19:L19">SUM(B12:B18)</f>
        <v>10675000</v>
      </c>
      <c r="C19" s="416">
        <f t="shared" si="0"/>
        <v>8054000</v>
      </c>
      <c r="D19" s="416">
        <f t="shared" si="0"/>
        <v>2622000</v>
      </c>
      <c r="E19" s="416">
        <f t="shared" si="0"/>
        <v>-2622000</v>
      </c>
      <c r="F19" s="416">
        <f t="shared" si="0"/>
        <v>100000</v>
      </c>
      <c r="G19" s="416">
        <f t="shared" si="0"/>
        <v>-2722000</v>
      </c>
      <c r="H19" s="416">
        <f t="shared" si="0"/>
        <v>6704000</v>
      </c>
      <c r="I19" s="416">
        <f t="shared" si="0"/>
        <v>9425000</v>
      </c>
      <c r="J19" s="416">
        <f t="shared" si="0"/>
        <v>0</v>
      </c>
      <c r="K19" s="416">
        <f t="shared" si="0"/>
        <v>0</v>
      </c>
      <c r="L19" s="417">
        <f t="shared" si="0"/>
        <v>0</v>
      </c>
      <c r="M19" s="453">
        <v>0</v>
      </c>
      <c r="N19" s="453"/>
      <c r="O19" s="453"/>
      <c r="P19" s="453"/>
    </row>
    <row r="20" spans="1:13" ht="12">
      <c r="A20" s="450" t="s">
        <v>581</v>
      </c>
      <c r="B20" s="416">
        <v>231241</v>
      </c>
      <c r="C20" s="416">
        <v>246968</v>
      </c>
      <c r="D20" s="416">
        <v>-15727</v>
      </c>
      <c r="E20" s="416">
        <v>15727</v>
      </c>
      <c r="F20" s="416">
        <v>0</v>
      </c>
      <c r="G20" s="416">
        <v>15727</v>
      </c>
      <c r="H20" s="416">
        <v>177557</v>
      </c>
      <c r="I20" s="416">
        <v>161830</v>
      </c>
      <c r="J20" s="416">
        <v>0</v>
      </c>
      <c r="K20" s="416">
        <v>0</v>
      </c>
      <c r="L20" s="417">
        <v>0</v>
      </c>
      <c r="M20" s="451">
        <v>0</v>
      </c>
    </row>
    <row r="21" spans="1:13" ht="12">
      <c r="A21" s="450" t="s">
        <v>582</v>
      </c>
      <c r="B21" s="416">
        <v>213921</v>
      </c>
      <c r="C21" s="416">
        <v>285790</v>
      </c>
      <c r="D21" s="416">
        <v>-71869</v>
      </c>
      <c r="E21" s="416">
        <v>71869</v>
      </c>
      <c r="F21" s="416">
        <v>0</v>
      </c>
      <c r="G21" s="416">
        <v>53869</v>
      </c>
      <c r="H21" s="416">
        <v>207851</v>
      </c>
      <c r="I21" s="416">
        <v>153982</v>
      </c>
      <c r="J21" s="416">
        <v>0</v>
      </c>
      <c r="K21" s="416">
        <v>17000</v>
      </c>
      <c r="L21" s="417">
        <v>0</v>
      </c>
      <c r="M21" s="451"/>
    </row>
    <row r="22" spans="1:13" ht="12">
      <c r="A22" s="450" t="s">
        <v>583</v>
      </c>
      <c r="B22" s="416">
        <v>295646</v>
      </c>
      <c r="C22" s="416">
        <v>327149</v>
      </c>
      <c r="D22" s="416">
        <v>-31503</v>
      </c>
      <c r="E22" s="416">
        <v>31503</v>
      </c>
      <c r="F22" s="416">
        <v>0</v>
      </c>
      <c r="G22" s="416">
        <v>31503</v>
      </c>
      <c r="H22" s="416">
        <v>207209</v>
      </c>
      <c r="I22" s="416">
        <v>175706</v>
      </c>
      <c r="J22" s="416">
        <v>0</v>
      </c>
      <c r="K22" s="416">
        <v>0</v>
      </c>
      <c r="L22" s="417">
        <v>0</v>
      </c>
      <c r="M22" s="451"/>
    </row>
    <row r="23" spans="1:13" ht="12">
      <c r="A23" s="450" t="s">
        <v>584</v>
      </c>
      <c r="B23" s="416">
        <v>285690</v>
      </c>
      <c r="C23" s="416">
        <v>332482</v>
      </c>
      <c r="D23" s="416">
        <v>-46792</v>
      </c>
      <c r="E23" s="416">
        <v>46792</v>
      </c>
      <c r="F23" s="416">
        <v>0</v>
      </c>
      <c r="G23" s="416">
        <v>46792</v>
      </c>
      <c r="H23" s="416">
        <v>214081</v>
      </c>
      <c r="I23" s="416">
        <v>167289</v>
      </c>
      <c r="J23" s="416">
        <v>0</v>
      </c>
      <c r="K23" s="416">
        <v>0</v>
      </c>
      <c r="L23" s="417">
        <v>0</v>
      </c>
      <c r="M23" s="451"/>
    </row>
    <row r="24" spans="1:13" ht="12">
      <c r="A24" s="450" t="s">
        <v>585</v>
      </c>
      <c r="B24" s="416">
        <v>450598</v>
      </c>
      <c r="C24" s="416">
        <v>551409</v>
      </c>
      <c r="D24" s="416">
        <v>-100811</v>
      </c>
      <c r="E24" s="416">
        <v>100811</v>
      </c>
      <c r="F24" s="416">
        <v>-550</v>
      </c>
      <c r="G24" s="416">
        <v>101361</v>
      </c>
      <c r="H24" s="416">
        <v>300636</v>
      </c>
      <c r="I24" s="416">
        <v>199275</v>
      </c>
      <c r="J24" s="416">
        <v>0</v>
      </c>
      <c r="K24" s="416">
        <v>0</v>
      </c>
      <c r="L24" s="417">
        <v>0</v>
      </c>
      <c r="M24" s="451"/>
    </row>
    <row r="25" spans="1:13" ht="12">
      <c r="A25" s="450" t="s">
        <v>586</v>
      </c>
      <c r="B25" s="416">
        <v>369399</v>
      </c>
      <c r="C25" s="416">
        <v>437948</v>
      </c>
      <c r="D25" s="416">
        <v>-68549</v>
      </c>
      <c r="E25" s="416">
        <v>68549</v>
      </c>
      <c r="F25" s="416">
        <v>0</v>
      </c>
      <c r="G25" s="416">
        <v>68549</v>
      </c>
      <c r="H25" s="416">
        <v>173160</v>
      </c>
      <c r="I25" s="416">
        <v>104611</v>
      </c>
      <c r="J25" s="416">
        <v>0</v>
      </c>
      <c r="K25" s="416">
        <v>0</v>
      </c>
      <c r="L25" s="417">
        <v>0</v>
      </c>
      <c r="M25" s="451"/>
    </row>
    <row r="26" spans="1:13" ht="12">
      <c r="A26" s="450" t="s">
        <v>587</v>
      </c>
      <c r="B26" s="416">
        <v>272537</v>
      </c>
      <c r="C26" s="416">
        <v>341939</v>
      </c>
      <c r="D26" s="416">
        <v>-69402</v>
      </c>
      <c r="E26" s="416">
        <v>69402</v>
      </c>
      <c r="F26" s="416">
        <v>0</v>
      </c>
      <c r="G26" s="416">
        <v>69402</v>
      </c>
      <c r="H26" s="416">
        <v>250003</v>
      </c>
      <c r="I26" s="416">
        <v>180601</v>
      </c>
      <c r="J26" s="416">
        <v>0</v>
      </c>
      <c r="K26" s="416">
        <v>0</v>
      </c>
      <c r="L26" s="417">
        <v>0</v>
      </c>
      <c r="M26" s="451"/>
    </row>
    <row r="27" spans="1:13" ht="12">
      <c r="A27" s="450" t="s">
        <v>588</v>
      </c>
      <c r="B27" s="416">
        <v>226260</v>
      </c>
      <c r="C27" s="416">
        <v>226153</v>
      </c>
      <c r="D27" s="416">
        <v>107</v>
      </c>
      <c r="E27" s="416">
        <v>-107</v>
      </c>
      <c r="F27" s="416">
        <v>1277</v>
      </c>
      <c r="G27" s="416">
        <v>-1384</v>
      </c>
      <c r="H27" s="416">
        <v>115567</v>
      </c>
      <c r="I27" s="416">
        <v>116951</v>
      </c>
      <c r="J27" s="416">
        <v>0</v>
      </c>
      <c r="K27" s="416">
        <v>0</v>
      </c>
      <c r="L27" s="417">
        <v>0</v>
      </c>
      <c r="M27" s="451"/>
    </row>
    <row r="28" spans="1:13" ht="12">
      <c r="A28" s="450" t="s">
        <v>589</v>
      </c>
      <c r="B28" s="416">
        <v>362839</v>
      </c>
      <c r="C28" s="416">
        <v>349472</v>
      </c>
      <c r="D28" s="416">
        <v>13367</v>
      </c>
      <c r="E28" s="416">
        <v>-13367</v>
      </c>
      <c r="F28" s="416">
        <v>0</v>
      </c>
      <c r="G28" s="416">
        <v>11593</v>
      </c>
      <c r="H28" s="416">
        <v>199657</v>
      </c>
      <c r="I28" s="416">
        <v>188064</v>
      </c>
      <c r="J28" s="416">
        <v>-24960</v>
      </c>
      <c r="K28" s="416">
        <v>0</v>
      </c>
      <c r="L28" s="417">
        <v>0</v>
      </c>
      <c r="M28" s="451"/>
    </row>
    <row r="29" spans="1:13" ht="12">
      <c r="A29" s="450" t="s">
        <v>590</v>
      </c>
      <c r="B29" s="416">
        <v>405207</v>
      </c>
      <c r="C29" s="416">
        <v>443071</v>
      </c>
      <c r="D29" s="416">
        <v>-37864</v>
      </c>
      <c r="E29" s="416">
        <v>37864</v>
      </c>
      <c r="F29" s="416">
        <v>0</v>
      </c>
      <c r="G29" s="416">
        <v>37864</v>
      </c>
      <c r="H29" s="416">
        <v>170686</v>
      </c>
      <c r="I29" s="416">
        <v>132822</v>
      </c>
      <c r="J29" s="416">
        <v>0</v>
      </c>
      <c r="K29" s="416">
        <v>0</v>
      </c>
      <c r="L29" s="417">
        <v>0</v>
      </c>
      <c r="M29" s="451"/>
    </row>
    <row r="30" spans="1:13" ht="12">
      <c r="A30" s="450" t="s">
        <v>591</v>
      </c>
      <c r="B30" s="416">
        <v>395509</v>
      </c>
      <c r="C30" s="416">
        <v>477954</v>
      </c>
      <c r="D30" s="416">
        <v>-82445</v>
      </c>
      <c r="E30" s="416">
        <v>82445</v>
      </c>
      <c r="F30" s="416">
        <v>0</v>
      </c>
      <c r="G30" s="416">
        <v>82445</v>
      </c>
      <c r="H30" s="416">
        <v>256279</v>
      </c>
      <c r="I30" s="416">
        <v>173834</v>
      </c>
      <c r="J30" s="416">
        <v>0</v>
      </c>
      <c r="K30" s="416">
        <v>0</v>
      </c>
      <c r="L30" s="417">
        <v>0</v>
      </c>
      <c r="M30" s="451"/>
    </row>
    <row r="31" spans="1:13" ht="12">
      <c r="A31" s="450" t="s">
        <v>592</v>
      </c>
      <c r="B31" s="416">
        <v>743754</v>
      </c>
      <c r="C31" s="416">
        <v>500265</v>
      </c>
      <c r="D31" s="416">
        <v>243489</v>
      </c>
      <c r="E31" s="416">
        <v>-243489</v>
      </c>
      <c r="F31" s="416">
        <v>-24700</v>
      </c>
      <c r="G31" s="416">
        <v>-218789</v>
      </c>
      <c r="H31" s="416">
        <v>272963</v>
      </c>
      <c r="I31" s="416">
        <v>491752</v>
      </c>
      <c r="J31" s="416">
        <v>0</v>
      </c>
      <c r="K31" s="416">
        <v>0</v>
      </c>
      <c r="L31" s="417">
        <v>0</v>
      </c>
      <c r="M31" s="451"/>
    </row>
    <row r="32" spans="1:13" ht="12">
      <c r="A32" s="450" t="s">
        <v>593</v>
      </c>
      <c r="B32" s="416">
        <v>527857</v>
      </c>
      <c r="C32" s="416">
        <v>578433</v>
      </c>
      <c r="D32" s="416">
        <v>-50576</v>
      </c>
      <c r="E32" s="416">
        <v>50576</v>
      </c>
      <c r="F32" s="416">
        <v>0</v>
      </c>
      <c r="G32" s="416">
        <v>50105</v>
      </c>
      <c r="H32" s="416">
        <v>229569</v>
      </c>
      <c r="I32" s="416">
        <v>179464</v>
      </c>
      <c r="J32" s="416">
        <v>0</v>
      </c>
      <c r="K32" s="416">
        <v>1000</v>
      </c>
      <c r="L32" s="417">
        <v>0</v>
      </c>
      <c r="M32" s="451"/>
    </row>
    <row r="33" spans="1:13" ht="12">
      <c r="A33" s="450" t="s">
        <v>594</v>
      </c>
      <c r="B33" s="416">
        <v>443564</v>
      </c>
      <c r="C33" s="416">
        <v>474421</v>
      </c>
      <c r="D33" s="416">
        <v>-30857</v>
      </c>
      <c r="E33" s="416">
        <v>30857</v>
      </c>
      <c r="F33" s="416">
        <v>0</v>
      </c>
      <c r="G33" s="416">
        <v>30857</v>
      </c>
      <c r="H33" s="416">
        <v>310507</v>
      </c>
      <c r="I33" s="416">
        <v>279650</v>
      </c>
      <c r="J33" s="416">
        <v>0</v>
      </c>
      <c r="K33" s="416">
        <v>0</v>
      </c>
      <c r="L33" s="417">
        <v>0</v>
      </c>
      <c r="M33" s="451"/>
    </row>
    <row r="34" spans="1:13" ht="12">
      <c r="A34" s="450" t="s">
        <v>595</v>
      </c>
      <c r="B34" s="416">
        <v>274284</v>
      </c>
      <c r="C34" s="416">
        <v>432133</v>
      </c>
      <c r="D34" s="416">
        <v>-157849</v>
      </c>
      <c r="E34" s="416">
        <v>157849</v>
      </c>
      <c r="F34" s="416">
        <v>26241</v>
      </c>
      <c r="G34" s="416">
        <v>131608</v>
      </c>
      <c r="H34" s="416">
        <v>308338</v>
      </c>
      <c r="I34" s="416">
        <v>176730</v>
      </c>
      <c r="J34" s="416">
        <v>0</v>
      </c>
      <c r="K34" s="416">
        <v>0</v>
      </c>
      <c r="L34" s="417">
        <v>0</v>
      </c>
      <c r="M34" s="451"/>
    </row>
    <row r="35" spans="1:13" ht="12">
      <c r="A35" s="450" t="s">
        <v>596</v>
      </c>
      <c r="B35" s="416">
        <v>317270</v>
      </c>
      <c r="C35" s="416">
        <v>372697</v>
      </c>
      <c r="D35" s="416">
        <v>-55427</v>
      </c>
      <c r="E35" s="416">
        <v>55427</v>
      </c>
      <c r="F35" s="416">
        <v>-5500</v>
      </c>
      <c r="G35" s="416">
        <v>60927</v>
      </c>
      <c r="H35" s="416">
        <v>251097</v>
      </c>
      <c r="I35" s="416">
        <v>190170</v>
      </c>
      <c r="J35" s="416">
        <v>0</v>
      </c>
      <c r="K35" s="416">
        <v>0</v>
      </c>
      <c r="L35" s="417">
        <v>0</v>
      </c>
      <c r="M35" s="451"/>
    </row>
    <row r="36" spans="1:13" ht="12">
      <c r="A36" s="450" t="s">
        <v>597</v>
      </c>
      <c r="B36" s="416">
        <v>458988</v>
      </c>
      <c r="C36" s="416">
        <v>502724</v>
      </c>
      <c r="D36" s="416">
        <v>-43736</v>
      </c>
      <c r="E36" s="416">
        <v>43736</v>
      </c>
      <c r="F36" s="416">
        <v>0</v>
      </c>
      <c r="G36" s="416">
        <v>44636</v>
      </c>
      <c r="H36" s="416">
        <v>325801</v>
      </c>
      <c r="I36" s="416">
        <v>281165</v>
      </c>
      <c r="J36" s="416">
        <v>0</v>
      </c>
      <c r="K36" s="416">
        <v>-900</v>
      </c>
      <c r="L36" s="417">
        <v>0</v>
      </c>
      <c r="M36" s="451"/>
    </row>
    <row r="37" spans="1:13" ht="12">
      <c r="A37" s="450" t="s">
        <v>598</v>
      </c>
      <c r="B37" s="416">
        <v>464542</v>
      </c>
      <c r="C37" s="416">
        <v>569079</v>
      </c>
      <c r="D37" s="416">
        <v>-104537</v>
      </c>
      <c r="E37" s="416">
        <v>104537</v>
      </c>
      <c r="F37" s="416">
        <v>0</v>
      </c>
      <c r="G37" s="416">
        <v>104537</v>
      </c>
      <c r="H37" s="416">
        <v>167543</v>
      </c>
      <c r="I37" s="416">
        <v>63006</v>
      </c>
      <c r="J37" s="416">
        <v>0</v>
      </c>
      <c r="K37" s="416">
        <v>0</v>
      </c>
      <c r="L37" s="417">
        <v>0</v>
      </c>
      <c r="M37" s="451"/>
    </row>
    <row r="38" spans="1:13" ht="12">
      <c r="A38" s="450" t="s">
        <v>599</v>
      </c>
      <c r="B38" s="416">
        <v>211993</v>
      </c>
      <c r="C38" s="416">
        <v>230282</v>
      </c>
      <c r="D38" s="416">
        <v>-18289</v>
      </c>
      <c r="E38" s="416">
        <v>18289</v>
      </c>
      <c r="F38" s="416">
        <v>0</v>
      </c>
      <c r="G38" s="416">
        <v>18289</v>
      </c>
      <c r="H38" s="416">
        <v>194456</v>
      </c>
      <c r="I38" s="416">
        <v>176167</v>
      </c>
      <c r="J38" s="416">
        <v>0</v>
      </c>
      <c r="K38" s="416">
        <v>0</v>
      </c>
      <c r="L38" s="417">
        <v>0</v>
      </c>
      <c r="M38" s="451"/>
    </row>
    <row r="39" spans="1:13" ht="12">
      <c r="A39" s="450" t="s">
        <v>600</v>
      </c>
      <c r="B39" s="416">
        <v>1391502</v>
      </c>
      <c r="C39" s="416">
        <v>1433069</v>
      </c>
      <c r="D39" s="416">
        <v>-41567</v>
      </c>
      <c r="E39" s="416">
        <v>41567</v>
      </c>
      <c r="F39" s="416">
        <v>0</v>
      </c>
      <c r="G39" s="416">
        <v>41567</v>
      </c>
      <c r="H39" s="416">
        <v>588000</v>
      </c>
      <c r="I39" s="416">
        <v>547277</v>
      </c>
      <c r="J39" s="416">
        <v>0</v>
      </c>
      <c r="K39" s="416">
        <v>0</v>
      </c>
      <c r="L39" s="417">
        <v>0</v>
      </c>
      <c r="M39" s="451"/>
    </row>
    <row r="40" spans="1:13" ht="12">
      <c r="A40" s="450" t="s">
        <v>601</v>
      </c>
      <c r="B40" s="416">
        <v>275474</v>
      </c>
      <c r="C40" s="416">
        <v>276000</v>
      </c>
      <c r="D40" s="416">
        <v>-53</v>
      </c>
      <c r="E40" s="416">
        <v>53</v>
      </c>
      <c r="F40" s="416">
        <v>0</v>
      </c>
      <c r="G40" s="416">
        <v>53</v>
      </c>
      <c r="H40" s="416">
        <v>293897</v>
      </c>
      <c r="I40" s="416">
        <v>293844</v>
      </c>
      <c r="J40" s="416">
        <v>0</v>
      </c>
      <c r="K40" s="416">
        <v>0</v>
      </c>
      <c r="L40" s="417">
        <v>0</v>
      </c>
      <c r="M40" s="451"/>
    </row>
    <row r="41" spans="1:13" ht="12">
      <c r="A41" s="450" t="s">
        <v>602</v>
      </c>
      <c r="B41" s="416">
        <v>514328</v>
      </c>
      <c r="C41" s="416">
        <v>566000</v>
      </c>
      <c r="D41" s="416">
        <v>-52349</v>
      </c>
      <c r="E41" s="416">
        <v>52349</v>
      </c>
      <c r="F41" s="416">
        <v>0</v>
      </c>
      <c r="G41" s="416">
        <v>52349</v>
      </c>
      <c r="H41" s="416">
        <v>267925</v>
      </c>
      <c r="I41" s="416">
        <v>215576</v>
      </c>
      <c r="J41" s="416">
        <v>0</v>
      </c>
      <c r="K41" s="416">
        <v>0</v>
      </c>
      <c r="L41" s="417">
        <v>0</v>
      </c>
      <c r="M41" s="451"/>
    </row>
    <row r="42" spans="1:13" ht="12">
      <c r="A42" s="450" t="s">
        <v>603</v>
      </c>
      <c r="B42" s="416">
        <v>428635</v>
      </c>
      <c r="C42" s="416">
        <v>519797</v>
      </c>
      <c r="D42" s="416">
        <v>-91162</v>
      </c>
      <c r="E42" s="416">
        <v>91162</v>
      </c>
      <c r="F42" s="416">
        <v>23800</v>
      </c>
      <c r="G42" s="416">
        <v>67362</v>
      </c>
      <c r="H42" s="416">
        <v>205056</v>
      </c>
      <c r="I42" s="416">
        <v>137694</v>
      </c>
      <c r="J42" s="416">
        <v>0</v>
      </c>
      <c r="K42" s="416">
        <v>0</v>
      </c>
      <c r="L42" s="417">
        <v>0</v>
      </c>
      <c r="M42" s="451"/>
    </row>
    <row r="43" spans="1:13" ht="12">
      <c r="A43" s="450" t="s">
        <v>604</v>
      </c>
      <c r="B43" s="416">
        <v>231050</v>
      </c>
      <c r="C43" s="416">
        <v>252645</v>
      </c>
      <c r="D43" s="416">
        <v>-21595</v>
      </c>
      <c r="E43" s="416">
        <v>21595</v>
      </c>
      <c r="F43" s="416">
        <v>0</v>
      </c>
      <c r="G43" s="416">
        <v>21595</v>
      </c>
      <c r="H43" s="416">
        <v>143314</v>
      </c>
      <c r="I43" s="416">
        <v>121719</v>
      </c>
      <c r="J43" s="416">
        <v>0</v>
      </c>
      <c r="K43" s="416">
        <v>0</v>
      </c>
      <c r="L43" s="417">
        <v>0</v>
      </c>
      <c r="M43" s="451"/>
    </row>
    <row r="44" spans="1:13" ht="12">
      <c r="A44" s="450" t="s">
        <v>605</v>
      </c>
      <c r="B44" s="416">
        <v>336861</v>
      </c>
      <c r="C44" s="416">
        <v>345326</v>
      </c>
      <c r="D44" s="416">
        <v>-8465</v>
      </c>
      <c r="E44" s="416">
        <v>8465</v>
      </c>
      <c r="F44" s="416">
        <v>0</v>
      </c>
      <c r="G44" s="416">
        <v>8465</v>
      </c>
      <c r="H44" s="416">
        <v>288716</v>
      </c>
      <c r="I44" s="416">
        <v>280251</v>
      </c>
      <c r="J44" s="416">
        <v>0</v>
      </c>
      <c r="K44" s="416">
        <v>0</v>
      </c>
      <c r="L44" s="417">
        <v>0</v>
      </c>
      <c r="M44" s="451"/>
    </row>
    <row r="45" spans="1:13" ht="12">
      <c r="A45" s="450" t="s">
        <v>606</v>
      </c>
      <c r="B45" s="416">
        <v>281609</v>
      </c>
      <c r="C45" s="416">
        <v>343268</v>
      </c>
      <c r="D45" s="416">
        <v>-61659</v>
      </c>
      <c r="E45" s="416">
        <v>61659</v>
      </c>
      <c r="F45" s="416">
        <v>0</v>
      </c>
      <c r="G45" s="416">
        <v>61659</v>
      </c>
      <c r="H45" s="416">
        <v>320307</v>
      </c>
      <c r="I45" s="416">
        <v>258648</v>
      </c>
      <c r="J45" s="416">
        <v>0</v>
      </c>
      <c r="K45" s="416">
        <v>0</v>
      </c>
      <c r="L45" s="417">
        <v>0</v>
      </c>
      <c r="M45" s="451"/>
    </row>
    <row r="46" spans="1:12" ht="12.75">
      <c r="A46" s="452" t="s">
        <v>607</v>
      </c>
      <c r="B46" s="416">
        <f aca="true" t="shared" si="1" ref="B46:L46">SUM(B20:B45)</f>
        <v>10411000</v>
      </c>
      <c r="C46" s="416">
        <f t="shared" si="1"/>
        <v>11416000</v>
      </c>
      <c r="D46" s="416">
        <f t="shared" si="1"/>
        <v>-1006000</v>
      </c>
      <c r="E46" s="416">
        <f t="shared" si="1"/>
        <v>1006000</v>
      </c>
      <c r="F46" s="416">
        <f t="shared" si="1"/>
        <v>21000</v>
      </c>
      <c r="G46" s="416">
        <f t="shared" si="1"/>
        <v>993000</v>
      </c>
      <c r="H46" s="416">
        <f t="shared" si="1"/>
        <v>6440000</v>
      </c>
      <c r="I46" s="416">
        <f t="shared" si="1"/>
        <v>5448000</v>
      </c>
      <c r="J46" s="416">
        <f t="shared" si="1"/>
        <v>-25000</v>
      </c>
      <c r="K46" s="416">
        <f t="shared" si="1"/>
        <v>17000</v>
      </c>
      <c r="L46" s="417">
        <f t="shared" si="1"/>
        <v>0</v>
      </c>
    </row>
    <row r="47" spans="1:12" ht="12.75">
      <c r="A47" s="455" t="s">
        <v>608</v>
      </c>
      <c r="B47" s="421">
        <f aca="true" t="shared" si="2" ref="B47:L47">SUM(B46,B19)</f>
        <v>21086000</v>
      </c>
      <c r="C47" s="421">
        <f t="shared" si="2"/>
        <v>19470000</v>
      </c>
      <c r="D47" s="421">
        <f t="shared" si="2"/>
        <v>1616000</v>
      </c>
      <c r="E47" s="421">
        <f t="shared" si="2"/>
        <v>-1616000</v>
      </c>
      <c r="F47" s="421">
        <f t="shared" si="2"/>
        <v>121000</v>
      </c>
      <c r="G47" s="421">
        <f t="shared" si="2"/>
        <v>-1729000</v>
      </c>
      <c r="H47" s="421">
        <f t="shared" si="2"/>
        <v>13144000</v>
      </c>
      <c r="I47" s="421">
        <f t="shared" si="2"/>
        <v>14873000</v>
      </c>
      <c r="J47" s="421">
        <f t="shared" si="2"/>
        <v>-25000</v>
      </c>
      <c r="K47" s="421">
        <f t="shared" si="2"/>
        <v>17000</v>
      </c>
      <c r="L47" s="422">
        <f t="shared" si="2"/>
        <v>0</v>
      </c>
    </row>
    <row r="48" s="424" customFormat="1" ht="12">
      <c r="A48" s="423" t="s">
        <v>627</v>
      </c>
    </row>
    <row r="53" spans="1:11" s="322" customFormat="1" ht="11.25" customHeight="1">
      <c r="A53" s="430" t="s">
        <v>478</v>
      </c>
      <c r="H53" s="322" t="s">
        <v>612</v>
      </c>
      <c r="K53" s="322" t="s">
        <v>479</v>
      </c>
    </row>
    <row r="54" spans="1:16" s="424" customFormat="1" ht="12">
      <c r="A54" s="456"/>
      <c r="B54" s="347"/>
      <c r="C54" s="322"/>
      <c r="D54" s="347"/>
      <c r="E54" s="347"/>
      <c r="F54" s="347"/>
      <c r="G54" s="322"/>
      <c r="H54" s="427"/>
      <c r="I54" s="347"/>
      <c r="J54" s="347"/>
      <c r="K54" s="347"/>
      <c r="L54" s="347"/>
      <c r="M54" s="347"/>
      <c r="N54" s="347"/>
      <c r="O54" s="347"/>
      <c r="P54" s="347"/>
    </row>
    <row r="55" spans="1:8" s="460" customFormat="1" ht="11.25">
      <c r="A55" s="457"/>
      <c r="B55" s="458"/>
      <c r="C55" s="288"/>
      <c r="D55" s="459"/>
      <c r="E55" s="288"/>
      <c r="F55" s="459"/>
      <c r="G55" s="459"/>
      <c r="H55" s="288"/>
    </row>
    <row r="56" spans="1:9" s="429" customFormat="1" ht="12.75">
      <c r="A56" s="378"/>
      <c r="B56" s="461"/>
      <c r="C56" s="288"/>
      <c r="D56" s="462"/>
      <c r="E56" s="462"/>
      <c r="G56" s="463"/>
      <c r="I56" s="424"/>
    </row>
    <row r="57" spans="1:16" s="424" customFormat="1" ht="12">
      <c r="A57" s="456"/>
      <c r="B57" s="347"/>
      <c r="C57" s="322"/>
      <c r="D57" s="347"/>
      <c r="E57" s="347"/>
      <c r="F57" s="347"/>
      <c r="G57" s="322"/>
      <c r="H57" s="427"/>
      <c r="I57" s="347"/>
      <c r="J57" s="347"/>
      <c r="K57" s="347"/>
      <c r="L57" s="347"/>
      <c r="M57" s="347"/>
      <c r="N57" s="347"/>
      <c r="O57" s="347"/>
      <c r="P57" s="347"/>
    </row>
    <row r="58" s="429" customFormat="1" ht="11.25">
      <c r="A58" s="428"/>
    </row>
    <row r="59" spans="1:6" s="429" customFormat="1" ht="11.25">
      <c r="A59" s="428"/>
      <c r="B59" s="288"/>
      <c r="C59" s="288"/>
      <c r="D59" s="288"/>
      <c r="E59" s="288"/>
      <c r="F59" s="288"/>
    </row>
    <row r="67" s="329" customFormat="1" ht="11.25">
      <c r="A67" s="329" t="s">
        <v>91</v>
      </c>
    </row>
    <row r="68" ht="11.25">
      <c r="A68" s="431" t="s">
        <v>614</v>
      </c>
    </row>
  </sheetData>
  <printOptions/>
  <pageMargins left="0.7" right="0.2362204724409449" top="0.78" bottom="0.75" header="0.18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13">
      <selection activeCell="A45" sqref="A45"/>
    </sheetView>
  </sheetViews>
  <sheetFormatPr defaultColWidth="9.140625" defaultRowHeight="12.75"/>
  <cols>
    <col min="1" max="1" width="64.8515625" style="288" customWidth="1"/>
    <col min="2" max="2" width="19.140625" style="288" customWidth="1"/>
    <col min="3" max="16384" width="8.00390625" style="288" customWidth="1"/>
  </cols>
  <sheetData>
    <row r="1" spans="1:4" s="295" customFormat="1" ht="12.75">
      <c r="A1" s="300" t="s">
        <v>628</v>
      </c>
      <c r="B1" s="300" t="s">
        <v>629</v>
      </c>
      <c r="D1" s="460"/>
    </row>
    <row r="2" spans="1:2" s="295" customFormat="1" ht="12.75">
      <c r="A2" s="300"/>
      <c r="B2" s="300"/>
    </row>
    <row r="3" s="322" customFormat="1" ht="12"/>
    <row r="4" s="322" customFormat="1" ht="15.75">
      <c r="A4" s="388" t="s">
        <v>630</v>
      </c>
    </row>
    <row r="5" s="322" customFormat="1" ht="15.75">
      <c r="A5" s="464" t="s">
        <v>631</v>
      </c>
    </row>
    <row r="6" spans="1:2" s="322" customFormat="1" ht="12">
      <c r="A6" s="460"/>
      <c r="B6" s="460"/>
    </row>
    <row r="7" spans="1:2" s="322" customFormat="1" ht="12">
      <c r="A7" s="465"/>
      <c r="B7" s="466" t="s">
        <v>632</v>
      </c>
    </row>
    <row r="8" spans="1:2" s="322" customFormat="1" ht="12.75">
      <c r="A8" s="467" t="s">
        <v>7</v>
      </c>
      <c r="B8" s="468" t="s">
        <v>633</v>
      </c>
    </row>
    <row r="9" spans="1:127" s="471" customFormat="1" ht="12.75">
      <c r="A9" s="469">
        <v>1</v>
      </c>
      <c r="B9" s="470">
        <v>2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</row>
    <row r="10" spans="1:127" s="471" customFormat="1" ht="23.25" customHeight="1">
      <c r="A10" s="472" t="s">
        <v>634</v>
      </c>
      <c r="B10" s="473">
        <f>SUM(B11:B16)</f>
        <v>15112300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</row>
    <row r="11" spans="1:127" s="471" customFormat="1" ht="23.25" customHeight="1">
      <c r="A11" s="474" t="s">
        <v>635</v>
      </c>
      <c r="B11" s="475">
        <v>9182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</row>
    <row r="12" spans="1:127" s="471" customFormat="1" ht="19.5" customHeight="1">
      <c r="A12" s="476" t="s">
        <v>636</v>
      </c>
      <c r="B12" s="477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</row>
    <row r="13" spans="1:127" s="471" customFormat="1" ht="17.25" customHeight="1">
      <c r="A13" s="478" t="s">
        <v>637</v>
      </c>
      <c r="B13" s="479">
        <v>345000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</row>
    <row r="14" spans="1:127" s="471" customFormat="1" ht="23.25" customHeight="1">
      <c r="A14" s="474" t="s">
        <v>638</v>
      </c>
      <c r="B14" s="475">
        <v>3051506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</row>
    <row r="15" spans="1:127" s="471" customFormat="1" ht="23.25" customHeight="1">
      <c r="A15" s="474" t="s">
        <v>639</v>
      </c>
      <c r="B15" s="475">
        <v>11706612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</row>
    <row r="16" spans="1:127" s="471" customFormat="1" ht="23.25" customHeight="1">
      <c r="A16" s="474" t="s">
        <v>640</v>
      </c>
      <c r="B16" s="475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</row>
    <row r="17" spans="1:127" s="471" customFormat="1" ht="23.25" customHeight="1">
      <c r="A17" s="480" t="s">
        <v>641</v>
      </c>
      <c r="B17" s="473">
        <f>SUM(B18:B19)</f>
        <v>15111585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</row>
    <row r="18" spans="1:127" s="471" customFormat="1" ht="23.25" customHeight="1">
      <c r="A18" s="474" t="s">
        <v>642</v>
      </c>
      <c r="B18" s="475">
        <v>15111585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322"/>
      <c r="DQ18" s="322"/>
      <c r="DR18" s="322"/>
      <c r="DS18" s="322"/>
      <c r="DT18" s="322"/>
      <c r="DU18" s="322"/>
      <c r="DV18" s="322"/>
      <c r="DW18" s="322"/>
    </row>
    <row r="19" spans="1:127" s="471" customFormat="1" ht="23.25" customHeight="1">
      <c r="A19" s="474" t="s">
        <v>643</v>
      </c>
      <c r="B19" s="475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322"/>
      <c r="DW19" s="322"/>
    </row>
    <row r="20" spans="1:97" s="471" customFormat="1" ht="23.25" customHeight="1">
      <c r="A20" s="481" t="s">
        <v>644</v>
      </c>
      <c r="B20" s="482">
        <f>SUM(B10-B17)</f>
        <v>715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</row>
    <row r="21" spans="1:97" s="424" customFormat="1" ht="12.75">
      <c r="A21" s="462"/>
      <c r="B21" s="46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</row>
    <row r="22" spans="1:97" s="424" customFormat="1" ht="12.75">
      <c r="A22" s="462"/>
      <c r="B22" s="46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</row>
    <row r="23" spans="1:82" s="424" customFormat="1" ht="12.75">
      <c r="A23" s="462"/>
      <c r="B23" s="46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</row>
    <row r="24" spans="1:82" s="424" customFormat="1" ht="12.75">
      <c r="A24" s="462"/>
      <c r="B24" s="46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</row>
    <row r="25" spans="1:82" s="462" customFormat="1" ht="12.75">
      <c r="A25" s="424" t="s">
        <v>645</v>
      </c>
      <c r="B25" s="321" t="s">
        <v>479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</row>
    <row r="26" spans="1:82" s="462" customFormat="1" ht="12.75">
      <c r="A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</row>
    <row r="27" s="322" customFormat="1" ht="12"/>
    <row r="28" spans="1:2" s="322" customFormat="1" ht="14.25">
      <c r="A28" s="483"/>
      <c r="B28" s="484"/>
    </row>
    <row r="29" spans="1:2" s="322" customFormat="1" ht="14.25">
      <c r="A29" s="483"/>
      <c r="B29" s="484"/>
    </row>
    <row r="30" spans="1:2" s="322" customFormat="1" ht="14.25">
      <c r="A30" s="483"/>
      <c r="B30" s="485"/>
    </row>
    <row r="31" s="322" customFormat="1" ht="14.25">
      <c r="A31" s="483"/>
    </row>
    <row r="32" s="322" customFormat="1" ht="14.25">
      <c r="A32" s="483"/>
    </row>
    <row r="33" s="322" customFormat="1" ht="14.25">
      <c r="A33" s="483"/>
    </row>
    <row r="34" s="322" customFormat="1" ht="14.25">
      <c r="A34" s="483"/>
    </row>
    <row r="35" s="322" customFormat="1" ht="14.25">
      <c r="A35" s="483"/>
    </row>
    <row r="36" s="322" customFormat="1" ht="14.25">
      <c r="A36" s="483"/>
    </row>
    <row r="37" s="322" customFormat="1" ht="14.25">
      <c r="A37" s="483"/>
    </row>
    <row r="38" s="322" customFormat="1" ht="14.25">
      <c r="A38" s="483"/>
    </row>
    <row r="39" s="322" customFormat="1" ht="14.25">
      <c r="A39" s="483"/>
    </row>
    <row r="40" spans="1:82" ht="14.25">
      <c r="A40" s="483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</row>
    <row r="41" spans="1:82" ht="14.25">
      <c r="A41" s="483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</row>
    <row r="42" spans="1:82" ht="14.25">
      <c r="A42" s="483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</row>
    <row r="43" spans="1:82" ht="14.25">
      <c r="A43" s="483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</row>
    <row r="44" spans="1:82" ht="14.25">
      <c r="A44" s="483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</row>
    <row r="45" spans="1:82" ht="14.25">
      <c r="A45" s="483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</row>
    <row r="46" spans="1:82" ht="14.25">
      <c r="A46" s="483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</row>
    <row r="47" spans="1:82" ht="14.25">
      <c r="A47" s="483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</row>
    <row r="48" spans="1:82" ht="14.25">
      <c r="A48" s="483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</row>
    <row r="49" spans="1:82" ht="14.25">
      <c r="A49" s="483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</row>
    <row r="50" spans="1:82" ht="14.25">
      <c r="A50" s="483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</row>
    <row r="51" spans="1:82" ht="14.25">
      <c r="A51" s="483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</row>
    <row r="52" spans="1:82" ht="14.25">
      <c r="A52" s="483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2"/>
      <c r="BB52" s="322"/>
      <c r="BC52" s="322"/>
      <c r="BD52" s="322"/>
      <c r="BE52" s="322"/>
      <c r="BF52" s="322"/>
      <c r="BG52" s="322"/>
      <c r="BH52" s="322"/>
      <c r="BI52" s="322"/>
      <c r="BJ52" s="322"/>
      <c r="BK52" s="322"/>
      <c r="BL52" s="322"/>
      <c r="BM52" s="322"/>
      <c r="BN52" s="322"/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2"/>
      <c r="CA52" s="322"/>
      <c r="CB52" s="322"/>
      <c r="CC52" s="322"/>
      <c r="CD52" s="322"/>
    </row>
    <row r="53" spans="1:82" ht="14.25">
      <c r="A53" s="483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 s="322"/>
      <c r="BF53" s="322"/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/>
      <c r="BU53" s="322"/>
      <c r="BV53" s="322"/>
      <c r="BW53" s="322"/>
      <c r="BX53" s="322"/>
      <c r="BY53" s="322"/>
      <c r="BZ53" s="322"/>
      <c r="CA53" s="322"/>
      <c r="CB53" s="322"/>
      <c r="CC53" s="322"/>
      <c r="CD53" s="322"/>
    </row>
    <row r="54" spans="1:82" ht="14.25">
      <c r="A54" s="483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322"/>
      <c r="BI54" s="322"/>
      <c r="BJ54" s="322"/>
      <c r="BK54" s="322"/>
      <c r="BL54" s="322"/>
      <c r="BM54" s="322"/>
      <c r="BN54" s="322"/>
      <c r="BO54" s="322"/>
      <c r="BP54" s="322"/>
      <c r="BQ54" s="322"/>
      <c r="BR54" s="322"/>
      <c r="BS54" s="322"/>
      <c r="BT54" s="322"/>
      <c r="BU54" s="322"/>
      <c r="BV54" s="322"/>
      <c r="BW54" s="322"/>
      <c r="BX54" s="322"/>
      <c r="BY54" s="322"/>
      <c r="BZ54" s="322"/>
      <c r="CA54" s="322"/>
      <c r="CB54" s="322"/>
      <c r="CC54" s="322"/>
      <c r="CD54" s="322"/>
    </row>
    <row r="55" spans="1:82" ht="14.25">
      <c r="A55" s="483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22"/>
      <c r="BG55" s="322"/>
      <c r="BH55" s="322"/>
      <c r="BI55" s="322"/>
      <c r="BJ55" s="322"/>
      <c r="BK55" s="322"/>
      <c r="BL55" s="322"/>
      <c r="BM55" s="322"/>
      <c r="BN55" s="322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2"/>
      <c r="BZ55" s="322"/>
      <c r="CA55" s="322"/>
      <c r="CB55" s="322"/>
      <c r="CC55" s="322"/>
      <c r="CD55" s="322"/>
    </row>
    <row r="56" spans="1:82" ht="14.25">
      <c r="A56" s="483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2"/>
      <c r="BZ56" s="322"/>
      <c r="CA56" s="322"/>
      <c r="CB56" s="322"/>
      <c r="CC56" s="322"/>
      <c r="CD56" s="322"/>
    </row>
    <row r="57" spans="12:82" ht="12"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</row>
    <row r="58" spans="12:82" ht="12"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2"/>
      <c r="BS58" s="322"/>
      <c r="BT58" s="322"/>
      <c r="BU58" s="322"/>
      <c r="BV58" s="322"/>
      <c r="BW58" s="322"/>
      <c r="BX58" s="322"/>
      <c r="BY58" s="322"/>
      <c r="BZ58" s="322"/>
      <c r="CA58" s="322"/>
      <c r="CB58" s="322"/>
      <c r="CC58" s="322"/>
      <c r="CD58" s="322"/>
    </row>
    <row r="59" spans="12:82" ht="12"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</row>
    <row r="60" spans="12:82" ht="12"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</row>
    <row r="61" spans="12:82" ht="12"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  <c r="BT61" s="322"/>
      <c r="BU61" s="322"/>
      <c r="BV61" s="322"/>
      <c r="BW61" s="322"/>
      <c r="BX61" s="322"/>
      <c r="BY61" s="322"/>
      <c r="BZ61" s="322"/>
      <c r="CA61" s="322"/>
      <c r="CB61" s="322"/>
      <c r="CC61" s="322"/>
      <c r="CD61" s="322"/>
    </row>
    <row r="62" spans="12:82" ht="12"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  <c r="BT62" s="322"/>
      <c r="BU62" s="322"/>
      <c r="BV62" s="322"/>
      <c r="BW62" s="322"/>
      <c r="BX62" s="322"/>
      <c r="BY62" s="322"/>
      <c r="BZ62" s="322"/>
      <c r="CA62" s="322"/>
      <c r="CB62" s="322"/>
      <c r="CC62" s="322"/>
      <c r="CD62" s="322"/>
    </row>
  </sheetData>
  <printOptions/>
  <pageMargins left="1.33" right="0.53" top="1.98" bottom="0.984251968503937" header="0.5118110236220472" footer="0.5118110236220472"/>
  <pageSetup horizontalDpi="300" verticalDpi="300" orientation="portrait" paperSize="9" r:id="rId1"/>
  <headerFooter alignWithMargins="0">
    <oddFooter>&amp;L&amp;"Arial,Regular"&amp;8Valsts kase / Pārskatu departaments
15.07.99.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C104"/>
  <sheetViews>
    <sheetView workbookViewId="0" topLeftCell="F1">
      <selection activeCell="F13" sqref="F13"/>
    </sheetView>
  </sheetViews>
  <sheetFormatPr defaultColWidth="9.140625" defaultRowHeight="12.75"/>
  <cols>
    <col min="1" max="1" width="49.57421875" style="1" hidden="1" customWidth="1"/>
    <col min="2" max="2" width="12.7109375" style="2" hidden="1" customWidth="1"/>
    <col min="3" max="3" width="12.140625" style="1" hidden="1" customWidth="1"/>
    <col min="4" max="4" width="10.28125" style="1" hidden="1" customWidth="1"/>
    <col min="5" max="5" width="13.421875" style="1" hidden="1" customWidth="1"/>
    <col min="6" max="6" width="47.7109375" style="0" customWidth="1"/>
    <col min="7" max="8" width="10.7109375" style="0" customWidth="1"/>
    <col min="9" max="9" width="10.00390625" style="0" customWidth="1"/>
    <col min="10" max="10" width="8.8515625" style="0" customWidth="1"/>
    <col min="212" max="16384" width="9.140625" style="1" customWidth="1"/>
  </cols>
  <sheetData>
    <row r="1" spans="5:10" ht="12.75">
      <c r="E1" s="1" t="s">
        <v>2</v>
      </c>
      <c r="F1" s="1"/>
      <c r="G1" s="2"/>
      <c r="H1" s="1"/>
      <c r="I1" s="1"/>
      <c r="J1" s="1" t="s">
        <v>2</v>
      </c>
    </row>
    <row r="2" spans="1:10" ht="18" customHeight="1">
      <c r="A2" s="3" t="s">
        <v>3</v>
      </c>
      <c r="B2" s="4"/>
      <c r="C2" s="3"/>
      <c r="D2" s="3"/>
      <c r="E2" s="3"/>
      <c r="F2" s="3" t="s">
        <v>3</v>
      </c>
      <c r="G2" s="4"/>
      <c r="H2" s="3"/>
      <c r="I2" s="3"/>
      <c r="J2" s="3"/>
    </row>
    <row r="3" spans="6:10" ht="9.75" customHeight="1">
      <c r="F3" s="1"/>
      <c r="G3" s="2"/>
      <c r="H3" s="1"/>
      <c r="I3" s="1"/>
      <c r="J3" s="1"/>
    </row>
    <row r="4" spans="1:10" ht="18.75" customHeight="1">
      <c r="A4" s="284" t="s">
        <v>4</v>
      </c>
      <c r="B4" s="284"/>
      <c r="C4" s="284"/>
      <c r="D4" s="284"/>
      <c r="E4" s="284"/>
      <c r="F4" s="284" t="s">
        <v>5</v>
      </c>
      <c r="G4" s="284"/>
      <c r="H4" s="284"/>
      <c r="I4" s="284"/>
      <c r="J4" s="284"/>
    </row>
    <row r="5" spans="1:10" ht="15.75" customHeight="1">
      <c r="A5" s="5"/>
      <c r="B5" s="4"/>
      <c r="C5" s="3"/>
      <c r="D5" s="6"/>
      <c r="E5" s="6"/>
      <c r="F5" s="5"/>
      <c r="G5" s="4"/>
      <c r="H5" s="3"/>
      <c r="I5" s="6"/>
      <c r="J5" s="6" t="s">
        <v>6</v>
      </c>
    </row>
    <row r="6" spans="1:10" ht="45">
      <c r="A6" s="7" t="s">
        <v>7</v>
      </c>
      <c r="B6" s="8" t="s">
        <v>8</v>
      </c>
      <c r="C6" s="7" t="s">
        <v>9</v>
      </c>
      <c r="D6" s="7" t="s">
        <v>10</v>
      </c>
      <c r="E6" s="7" t="s">
        <v>11</v>
      </c>
      <c r="F6" s="7" t="s">
        <v>7</v>
      </c>
      <c r="G6" s="8" t="s">
        <v>8</v>
      </c>
      <c r="H6" s="7" t="s">
        <v>9</v>
      </c>
      <c r="I6" s="7" t="s">
        <v>10</v>
      </c>
      <c r="J6" s="7" t="s">
        <v>11</v>
      </c>
    </row>
    <row r="7" spans="1:10" ht="12.75">
      <c r="A7" s="7">
        <v>1</v>
      </c>
      <c r="B7" s="8">
        <v>2</v>
      </c>
      <c r="C7" s="7">
        <v>3</v>
      </c>
      <c r="D7" s="7">
        <v>4</v>
      </c>
      <c r="E7" s="7">
        <v>5</v>
      </c>
      <c r="F7" s="7">
        <v>1</v>
      </c>
      <c r="G7" s="8">
        <v>2</v>
      </c>
      <c r="H7" s="7">
        <v>3</v>
      </c>
      <c r="I7" s="7">
        <v>4</v>
      </c>
      <c r="J7" s="7">
        <v>5</v>
      </c>
    </row>
    <row r="8" spans="1:10" ht="30" customHeight="1">
      <c r="A8" s="9" t="s">
        <v>12</v>
      </c>
      <c r="B8" s="10">
        <f>SUM(B21,B29)</f>
        <v>1414534845</v>
      </c>
      <c r="C8" s="10">
        <f>SUM(C21,C29)</f>
        <v>609958000</v>
      </c>
      <c r="D8" s="11">
        <f>IF(ISERROR(C8/B8)," ",(C8/B8))</f>
        <v>0.43120747583987584</v>
      </c>
      <c r="E8" s="10">
        <f>SUM(E21,E29)</f>
        <v>102358000</v>
      </c>
      <c r="F8" s="9" t="s">
        <v>12</v>
      </c>
      <c r="G8" s="12">
        <f>SUM(G21,G29)</f>
        <v>1414535</v>
      </c>
      <c r="H8" s="12">
        <f>SUM(H21,H29)</f>
        <v>609958</v>
      </c>
      <c r="I8" s="13">
        <f>IF(ISERROR(H8/G8)," ",(H8/G8))</f>
        <v>0.4312074285896072</v>
      </c>
      <c r="J8" s="12">
        <f>SUM(J21,J29)</f>
        <v>102358</v>
      </c>
    </row>
    <row r="9" spans="1:10" ht="29.25" customHeight="1">
      <c r="A9" s="14" t="s">
        <v>13</v>
      </c>
      <c r="B9" s="10">
        <f>SUM(B10,B18,B19)</f>
        <v>720918773</v>
      </c>
      <c r="C9" s="10">
        <f>SUM(C10,C18,C19)</f>
        <v>315700000</v>
      </c>
      <c r="D9" s="11">
        <f aca="true" t="shared" si="0" ref="D9:D45">IF(ISERROR(C9/B9)," ",(C9/B9))</f>
        <v>0.4379134124726143</v>
      </c>
      <c r="E9" s="10">
        <f>SUM(E10,E18,E19)</f>
        <v>52037000</v>
      </c>
      <c r="F9" s="14" t="s">
        <v>13</v>
      </c>
      <c r="G9" s="15">
        <f>SUM(G10,G18,G19)</f>
        <v>720919</v>
      </c>
      <c r="H9" s="15">
        <f>SUM(H10,H18,H19)</f>
        <v>315700</v>
      </c>
      <c r="I9" s="16">
        <f aca="true" t="shared" si="1" ref="I9:I45">IF(ISERROR(H9/G9)," ",(H9/G9))</f>
        <v>0.43791327458424595</v>
      </c>
      <c r="J9" s="15">
        <f>SUM(J10,J18,J19)</f>
        <v>52037</v>
      </c>
    </row>
    <row r="10" spans="1:10" ht="19.5" customHeight="1">
      <c r="A10" s="17" t="s">
        <v>14</v>
      </c>
      <c r="B10" s="18">
        <f>SUM(B11,B13,B17)</f>
        <v>577462850</v>
      </c>
      <c r="C10" s="18">
        <f>SUM(C11,C13,C17)</f>
        <v>260924000</v>
      </c>
      <c r="D10" s="19">
        <f t="shared" si="0"/>
        <v>0.4518455169886686</v>
      </c>
      <c r="E10" s="18">
        <f>SUM(E11,E13,E17)</f>
        <v>39913000</v>
      </c>
      <c r="F10" s="17" t="s">
        <v>14</v>
      </c>
      <c r="G10" s="18">
        <f>SUM(G11,G13,G17)</f>
        <v>577463</v>
      </c>
      <c r="H10" s="18">
        <f>SUM(H11,H13,H17)</f>
        <v>260924</v>
      </c>
      <c r="I10" s="20">
        <f t="shared" si="1"/>
        <v>0.45184539961867687</v>
      </c>
      <c r="J10" s="18">
        <f>SUM(J11,J13,J17)</f>
        <v>39913</v>
      </c>
    </row>
    <row r="11" spans="1:10" ht="15.75" customHeight="1">
      <c r="A11" s="21" t="s">
        <v>15</v>
      </c>
      <c r="B11" s="18">
        <f>SUM(B12)</f>
        <v>90900000</v>
      </c>
      <c r="C11" s="18">
        <f>SUM(C12)</f>
        <v>47443000</v>
      </c>
      <c r="D11" s="19">
        <f t="shared" si="0"/>
        <v>0.521925192519252</v>
      </c>
      <c r="E11" s="18">
        <f>SUM(E12)</f>
        <v>4117000</v>
      </c>
      <c r="F11" s="21" t="s">
        <v>15</v>
      </c>
      <c r="G11" s="18">
        <f>SUM(G12)</f>
        <v>90900</v>
      </c>
      <c r="H11" s="18">
        <f>SUM(H12)</f>
        <v>47443</v>
      </c>
      <c r="I11" s="20">
        <f t="shared" si="1"/>
        <v>0.521925192519252</v>
      </c>
      <c r="J11" s="18">
        <f>SUM(J12)</f>
        <v>4117</v>
      </c>
    </row>
    <row r="12" spans="1:10" ht="15.75" customHeight="1">
      <c r="A12" s="22" t="s">
        <v>16</v>
      </c>
      <c r="B12" s="18">
        <f>90900000</f>
        <v>90900000</v>
      </c>
      <c r="C12" s="18">
        <v>47443000</v>
      </c>
      <c r="D12" s="19">
        <f t="shared" si="0"/>
        <v>0.521925192519252</v>
      </c>
      <c r="E12" s="18">
        <f>C12-'[1]Maijs'!C12</f>
        <v>4117000</v>
      </c>
      <c r="F12" s="22" t="s">
        <v>16</v>
      </c>
      <c r="G12" s="18">
        <f>ROUND(B12/1000,0)</f>
        <v>90900</v>
      </c>
      <c r="H12" s="18">
        <f>ROUND(C12/1000,0)</f>
        <v>47443</v>
      </c>
      <c r="I12" s="20">
        <f t="shared" si="1"/>
        <v>0.521925192519252</v>
      </c>
      <c r="J12" s="18">
        <f>H12-'[1]Maijs'!H12</f>
        <v>4117</v>
      </c>
    </row>
    <row r="13" spans="1:10" ht="16.5" customHeight="1">
      <c r="A13" s="21" t="s">
        <v>17</v>
      </c>
      <c r="B13" s="18">
        <f>SUM(B14:B16)</f>
        <v>486562850</v>
      </c>
      <c r="C13" s="18">
        <f>SUM(C14:C16)</f>
        <v>208912000</v>
      </c>
      <c r="D13" s="19">
        <f t="shared" si="0"/>
        <v>0.42936282537805753</v>
      </c>
      <c r="E13" s="18">
        <f>SUM(E14:E16)</f>
        <v>35269000</v>
      </c>
      <c r="F13" s="21" t="s">
        <v>17</v>
      </c>
      <c r="G13" s="18">
        <f>SUM(G14:G16)</f>
        <v>486563</v>
      </c>
      <c r="H13" s="18">
        <f>SUM(H14:H16)</f>
        <v>208912</v>
      </c>
      <c r="I13" s="20">
        <f t="shared" si="1"/>
        <v>0.42936269301200464</v>
      </c>
      <c r="J13" s="18">
        <f>SUM(J14:J16)</f>
        <v>35269</v>
      </c>
    </row>
    <row r="14" spans="1:10" ht="17.25" customHeight="1">
      <c r="A14" s="23" t="s">
        <v>18</v>
      </c>
      <c r="B14" s="18">
        <v>345763150</v>
      </c>
      <c r="C14" s="18">
        <v>149589000</v>
      </c>
      <c r="D14" s="19">
        <f t="shared" si="0"/>
        <v>0.4326343047256482</v>
      </c>
      <c r="E14" s="18">
        <f>C14-'[1]Maijs'!C14</f>
        <v>26661000</v>
      </c>
      <c r="F14" s="23" t="s">
        <v>18</v>
      </c>
      <c r="G14" s="18">
        <f aca="true" t="shared" si="2" ref="G14:H18">ROUND(B14/1000,0)</f>
        <v>345763</v>
      </c>
      <c r="H14" s="18">
        <f t="shared" si="2"/>
        <v>149589</v>
      </c>
      <c r="I14" s="20">
        <f t="shared" si="1"/>
        <v>0.4326344924124328</v>
      </c>
      <c r="J14" s="18">
        <f>H14-'[1]Maijs'!H14</f>
        <v>26661</v>
      </c>
    </row>
    <row r="15" spans="1:10" ht="17.25" customHeight="1">
      <c r="A15" s="22" t="s">
        <v>19</v>
      </c>
      <c r="B15" s="18">
        <v>122199700</v>
      </c>
      <c r="C15" s="18">
        <v>51641000</v>
      </c>
      <c r="D15" s="19">
        <f t="shared" si="0"/>
        <v>0.4225951454872639</v>
      </c>
      <c r="E15" s="18">
        <f>C15-'[1]Maijs'!C15</f>
        <v>7250000</v>
      </c>
      <c r="F15" s="22" t="s">
        <v>19</v>
      </c>
      <c r="G15" s="18">
        <f t="shared" si="2"/>
        <v>122200</v>
      </c>
      <c r="H15" s="18">
        <f t="shared" si="2"/>
        <v>51641</v>
      </c>
      <c r="I15" s="20">
        <f t="shared" si="1"/>
        <v>0.4225941080196399</v>
      </c>
      <c r="J15" s="18">
        <f>H15-'[1]Maijs'!H15</f>
        <v>7250</v>
      </c>
    </row>
    <row r="16" spans="1:10" ht="16.5" customHeight="1">
      <c r="A16" s="22" t="s">
        <v>20</v>
      </c>
      <c r="B16" s="18">
        <v>18600000</v>
      </c>
      <c r="C16" s="18">
        <v>7682000</v>
      </c>
      <c r="D16" s="19">
        <f t="shared" si="0"/>
        <v>0.41301075268817206</v>
      </c>
      <c r="E16" s="18">
        <f>C16-'[1]Maijs'!C16</f>
        <v>1358000</v>
      </c>
      <c r="F16" s="22" t="s">
        <v>20</v>
      </c>
      <c r="G16" s="18">
        <f t="shared" si="2"/>
        <v>18600</v>
      </c>
      <c r="H16" s="18">
        <f t="shared" si="2"/>
        <v>7682</v>
      </c>
      <c r="I16" s="20">
        <f t="shared" si="1"/>
        <v>0.41301075268817206</v>
      </c>
      <c r="J16" s="18">
        <f>H16-'[1]Maijs'!H16</f>
        <v>1358</v>
      </c>
    </row>
    <row r="17" spans="1:10" ht="15.75" customHeight="1">
      <c r="A17" s="21" t="s">
        <v>21</v>
      </c>
      <c r="B17" s="18"/>
      <c r="C17" s="18">
        <v>4569000</v>
      </c>
      <c r="D17" s="19" t="str">
        <f t="shared" si="0"/>
        <v> </v>
      </c>
      <c r="E17" s="18">
        <f>C17-'[1]Maijs'!C17</f>
        <v>527000</v>
      </c>
      <c r="F17" s="21" t="s">
        <v>21</v>
      </c>
      <c r="G17" s="18">
        <f t="shared" si="2"/>
        <v>0</v>
      </c>
      <c r="H17" s="18">
        <f t="shared" si="2"/>
        <v>4569</v>
      </c>
      <c r="I17" s="20" t="str">
        <f t="shared" si="1"/>
        <v> </v>
      </c>
      <c r="J17" s="18">
        <f>H17-'[1]Maijs'!H17</f>
        <v>527</v>
      </c>
    </row>
    <row r="18" spans="1:10" ht="12.75">
      <c r="A18" s="17" t="s">
        <v>22</v>
      </c>
      <c r="B18" s="18">
        <v>80229200</v>
      </c>
      <c r="C18" s="18">
        <v>26951000</v>
      </c>
      <c r="D18" s="19">
        <f t="shared" si="0"/>
        <v>0.33592507466109595</v>
      </c>
      <c r="E18" s="18">
        <f>C18-'[1]Maijs'!C18</f>
        <v>7583000</v>
      </c>
      <c r="F18" s="17" t="s">
        <v>22</v>
      </c>
      <c r="G18" s="18">
        <f t="shared" si="2"/>
        <v>80229</v>
      </c>
      <c r="H18" s="18">
        <f t="shared" si="2"/>
        <v>26951</v>
      </c>
      <c r="I18" s="20">
        <f t="shared" si="1"/>
        <v>0.3359259120766805</v>
      </c>
      <c r="J18" s="18">
        <f>H18-'[1]Maijs'!H18</f>
        <v>7583</v>
      </c>
    </row>
    <row r="19" spans="1:10" ht="15.75" customHeight="1">
      <c r="A19" s="24" t="s">
        <v>23</v>
      </c>
      <c r="B19" s="18">
        <v>63226723</v>
      </c>
      <c r="C19" s="18">
        <v>27825000</v>
      </c>
      <c r="D19" s="19">
        <f t="shared" si="0"/>
        <v>0.4400829060838722</v>
      </c>
      <c r="E19" s="18">
        <f>C19-'[1]Maijs'!C19</f>
        <v>4541000</v>
      </c>
      <c r="F19" s="24" t="s">
        <v>23</v>
      </c>
      <c r="G19" s="18">
        <f>ROUND(B19/1000,0)</f>
        <v>63227</v>
      </c>
      <c r="H19" s="18">
        <f>ROUND(C19/1000,0)</f>
        <v>27825</v>
      </c>
      <c r="I19" s="20">
        <f t="shared" si="1"/>
        <v>0.4400809780631692</v>
      </c>
      <c r="J19" s="18">
        <f>H19-'[1]Maijs'!H19</f>
        <v>4541</v>
      </c>
    </row>
    <row r="20" spans="1:10" ht="15.75" customHeight="1">
      <c r="A20" s="25" t="s">
        <v>24</v>
      </c>
      <c r="B20" s="18">
        <v>49213200</v>
      </c>
      <c r="C20" s="18">
        <v>7674000</v>
      </c>
      <c r="D20" s="19">
        <f t="shared" si="0"/>
        <v>0.15593377386554827</v>
      </c>
      <c r="E20" s="18">
        <f>C20-'[1]Maijs'!C20</f>
        <v>2253000</v>
      </c>
      <c r="F20" s="25" t="s">
        <v>25</v>
      </c>
      <c r="G20" s="26">
        <f>ROUND(B20/1000,0)</f>
        <v>49213</v>
      </c>
      <c r="H20" s="26">
        <f>ROUND(C20/1000,0)</f>
        <v>7674</v>
      </c>
      <c r="I20" s="27">
        <f t="shared" si="1"/>
        <v>0.1559344075752342</v>
      </c>
      <c r="J20" s="26">
        <f>H20-'[1]Maijs'!H20</f>
        <v>2253</v>
      </c>
    </row>
    <row r="21" spans="1:10" ht="19.5" customHeight="1">
      <c r="A21" s="14" t="s">
        <v>26</v>
      </c>
      <c r="B21" s="10">
        <f>SUM(B9-B20)</f>
        <v>671705573</v>
      </c>
      <c r="C21" s="10">
        <f>SUM(C9-C20)</f>
        <v>308026000</v>
      </c>
      <c r="D21" s="11">
        <f t="shared" si="0"/>
        <v>0.45857294085603784</v>
      </c>
      <c r="E21" s="10">
        <f>SUM(E9-E20)</f>
        <v>49784000</v>
      </c>
      <c r="F21" s="14" t="s">
        <v>26</v>
      </c>
      <c r="G21" s="15">
        <f>SUM(G9-G20)</f>
        <v>671706</v>
      </c>
      <c r="H21" s="15">
        <f>SUM(H9-H20)</f>
        <v>308026</v>
      </c>
      <c r="I21" s="16">
        <f t="shared" si="1"/>
        <v>0.45857264934361164</v>
      </c>
      <c r="J21" s="15">
        <f>SUM(J9-J20)</f>
        <v>49784</v>
      </c>
    </row>
    <row r="22" spans="1:10" ht="20.25" customHeight="1">
      <c r="A22" s="28" t="s">
        <v>27</v>
      </c>
      <c r="B22" s="10">
        <f>SUM(B23)</f>
        <v>810358111</v>
      </c>
      <c r="C22" s="10">
        <f>SUM(C23)</f>
        <v>331885000</v>
      </c>
      <c r="D22" s="11">
        <f t="shared" si="0"/>
        <v>0.4095534992430032</v>
      </c>
      <c r="E22" s="10">
        <f>SUM(E23)</f>
        <v>57416000</v>
      </c>
      <c r="F22" s="28" t="s">
        <v>27</v>
      </c>
      <c r="G22" s="15">
        <f>SUM(G23)</f>
        <v>810358</v>
      </c>
      <c r="H22" s="15">
        <f>SUM(H23)</f>
        <v>331885</v>
      </c>
      <c r="I22" s="16">
        <f t="shared" si="1"/>
        <v>0.4095535553422068</v>
      </c>
      <c r="J22" s="15">
        <f>SUM(J23)</f>
        <v>57416</v>
      </c>
    </row>
    <row r="23" spans="1:10" ht="12.75">
      <c r="A23" s="17" t="s">
        <v>28</v>
      </c>
      <c r="B23" s="18">
        <f>SUM(B24:B27)</f>
        <v>810358111</v>
      </c>
      <c r="C23" s="18">
        <f>SUM(C24:C27)</f>
        <v>331885000</v>
      </c>
      <c r="D23" s="19">
        <f t="shared" si="0"/>
        <v>0.4095534992430032</v>
      </c>
      <c r="E23" s="18">
        <f>SUM(E24:E27)</f>
        <v>57416000</v>
      </c>
      <c r="F23" s="17" t="s">
        <v>28</v>
      </c>
      <c r="G23" s="18">
        <f>SUM(G24:G27)</f>
        <v>810358</v>
      </c>
      <c r="H23" s="18">
        <f>SUM(H24:H27)</f>
        <v>331885</v>
      </c>
      <c r="I23" s="20">
        <f t="shared" si="1"/>
        <v>0.4095535553422068</v>
      </c>
      <c r="J23" s="18">
        <f>SUM(J24:J27)</f>
        <v>57416</v>
      </c>
    </row>
    <row r="24" spans="1:211" s="29" customFormat="1" ht="12.75">
      <c r="A24" s="22" t="s">
        <v>29</v>
      </c>
      <c r="B24" s="18">
        <v>472550000</v>
      </c>
      <c r="C24" s="18">
        <v>212929000</v>
      </c>
      <c r="D24" s="19">
        <f t="shared" si="0"/>
        <v>0.45059570415829014</v>
      </c>
      <c r="E24" s="18">
        <f>C24-'[1]Maijs'!C24</f>
        <v>36748000</v>
      </c>
      <c r="F24" s="22" t="s">
        <v>29</v>
      </c>
      <c r="G24" s="18">
        <f aca="true" t="shared" si="3" ref="G24:H26">ROUND(B24/1000,0)</f>
        <v>472550</v>
      </c>
      <c r="H24" s="18">
        <f t="shared" si="3"/>
        <v>212929</v>
      </c>
      <c r="I24" s="20">
        <f t="shared" si="1"/>
        <v>0.45059570415829014</v>
      </c>
      <c r="J24" s="18">
        <f>H24-'[1]Maijs'!H24</f>
        <v>36748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</row>
    <row r="25" spans="1:211" s="29" customFormat="1" ht="12.75">
      <c r="A25" s="30" t="s">
        <v>30</v>
      </c>
      <c r="B25" s="18">
        <v>71100000</v>
      </c>
      <c r="C25" s="18">
        <v>22660000</v>
      </c>
      <c r="D25" s="19">
        <f t="shared" si="0"/>
        <v>0.31870604781997186</v>
      </c>
      <c r="E25" s="18">
        <f>C25-'[1]Maijs'!C25</f>
        <v>5062000</v>
      </c>
      <c r="F25" s="30" t="s">
        <v>30</v>
      </c>
      <c r="G25" s="18">
        <f t="shared" si="3"/>
        <v>71100</v>
      </c>
      <c r="H25" s="18">
        <f t="shared" si="3"/>
        <v>22660</v>
      </c>
      <c r="I25" s="20">
        <f t="shared" si="1"/>
        <v>0.31870604781997186</v>
      </c>
      <c r="J25" s="18">
        <f>H25-'[1]Maijs'!H25</f>
        <v>5062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</row>
    <row r="26" spans="1:211" s="29" customFormat="1" ht="12.75">
      <c r="A26" s="30" t="s">
        <v>31</v>
      </c>
      <c r="B26" s="18">
        <v>69125600</v>
      </c>
      <c r="C26" s="18">
        <v>33142000</v>
      </c>
      <c r="D26" s="19">
        <f t="shared" si="0"/>
        <v>0.47944610969018714</v>
      </c>
      <c r="E26" s="18">
        <f>C26-'[1]Maijs'!C26</f>
        <v>5344000</v>
      </c>
      <c r="F26" s="30" t="s">
        <v>31</v>
      </c>
      <c r="G26" s="18">
        <f t="shared" si="3"/>
        <v>69126</v>
      </c>
      <c r="H26" s="18">
        <f t="shared" si="3"/>
        <v>33142</v>
      </c>
      <c r="I26" s="20">
        <f t="shared" si="1"/>
        <v>0.4794433353586205</v>
      </c>
      <c r="J26" s="18">
        <f>H26-'[1]Maijs'!H26</f>
        <v>5344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29" customFormat="1" ht="12.75">
      <c r="A27" s="22" t="s">
        <v>32</v>
      </c>
      <c r="B27" s="18">
        <v>197582511</v>
      </c>
      <c r="C27" s="18">
        <f>63197000-43000</f>
        <v>63154000</v>
      </c>
      <c r="D27" s="19">
        <f t="shared" si="0"/>
        <v>0.31963355299194474</v>
      </c>
      <c r="E27" s="18">
        <f>C27-'[1]Maijs'!C27</f>
        <v>10262000</v>
      </c>
      <c r="F27" s="22" t="s">
        <v>32</v>
      </c>
      <c r="G27" s="18">
        <f>ROUND(B27/1000,0)-1</f>
        <v>197582</v>
      </c>
      <c r="H27" s="18">
        <f>ROUND(C27/1000,0)</f>
        <v>63154</v>
      </c>
      <c r="I27" s="20">
        <f t="shared" si="1"/>
        <v>0.3196343796499681</v>
      </c>
      <c r="J27" s="18">
        <f>H27-'[1]Maijs'!H27</f>
        <v>10262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29" customFormat="1" ht="12.75">
      <c r="A28" s="31" t="s">
        <v>33</v>
      </c>
      <c r="B28" s="18">
        <v>67528839</v>
      </c>
      <c r="C28" s="18">
        <v>29953000</v>
      </c>
      <c r="D28" s="19">
        <f t="shared" si="0"/>
        <v>0.44355864018334445</v>
      </c>
      <c r="E28" s="18">
        <f>C28-'[1]Maijs'!C28</f>
        <v>4842000</v>
      </c>
      <c r="F28" s="31" t="s">
        <v>34</v>
      </c>
      <c r="G28" s="26">
        <f>ROUND(B28/1000,0)</f>
        <v>67529</v>
      </c>
      <c r="H28" s="26">
        <f>ROUND(C28/1000,0)</f>
        <v>29953</v>
      </c>
      <c r="I28" s="27">
        <f t="shared" si="1"/>
        <v>0.443557582668187</v>
      </c>
      <c r="J28" s="26">
        <f>H28-'[1]Maijs'!H28</f>
        <v>4842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10" ht="22.5" customHeight="1">
      <c r="A29" s="14" t="s">
        <v>35</v>
      </c>
      <c r="B29" s="10">
        <f>SUM(B22-B28)</f>
        <v>742829272</v>
      </c>
      <c r="C29" s="10">
        <f>SUM(C22-C28)</f>
        <v>301932000</v>
      </c>
      <c r="D29" s="11">
        <f t="shared" si="0"/>
        <v>0.40646217291232434</v>
      </c>
      <c r="E29" s="10">
        <f>SUM(E22-E28)</f>
        <v>52574000</v>
      </c>
      <c r="F29" s="14" t="s">
        <v>35</v>
      </c>
      <c r="G29" s="15">
        <f>SUM(G22-G28)</f>
        <v>742829</v>
      </c>
      <c r="H29" s="15">
        <f>SUM(H22-H28)</f>
        <v>301932</v>
      </c>
      <c r="I29" s="16">
        <f t="shared" si="1"/>
        <v>0.4064623217456507</v>
      </c>
      <c r="J29" s="15">
        <f>SUM(J22-J28)</f>
        <v>52574</v>
      </c>
    </row>
    <row r="30" spans="1:10" ht="29.25" customHeight="1">
      <c r="A30" s="32" t="s">
        <v>36</v>
      </c>
      <c r="B30" s="10">
        <f>SUM(B31:B33)</f>
        <v>1475060465</v>
      </c>
      <c r="C30" s="10">
        <f>SUM(C31:C33)</f>
        <v>672112000</v>
      </c>
      <c r="D30" s="11">
        <f t="shared" si="0"/>
        <v>0.4556504739620962</v>
      </c>
      <c r="E30" s="10">
        <f>SUM(E31:E33)</f>
        <v>123856262</v>
      </c>
      <c r="F30" s="32" t="s">
        <v>36</v>
      </c>
      <c r="G30" s="12">
        <f>SUM(G31:G33)</f>
        <v>1475061</v>
      </c>
      <c r="H30" s="12">
        <f>SUM(H31:H33)</f>
        <v>672112</v>
      </c>
      <c r="I30" s="13">
        <f t="shared" si="1"/>
        <v>0.4556503086990979</v>
      </c>
      <c r="J30" s="12">
        <f>SUM(J31:J33)</f>
        <v>123856</v>
      </c>
    </row>
    <row r="31" spans="1:10" ht="28.5" customHeight="1">
      <c r="A31" s="32" t="s">
        <v>37</v>
      </c>
      <c r="B31" s="10">
        <f>SUM(B43+B65)</f>
        <v>1343452121</v>
      </c>
      <c r="C31" s="10">
        <f>SUM(C43+C65)</f>
        <v>632815000</v>
      </c>
      <c r="D31" s="11">
        <f t="shared" si="0"/>
        <v>0.4710365111701662</v>
      </c>
      <c r="E31" s="10">
        <f>SUM(E43+E65)</f>
        <v>112146000</v>
      </c>
      <c r="F31" s="32" t="s">
        <v>38</v>
      </c>
      <c r="G31" s="12">
        <f>SUM(G43+G65)</f>
        <v>1343453</v>
      </c>
      <c r="H31" s="12">
        <f>SUM(H43+H65)</f>
        <v>632815</v>
      </c>
      <c r="I31" s="13">
        <f t="shared" si="1"/>
        <v>0.47103620297844434</v>
      </c>
      <c r="J31" s="12">
        <f>SUM(J43+J65)</f>
        <v>112146</v>
      </c>
    </row>
    <row r="32" spans="1:10" ht="25.5" customHeight="1">
      <c r="A32" s="32" t="s">
        <v>39</v>
      </c>
      <c r="B32" s="10">
        <f>SUM(B45+B67)</f>
        <v>43264522</v>
      </c>
      <c r="C32" s="10">
        <f>SUM(C45+C67)</f>
        <v>11556000</v>
      </c>
      <c r="D32" s="11">
        <f t="shared" si="0"/>
        <v>0.26710106724396493</v>
      </c>
      <c r="E32" s="10">
        <f>SUM(E45+E67)</f>
        <v>3016000</v>
      </c>
      <c r="F32" s="32" t="s">
        <v>40</v>
      </c>
      <c r="G32" s="12">
        <f>SUM(G45+G67)</f>
        <v>43264</v>
      </c>
      <c r="H32" s="12">
        <f>SUM(H45+H67)</f>
        <v>11556</v>
      </c>
      <c r="I32" s="13">
        <f t="shared" si="1"/>
        <v>0.2671042899408284</v>
      </c>
      <c r="J32" s="12">
        <f>SUM(J45+J67)</f>
        <v>3016</v>
      </c>
    </row>
    <row r="33" spans="1:10" ht="30" customHeight="1">
      <c r="A33" s="32" t="s">
        <v>41</v>
      </c>
      <c r="B33" s="10">
        <f>SUM(B50+B69)</f>
        <v>88343822</v>
      </c>
      <c r="C33" s="10">
        <f>SUM(C50+C69)</f>
        <v>27741000</v>
      </c>
      <c r="D33" s="11">
        <f t="shared" si="0"/>
        <v>0.31401177096458427</v>
      </c>
      <c r="E33" s="10">
        <f>SUM(E50+E69)</f>
        <v>8694262</v>
      </c>
      <c r="F33" s="32" t="s">
        <v>42</v>
      </c>
      <c r="G33" s="12">
        <f>SUM(G50+G69)</f>
        <v>88344</v>
      </c>
      <c r="H33" s="12">
        <f>SUM(H50+H69)</f>
        <v>27741</v>
      </c>
      <c r="I33" s="13">
        <f t="shared" si="1"/>
        <v>0.31401113827764193</v>
      </c>
      <c r="J33" s="12">
        <f>SUM(J50+J69)</f>
        <v>8694</v>
      </c>
    </row>
    <row r="34" spans="1:10" ht="29.25" customHeight="1">
      <c r="A34" s="32" t="s">
        <v>43</v>
      </c>
      <c r="B34" s="10">
        <f>SUM(B8-B30)</f>
        <v>-60525620</v>
      </c>
      <c r="C34" s="10">
        <f>SUM(C8-C30)</f>
        <v>-62154000</v>
      </c>
      <c r="D34" s="11">
        <f t="shared" si="0"/>
        <v>1.0269039788440002</v>
      </c>
      <c r="E34" s="10">
        <f>SUM(E8-E30)</f>
        <v>-21498262</v>
      </c>
      <c r="F34" s="32" t="s">
        <v>43</v>
      </c>
      <c r="G34" s="12">
        <f>SUM(G8-G30)</f>
        <v>-60526</v>
      </c>
      <c r="H34" s="12">
        <f>SUM(H8-H30)</f>
        <v>-62154</v>
      </c>
      <c r="I34" s="13">
        <f t="shared" si="1"/>
        <v>1.0268975316392954</v>
      </c>
      <c r="J34" s="12">
        <f>SUM(J8-J30)</f>
        <v>-21498</v>
      </c>
    </row>
    <row r="35" spans="1:10" ht="19.5" customHeight="1">
      <c r="A35" s="32" t="s">
        <v>44</v>
      </c>
      <c r="B35" s="10">
        <f>SUM(B52+B71)</f>
        <v>51992655</v>
      </c>
      <c r="C35" s="10">
        <f>SUM(C52+C71)</f>
        <v>50525599</v>
      </c>
      <c r="D35" s="11">
        <f t="shared" si="0"/>
        <v>0.9717833990204963</v>
      </c>
      <c r="E35" s="10">
        <f>SUM(E52+E71)</f>
        <v>1347599</v>
      </c>
      <c r="F35" s="32" t="s">
        <v>44</v>
      </c>
      <c r="G35" s="12">
        <f>SUM(G52+G71)</f>
        <v>51993</v>
      </c>
      <c r="H35" s="12">
        <f>SUM(H52+H71)</f>
        <v>5127</v>
      </c>
      <c r="I35" s="13">
        <f t="shared" si="1"/>
        <v>0.09860942819225665</v>
      </c>
      <c r="J35" s="12">
        <f>SUM(J52+J71)</f>
        <v>1348</v>
      </c>
    </row>
    <row r="36" spans="1:10" ht="30" customHeight="1">
      <c r="A36" s="32" t="s">
        <v>45</v>
      </c>
      <c r="B36" s="10">
        <f>SUM(B30+B35)</f>
        <v>1527053120</v>
      </c>
      <c r="C36" s="10">
        <f>SUM(C30+C35)</f>
        <v>722637599</v>
      </c>
      <c r="D36" s="11">
        <f t="shared" si="0"/>
        <v>0.47322361582287326</v>
      </c>
      <c r="E36" s="10">
        <f>SUM(E30+E35)</f>
        <v>125203861</v>
      </c>
      <c r="F36" s="32" t="s">
        <v>46</v>
      </c>
      <c r="G36" s="12">
        <f>SUM(G30+G35)</f>
        <v>1527054</v>
      </c>
      <c r="H36" s="12">
        <f>SUM(H30+H35)</f>
        <v>677239</v>
      </c>
      <c r="I36" s="13">
        <f t="shared" si="1"/>
        <v>0.44349381226859036</v>
      </c>
      <c r="J36" s="12">
        <f>SUM(J30+J35)</f>
        <v>125204</v>
      </c>
    </row>
    <row r="37" spans="1:10" ht="27" customHeight="1">
      <c r="A37" s="32" t="s">
        <v>47</v>
      </c>
      <c r="B37" s="10">
        <f>IF((B34-B35=B8-B36)=TRUE,B34-B35,9)</f>
        <v>-112518275</v>
      </c>
      <c r="C37" s="10">
        <f>IF((C34-C35=C8-C36)=TRUE,C34-C35,9)</f>
        <v>-112679599</v>
      </c>
      <c r="D37" s="11">
        <f t="shared" si="0"/>
        <v>1.001433758205056</v>
      </c>
      <c r="E37" s="10">
        <f>IF((E34-E35=E8-E36)=TRUE,E34-E35,9)</f>
        <v>-22845861</v>
      </c>
      <c r="F37" s="32" t="s">
        <v>47</v>
      </c>
      <c r="G37" s="12">
        <f>IF((G34-G35=G8-G36)=TRUE,G34-G35,9)</f>
        <v>-112519</v>
      </c>
      <c r="H37" s="12">
        <f>IF((H34-H35=H8-H36)=TRUE,H34-H35,9)</f>
        <v>-67281</v>
      </c>
      <c r="I37" s="13">
        <f t="shared" si="1"/>
        <v>0.5979523458260383</v>
      </c>
      <c r="J37" s="12">
        <f>IF((J34-J35=J8-J36)=TRUE,J34-J35,9)</f>
        <v>-22846</v>
      </c>
    </row>
    <row r="38" spans="1:10" ht="15.75" customHeight="1">
      <c r="A38" s="14" t="s">
        <v>48</v>
      </c>
      <c r="B38" s="10">
        <f>B41+B44+B48</f>
        <v>720918773</v>
      </c>
      <c r="C38" s="10">
        <f>C41+C44+C48</f>
        <v>329701000</v>
      </c>
      <c r="D38" s="11">
        <f t="shared" si="0"/>
        <v>0.4573344631157219</v>
      </c>
      <c r="E38" s="10">
        <f>E41+E44+E48</f>
        <v>58724000</v>
      </c>
      <c r="F38" s="14" t="s">
        <v>48</v>
      </c>
      <c r="G38" s="15">
        <f>G41+G44+G48</f>
        <v>720919</v>
      </c>
      <c r="H38" s="15">
        <f>H41+H44+H48</f>
        <v>329701</v>
      </c>
      <c r="I38" s="16">
        <f t="shared" si="1"/>
        <v>0.45733431911213324</v>
      </c>
      <c r="J38" s="15">
        <f>J41+J44+J48</f>
        <v>58724</v>
      </c>
    </row>
    <row r="39" spans="1:10" ht="12.75">
      <c r="A39" s="33" t="s">
        <v>49</v>
      </c>
      <c r="B39" s="18">
        <f>B42+B49</f>
        <v>67528839</v>
      </c>
      <c r="C39" s="18">
        <f>C42+C49</f>
        <v>29953000</v>
      </c>
      <c r="D39" s="19">
        <f t="shared" si="0"/>
        <v>0.44355864018334445</v>
      </c>
      <c r="E39" s="18">
        <f>E42+E49</f>
        <v>4841738</v>
      </c>
      <c r="F39" s="33" t="s">
        <v>50</v>
      </c>
      <c r="G39" s="26">
        <f>G42+G49</f>
        <v>67529</v>
      </c>
      <c r="H39" s="26">
        <f>H42+H49</f>
        <v>29953</v>
      </c>
      <c r="I39" s="27">
        <f t="shared" si="1"/>
        <v>0.443557582668187</v>
      </c>
      <c r="J39" s="26">
        <f>J42+J49</f>
        <v>4842</v>
      </c>
    </row>
    <row r="40" spans="1:10" ht="20.25" customHeight="1">
      <c r="A40" s="14" t="s">
        <v>51</v>
      </c>
      <c r="B40" s="10">
        <f>SUM(B38-B39)</f>
        <v>653389934</v>
      </c>
      <c r="C40" s="10">
        <f>SUM(C38-C39)</f>
        <v>299748000</v>
      </c>
      <c r="D40" s="11">
        <f t="shared" si="0"/>
        <v>0.45875821527425</v>
      </c>
      <c r="E40" s="10">
        <f>SUM(E38-E39)</f>
        <v>53882262</v>
      </c>
      <c r="F40" s="14" t="s">
        <v>51</v>
      </c>
      <c r="G40" s="15">
        <f>SUM(G38-G39)</f>
        <v>653390</v>
      </c>
      <c r="H40" s="15">
        <f>SUM(H38-H39)</f>
        <v>299748</v>
      </c>
      <c r="I40" s="16">
        <f t="shared" si="1"/>
        <v>0.45875816893432714</v>
      </c>
      <c r="J40" s="15">
        <f>SUM(J38-J39)</f>
        <v>53882</v>
      </c>
    </row>
    <row r="41" spans="1:10" ht="12.75">
      <c r="A41" s="17" t="s">
        <v>52</v>
      </c>
      <c r="B41" s="18">
        <v>653325305</v>
      </c>
      <c r="C41" s="18">
        <v>307341000</v>
      </c>
      <c r="D41" s="19">
        <f t="shared" si="0"/>
        <v>0.47042567867473006</v>
      </c>
      <c r="E41" s="18">
        <f>C41-'[1]Maijs'!C41</f>
        <v>52559000</v>
      </c>
      <c r="F41" s="17" t="s">
        <v>52</v>
      </c>
      <c r="G41" s="18">
        <f>ROUND(B41/1000,0)+1</f>
        <v>653326</v>
      </c>
      <c r="H41" s="18">
        <f>ROUND(C41/1000,0)</f>
        <v>307341</v>
      </c>
      <c r="I41" s="20">
        <f t="shared" si="1"/>
        <v>0.4704251782417966</v>
      </c>
      <c r="J41" s="18">
        <f>H41-'[1]Maijs'!H41</f>
        <v>52559</v>
      </c>
    </row>
    <row r="42" spans="1:10" ht="12.75">
      <c r="A42" s="31" t="s">
        <v>53</v>
      </c>
      <c r="B42" s="18">
        <v>65590839</v>
      </c>
      <c r="C42" s="18">
        <v>29879000</v>
      </c>
      <c r="D42" s="19">
        <f t="shared" si="0"/>
        <v>0.45553617632486754</v>
      </c>
      <c r="E42" s="18">
        <f>C42-'[1]Maijs'!C42</f>
        <v>4842000</v>
      </c>
      <c r="F42" s="31" t="s">
        <v>54</v>
      </c>
      <c r="G42" s="26">
        <f>ROUND(B42/1000,0)</f>
        <v>65591</v>
      </c>
      <c r="H42" s="26">
        <f>ROUND(C42/1000,0)</f>
        <v>29879</v>
      </c>
      <c r="I42" s="27">
        <f t="shared" si="1"/>
        <v>0.45553505816346757</v>
      </c>
      <c r="J42" s="26">
        <f>H42-'[1]Maijs'!H42</f>
        <v>4842</v>
      </c>
    </row>
    <row r="43" spans="1:10" ht="15" customHeight="1">
      <c r="A43" s="14" t="s">
        <v>55</v>
      </c>
      <c r="B43" s="10">
        <f>SUM(B41-B42)</f>
        <v>587734466</v>
      </c>
      <c r="C43" s="10">
        <f>SUM(C41-C42)</f>
        <v>277462000</v>
      </c>
      <c r="D43" s="11">
        <f t="shared" si="0"/>
        <v>0.4720873388425718</v>
      </c>
      <c r="E43" s="10">
        <f>SUM(E41-E42)</f>
        <v>47717000</v>
      </c>
      <c r="F43" s="14" t="s">
        <v>55</v>
      </c>
      <c r="G43" s="15">
        <f>SUM(G41-G42)</f>
        <v>587735</v>
      </c>
      <c r="H43" s="15">
        <f>SUM(H41-H42)</f>
        <v>277462</v>
      </c>
      <c r="I43" s="16">
        <f t="shared" si="1"/>
        <v>0.4720869099168843</v>
      </c>
      <c r="J43" s="15">
        <f>SUM(J41-J42)</f>
        <v>47717</v>
      </c>
    </row>
    <row r="44" spans="1:10" ht="15.75" customHeight="1">
      <c r="A44" s="17" t="s">
        <v>56</v>
      </c>
      <c r="B44" s="18">
        <v>14847167</v>
      </c>
      <c r="C44" s="18">
        <v>5190000</v>
      </c>
      <c r="D44" s="19">
        <f t="shared" si="0"/>
        <v>0.3495616369102604</v>
      </c>
      <c r="E44" s="18">
        <f>C44-'[1]Maijs'!C44</f>
        <v>1577000</v>
      </c>
      <c r="F44" s="17" t="s">
        <v>56</v>
      </c>
      <c r="G44" s="18">
        <f>ROUND(B44/1000,0)</f>
        <v>14847</v>
      </c>
      <c r="H44" s="18">
        <f>ROUND(C44/1000,0)</f>
        <v>5190</v>
      </c>
      <c r="I44" s="20">
        <f t="shared" si="1"/>
        <v>0.34956556880177814</v>
      </c>
      <c r="J44" s="18">
        <f>H44-'[1]Maijs'!H44</f>
        <v>1577</v>
      </c>
    </row>
    <row r="45" spans="1:10" ht="19.5" customHeight="1">
      <c r="A45" s="14" t="s">
        <v>57</v>
      </c>
      <c r="B45" s="10">
        <f>SUM(B44)</f>
        <v>14847167</v>
      </c>
      <c r="C45" s="10">
        <f>SUM(C44)</f>
        <v>5190000</v>
      </c>
      <c r="D45" s="11">
        <f t="shared" si="0"/>
        <v>0.3495616369102604</v>
      </c>
      <c r="E45" s="10">
        <f>SUM(E44)</f>
        <v>1577000</v>
      </c>
      <c r="F45" s="14" t="s">
        <v>57</v>
      </c>
      <c r="G45" s="15">
        <f>SUM(G44)</f>
        <v>14847</v>
      </c>
      <c r="H45" s="15">
        <f>SUM(H44)</f>
        <v>5190</v>
      </c>
      <c r="I45" s="16">
        <f t="shared" si="1"/>
        <v>0.34956556880177814</v>
      </c>
      <c r="J45" s="15">
        <f>SUM(J44)</f>
        <v>1577</v>
      </c>
    </row>
    <row r="46" spans="1:10" ht="0.75" customHeight="1" hidden="1">
      <c r="A46" s="7" t="s">
        <v>7</v>
      </c>
      <c r="B46" s="8" t="s">
        <v>8</v>
      </c>
      <c r="C46" s="7" t="s">
        <v>9</v>
      </c>
      <c r="D46" s="7" t="s">
        <v>10</v>
      </c>
      <c r="E46" s="7" t="s">
        <v>58</v>
      </c>
      <c r="F46" s="7" t="s">
        <v>7</v>
      </c>
      <c r="G46" s="8" t="s">
        <v>8</v>
      </c>
      <c r="H46" s="7" t="s">
        <v>9</v>
      </c>
      <c r="I46" s="7" t="s">
        <v>10</v>
      </c>
      <c r="J46" s="7" t="s">
        <v>59</v>
      </c>
    </row>
    <row r="47" spans="1:10" ht="12.75" hidden="1">
      <c r="A47" s="7">
        <v>1</v>
      </c>
      <c r="B47" s="8">
        <v>2</v>
      </c>
      <c r="C47" s="7">
        <v>3</v>
      </c>
      <c r="D47" s="7">
        <v>4</v>
      </c>
      <c r="E47" s="7">
        <v>5</v>
      </c>
      <c r="F47" s="7">
        <v>1</v>
      </c>
      <c r="G47" s="8">
        <v>2</v>
      </c>
      <c r="H47" s="7">
        <v>3</v>
      </c>
      <c r="I47" s="7">
        <v>4</v>
      </c>
      <c r="J47" s="7">
        <v>5</v>
      </c>
    </row>
    <row r="48" spans="1:10" ht="12.75">
      <c r="A48" s="17" t="s">
        <v>60</v>
      </c>
      <c r="B48" s="18">
        <v>52746301</v>
      </c>
      <c r="C48" s="18">
        <v>17170000</v>
      </c>
      <c r="D48" s="19">
        <f aca="true" t="shared" si="4" ref="D48:D76">IF(ISERROR(C48/B48)," ",(C48/B48))</f>
        <v>0.3255204568752603</v>
      </c>
      <c r="E48" s="18">
        <f>C48-'[1]Maijs'!C48</f>
        <v>4588000</v>
      </c>
      <c r="F48" s="17" t="s">
        <v>60</v>
      </c>
      <c r="G48" s="18">
        <f>ROUND(B48/1000,0)</f>
        <v>52746</v>
      </c>
      <c r="H48" s="18">
        <f>ROUND(C48/1000,0)</f>
        <v>17170</v>
      </c>
      <c r="I48" s="20">
        <f aca="true" t="shared" si="5" ref="I48:I76">IF(ISERROR(H48/G48)," ",(H48/G48))</f>
        <v>0.32552231448830243</v>
      </c>
      <c r="J48" s="18">
        <f>H48-'[1]Maijs'!H48</f>
        <v>4588</v>
      </c>
    </row>
    <row r="49" spans="1:211" s="17" customFormat="1" ht="12.75">
      <c r="A49" s="31" t="s">
        <v>61</v>
      </c>
      <c r="B49" s="18">
        <v>1938000</v>
      </c>
      <c r="C49" s="18">
        <v>74000</v>
      </c>
      <c r="D49" s="19">
        <f t="shared" si="4"/>
        <v>0.038183694530443756</v>
      </c>
      <c r="E49" s="18">
        <f>C49-'[1]Maijs'!C49</f>
        <v>-262</v>
      </c>
      <c r="F49" s="31" t="s">
        <v>54</v>
      </c>
      <c r="G49" s="26">
        <f>ROUND(B49/1000,0)</f>
        <v>1938</v>
      </c>
      <c r="H49" s="26">
        <f>ROUND(C49/1000,0)</f>
        <v>74</v>
      </c>
      <c r="I49" s="27">
        <f t="shared" si="5"/>
        <v>0.038183694530443756</v>
      </c>
      <c r="J49" s="26">
        <f>H49-'[1]Maijs'!H49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</row>
    <row r="50" spans="1:211" s="17" customFormat="1" ht="17.25" customHeight="1">
      <c r="A50" s="14" t="s">
        <v>62</v>
      </c>
      <c r="B50" s="10">
        <f>SUM(B48-B49)</f>
        <v>50808301</v>
      </c>
      <c r="C50" s="10">
        <f>SUM(C48-C49)</f>
        <v>17096000</v>
      </c>
      <c r="D50" s="11">
        <f t="shared" si="4"/>
        <v>0.3364804503106687</v>
      </c>
      <c r="E50" s="10">
        <f>SUM(E48-E49)</f>
        <v>4588262</v>
      </c>
      <c r="F50" s="14" t="s">
        <v>62</v>
      </c>
      <c r="G50" s="15">
        <f>SUM(G48-G49)</f>
        <v>50808</v>
      </c>
      <c r="H50" s="15">
        <f>SUM(H48-H49)</f>
        <v>17096</v>
      </c>
      <c r="I50" s="16">
        <f t="shared" si="5"/>
        <v>0.336482443709652</v>
      </c>
      <c r="J50" s="15">
        <f>SUM(J48-J49)</f>
        <v>4588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17" customFormat="1" ht="30" customHeight="1">
      <c r="A51" s="32" t="s">
        <v>63</v>
      </c>
      <c r="B51" s="10">
        <f>SUM(B9-B38)</f>
        <v>0</v>
      </c>
      <c r="C51" s="10">
        <f>SUM(C9-C38)</f>
        <v>-14001000</v>
      </c>
      <c r="D51" s="11" t="str">
        <f t="shared" si="4"/>
        <v> </v>
      </c>
      <c r="E51" s="10">
        <f>SUM(E9-E38)</f>
        <v>-6687000</v>
      </c>
      <c r="F51" s="32" t="s">
        <v>63</v>
      </c>
      <c r="G51" s="12">
        <f>SUM(G9-G38)</f>
        <v>0</v>
      </c>
      <c r="H51" s="12">
        <f>SUM(H9-H38)</f>
        <v>-14001</v>
      </c>
      <c r="I51" s="13" t="str">
        <f t="shared" si="5"/>
        <v> </v>
      </c>
      <c r="J51" s="12">
        <f>SUM(J9-J38)</f>
        <v>-6687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17" customFormat="1" ht="17.25" customHeight="1">
      <c r="A52" s="14" t="s">
        <v>64</v>
      </c>
      <c r="B52" s="10">
        <f>SUM(B55-B58)</f>
        <v>39241905</v>
      </c>
      <c r="C52" s="10">
        <f>SUM(C55-C58)</f>
        <v>49033000</v>
      </c>
      <c r="D52" s="11">
        <f t="shared" si="4"/>
        <v>1.2495061083298582</v>
      </c>
      <c r="E52" s="10">
        <f>SUM(E55-E58)</f>
        <v>1088000</v>
      </c>
      <c r="F52" s="14" t="s">
        <v>64</v>
      </c>
      <c r="G52" s="15">
        <f>SUM(G55-G58)</f>
        <v>39242</v>
      </c>
      <c r="H52" s="15">
        <f>SUM(H55-H58)</f>
        <v>3634</v>
      </c>
      <c r="I52" s="16">
        <f t="shared" si="5"/>
        <v>0.09260486213750574</v>
      </c>
      <c r="J52" s="15">
        <f>SUM(J55-J58)</f>
        <v>1088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17" customFormat="1" ht="16.5" customHeight="1">
      <c r="A53" s="17" t="s">
        <v>65</v>
      </c>
      <c r="B53" s="18">
        <v>115425226</v>
      </c>
      <c r="C53" s="18">
        <v>60939000</v>
      </c>
      <c r="D53" s="19">
        <f t="shared" si="4"/>
        <v>0.5279521826537295</v>
      </c>
      <c r="E53" s="18">
        <f>C53-'[1]Maijs'!C53</f>
        <v>13212000</v>
      </c>
      <c r="F53" s="17" t="s">
        <v>65</v>
      </c>
      <c r="G53" s="18">
        <f>ROUND(B53/1000,0)</f>
        <v>115425</v>
      </c>
      <c r="H53" s="18">
        <f>ROUND(C53/1000,0)</f>
        <v>60939</v>
      </c>
      <c r="I53" s="20">
        <f t="shared" si="5"/>
        <v>0.527953216374269</v>
      </c>
      <c r="J53" s="18">
        <f>H53-'[1]Maijs'!H53</f>
        <v>13212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17" customFormat="1" ht="14.25" customHeight="1">
      <c r="A54" s="31" t="s">
        <v>61</v>
      </c>
      <c r="B54" s="18">
        <v>58334396</v>
      </c>
      <c r="C54" s="18">
        <v>45399000</v>
      </c>
      <c r="D54" s="19">
        <f t="shared" si="4"/>
        <v>0.7782543938570994</v>
      </c>
      <c r="E54" s="18">
        <f>C54-'[1]Maijs'!C54</f>
        <v>10767000</v>
      </c>
      <c r="F54" s="31" t="s">
        <v>54</v>
      </c>
      <c r="G54" s="26">
        <f>ROUND(B54/1000,0)</f>
        <v>58334</v>
      </c>
      <c r="H54" s="26">
        <f>ROUND(C54/1000,0)</f>
        <v>45399</v>
      </c>
      <c r="I54" s="27">
        <f t="shared" si="5"/>
        <v>0.7782596770322625</v>
      </c>
      <c r="J54" s="26">
        <f>H54-'[1]Maijs'!H54</f>
        <v>10767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17" customFormat="1" ht="15" customHeight="1">
      <c r="A55" s="17" t="s">
        <v>66</v>
      </c>
      <c r="B55" s="18">
        <f>SUM(B53-B54)</f>
        <v>57090830</v>
      </c>
      <c r="C55" s="18">
        <v>60939000</v>
      </c>
      <c r="D55" s="19">
        <f t="shared" si="4"/>
        <v>1.0674043449709874</v>
      </c>
      <c r="E55" s="18">
        <f>SUM(E53-E54)</f>
        <v>2445000</v>
      </c>
      <c r="F55" s="17" t="s">
        <v>66</v>
      </c>
      <c r="G55" s="18">
        <f>SUM(G53-G54)</f>
        <v>57091</v>
      </c>
      <c r="H55" s="18">
        <f>SUM(H53-H54)</f>
        <v>15540</v>
      </c>
      <c r="I55" s="20">
        <f t="shared" si="5"/>
        <v>0.27219701879455604</v>
      </c>
      <c r="J55" s="18">
        <f>SUM(J53-J54)</f>
        <v>2445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17" customFormat="1" ht="15.75" customHeight="1">
      <c r="A56" s="17" t="s">
        <v>67</v>
      </c>
      <c r="B56" s="18">
        <f>19133003</f>
        <v>19133003</v>
      </c>
      <c r="C56" s="18">
        <v>27712000</v>
      </c>
      <c r="D56" s="19">
        <f t="shared" si="4"/>
        <v>1.448387375468451</v>
      </c>
      <c r="E56" s="18">
        <f>C56-'[1]Maijs'!C56</f>
        <v>1358000</v>
      </c>
      <c r="F56" s="17" t="s">
        <v>67</v>
      </c>
      <c r="G56" s="18">
        <f>ROUND(B56/1000,0)</f>
        <v>19133</v>
      </c>
      <c r="H56" s="18">
        <f>ROUND(C56/1000,0)</f>
        <v>27712</v>
      </c>
      <c r="I56" s="20">
        <f t="shared" si="5"/>
        <v>1.4483876025714735</v>
      </c>
      <c r="J56" s="18">
        <f>H56-'[1]Maijs'!H56</f>
        <v>1358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17" customFormat="1" ht="15.75" customHeight="1">
      <c r="A57" s="31" t="s">
        <v>68</v>
      </c>
      <c r="B57" s="18">
        <v>1284078</v>
      </c>
      <c r="C57" s="18">
        <v>15806000</v>
      </c>
      <c r="D57" s="19">
        <f t="shared" si="4"/>
        <v>12.309221090930613</v>
      </c>
      <c r="E57" s="18">
        <f>C57-'[1]Maijs'!C57</f>
        <v>1000</v>
      </c>
      <c r="F57" s="31" t="s">
        <v>69</v>
      </c>
      <c r="G57" s="26">
        <f>ROUND(B57/1000,0)</f>
        <v>1284</v>
      </c>
      <c r="H57" s="26">
        <f>ROUND(C57/1000,0)</f>
        <v>15806</v>
      </c>
      <c r="I57" s="27">
        <f t="shared" si="5"/>
        <v>12.309968847352025</v>
      </c>
      <c r="J57" s="26">
        <f>H57-'[1]Maijs'!H57</f>
        <v>1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17" customFormat="1" ht="16.5" customHeight="1">
      <c r="A58" s="17" t="s">
        <v>70</v>
      </c>
      <c r="B58" s="18">
        <f>SUM(B56-B57)</f>
        <v>17848925</v>
      </c>
      <c r="C58" s="18">
        <f>SUM(C56-C57)</f>
        <v>11906000</v>
      </c>
      <c r="D58" s="19">
        <f t="shared" si="4"/>
        <v>0.6670429731762557</v>
      </c>
      <c r="E58" s="18">
        <f>SUM(E56-E57)</f>
        <v>1357000</v>
      </c>
      <c r="F58" s="17" t="s">
        <v>70</v>
      </c>
      <c r="G58" s="18">
        <f>SUM(G56-G57)</f>
        <v>17849</v>
      </c>
      <c r="H58" s="18">
        <f>SUM(H56-H57)</f>
        <v>11906</v>
      </c>
      <c r="I58" s="20">
        <f t="shared" si="5"/>
        <v>0.6670401703176648</v>
      </c>
      <c r="J58" s="18">
        <f>SUM(J56-J57)</f>
        <v>1357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17" customFormat="1" ht="32.25" customHeight="1">
      <c r="A59" s="32" t="s">
        <v>71</v>
      </c>
      <c r="B59" s="10">
        <f>B51-(B53-B56)</f>
        <v>-96292223</v>
      </c>
      <c r="C59" s="10">
        <f>C51-(C53-C56)</f>
        <v>-47228000</v>
      </c>
      <c r="D59" s="11">
        <f t="shared" si="4"/>
        <v>0.49046536188078244</v>
      </c>
      <c r="E59" s="10">
        <f>E51-(E53-E56)</f>
        <v>-18541000</v>
      </c>
      <c r="F59" s="32" t="s">
        <v>71</v>
      </c>
      <c r="G59" s="12">
        <f>G51-(G53-G56)</f>
        <v>-96292</v>
      </c>
      <c r="H59" s="12">
        <f>H51-(H53-H56)</f>
        <v>-47228</v>
      </c>
      <c r="I59" s="13">
        <f t="shared" si="5"/>
        <v>0.49046649773605283</v>
      </c>
      <c r="J59" s="12">
        <f>J51-(J53-J56)</f>
        <v>-18541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17" customFormat="1" ht="17.25" customHeight="1">
      <c r="A60" s="14" t="s">
        <v>72</v>
      </c>
      <c r="B60" s="10">
        <f>B63+B66+B68</f>
        <v>870883731</v>
      </c>
      <c r="C60" s="10">
        <f>C63+C66+C68</f>
        <v>380038000</v>
      </c>
      <c r="D60" s="11">
        <f t="shared" si="4"/>
        <v>0.43638201802623866</v>
      </c>
      <c r="E60" s="10">
        <f>E63+E66+E68</f>
        <v>72227000</v>
      </c>
      <c r="F60" s="14" t="s">
        <v>72</v>
      </c>
      <c r="G60" s="15">
        <f>G63+G66+G68</f>
        <v>870884</v>
      </c>
      <c r="H60" s="15">
        <f>H63+H66+H68</f>
        <v>380038</v>
      </c>
      <c r="I60" s="16">
        <f t="shared" si="5"/>
        <v>0.43638188323588445</v>
      </c>
      <c r="J60" s="15">
        <f>J63+J66+J68</f>
        <v>72227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17" customFormat="1" ht="19.5" customHeight="1">
      <c r="A61" s="31" t="s">
        <v>73</v>
      </c>
      <c r="B61" s="18">
        <f>B64</f>
        <v>49213200</v>
      </c>
      <c r="C61" s="18">
        <f>C20</f>
        <v>7674000</v>
      </c>
      <c r="D61" s="19">
        <f t="shared" si="4"/>
        <v>0.15593377386554827</v>
      </c>
      <c r="E61" s="18">
        <f>E64</f>
        <v>2253000</v>
      </c>
      <c r="F61" s="31" t="s">
        <v>74</v>
      </c>
      <c r="G61" s="26">
        <f>G64</f>
        <v>49213</v>
      </c>
      <c r="H61" s="26">
        <f>H64</f>
        <v>7674</v>
      </c>
      <c r="I61" s="27">
        <f t="shared" si="5"/>
        <v>0.1559344075752342</v>
      </c>
      <c r="J61" s="26">
        <f>J64</f>
        <v>2253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17" customFormat="1" ht="19.5" customHeight="1">
      <c r="A62" s="14" t="s">
        <v>75</v>
      </c>
      <c r="B62" s="10">
        <f>SUM(B60-B61)</f>
        <v>821670531</v>
      </c>
      <c r="C62" s="10">
        <f>SUM(C60-C61)</f>
        <v>372364000</v>
      </c>
      <c r="D62" s="11">
        <f t="shared" si="4"/>
        <v>0.4531792074212772</v>
      </c>
      <c r="E62" s="10">
        <f>SUM(E60-E61)</f>
        <v>69974000</v>
      </c>
      <c r="F62" s="14" t="s">
        <v>75</v>
      </c>
      <c r="G62" s="15">
        <f>SUM(G60-G61)</f>
        <v>821671</v>
      </c>
      <c r="H62" s="15">
        <f>SUM(H60-H61)</f>
        <v>372364</v>
      </c>
      <c r="I62" s="16">
        <f t="shared" si="5"/>
        <v>0.45317894875199444</v>
      </c>
      <c r="J62" s="15">
        <f>SUM(J60-J61)</f>
        <v>69974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17" customFormat="1" ht="15.75" customHeight="1">
      <c r="A63" s="17" t="s">
        <v>76</v>
      </c>
      <c r="B63" s="18">
        <v>804930855</v>
      </c>
      <c r="C63" s="18">
        <v>363027000</v>
      </c>
      <c r="D63" s="19">
        <f t="shared" si="4"/>
        <v>0.45100395610999405</v>
      </c>
      <c r="E63" s="18">
        <f>C63-'[1]Maijs'!C63</f>
        <v>66682000</v>
      </c>
      <c r="F63" s="17" t="s">
        <v>76</v>
      </c>
      <c r="G63" s="18">
        <f>ROUND(B63/1000,0)</f>
        <v>804931</v>
      </c>
      <c r="H63" s="18">
        <f>ROUND(C63/1000,0)</f>
        <v>363027</v>
      </c>
      <c r="I63" s="20">
        <f t="shared" si="5"/>
        <v>0.4510038748662929</v>
      </c>
      <c r="J63" s="18">
        <f>H63-'[1]Maijs'!H63</f>
        <v>66682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17" customFormat="1" ht="15" customHeight="1">
      <c r="A64" s="31" t="s">
        <v>77</v>
      </c>
      <c r="B64" s="18">
        <v>49213200</v>
      </c>
      <c r="C64" s="18">
        <f>C20</f>
        <v>7674000</v>
      </c>
      <c r="D64" s="19">
        <f t="shared" si="4"/>
        <v>0.15593377386554827</v>
      </c>
      <c r="E64" s="18">
        <f>C64-'[1]Maijs'!C64</f>
        <v>2253000</v>
      </c>
      <c r="F64" s="31" t="s">
        <v>74</v>
      </c>
      <c r="G64" s="26">
        <f>ROUND(B64/1000,0)</f>
        <v>49213</v>
      </c>
      <c r="H64" s="26">
        <f>ROUND(C64/1000,0)</f>
        <v>7674</v>
      </c>
      <c r="I64" s="27">
        <f t="shared" si="5"/>
        <v>0.1559344075752342</v>
      </c>
      <c r="J64" s="26">
        <f>H64-'[1]Maijs'!H64</f>
        <v>2253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17" customFormat="1" ht="27.75" customHeight="1">
      <c r="A65" s="14" t="s">
        <v>78</v>
      </c>
      <c r="B65" s="10">
        <f>SUM(B63-B64)</f>
        <v>755717655</v>
      </c>
      <c r="C65" s="10">
        <f>SUM(C63-C64)</f>
        <v>355353000</v>
      </c>
      <c r="D65" s="11">
        <f t="shared" si="4"/>
        <v>0.47021926462734287</v>
      </c>
      <c r="E65" s="10">
        <f>SUM(E63-E64)</f>
        <v>64429000</v>
      </c>
      <c r="F65" s="14" t="s">
        <v>78</v>
      </c>
      <c r="G65" s="15">
        <f>SUM(G63-G64)</f>
        <v>755718</v>
      </c>
      <c r="H65" s="15">
        <f>SUM(H63-H64)</f>
        <v>355353</v>
      </c>
      <c r="I65" s="16">
        <f t="shared" si="5"/>
        <v>0.47021904996308145</v>
      </c>
      <c r="J65" s="15">
        <f>SUM(J63-J64)</f>
        <v>64429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17" customFormat="1" ht="17.25" customHeight="1">
      <c r="A66" s="17" t="s">
        <v>79</v>
      </c>
      <c r="B66" s="18">
        <v>28417355</v>
      </c>
      <c r="C66" s="18">
        <v>6366000</v>
      </c>
      <c r="D66" s="19">
        <f t="shared" si="4"/>
        <v>0.224018034049967</v>
      </c>
      <c r="E66" s="18">
        <f>C66-'[1]Maijs'!C66</f>
        <v>1439000</v>
      </c>
      <c r="F66" s="17" t="s">
        <v>79</v>
      </c>
      <c r="G66" s="18">
        <f>ROUND(B66/1000,0)</f>
        <v>28417</v>
      </c>
      <c r="H66" s="18">
        <f>ROUND(C66/1000,0)</f>
        <v>6366</v>
      </c>
      <c r="I66" s="20">
        <f t="shared" si="5"/>
        <v>0.2240208326002041</v>
      </c>
      <c r="J66" s="18">
        <f>H66-'[1]Maijs'!H66</f>
        <v>1439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17" customFormat="1" ht="18" customHeight="1">
      <c r="A67" s="14" t="s">
        <v>80</v>
      </c>
      <c r="B67" s="10">
        <f>SUM(B66)</f>
        <v>28417355</v>
      </c>
      <c r="C67" s="10">
        <f>SUM(C66)</f>
        <v>6366000</v>
      </c>
      <c r="D67" s="11">
        <f t="shared" si="4"/>
        <v>0.224018034049967</v>
      </c>
      <c r="E67" s="10">
        <f>SUM(E66)</f>
        <v>1439000</v>
      </c>
      <c r="F67" s="14" t="s">
        <v>80</v>
      </c>
      <c r="G67" s="15">
        <f>SUM(G66)</f>
        <v>28417</v>
      </c>
      <c r="H67" s="15">
        <f>SUM(H66)</f>
        <v>6366</v>
      </c>
      <c r="I67" s="16">
        <f t="shared" si="5"/>
        <v>0.2240208326002041</v>
      </c>
      <c r="J67" s="15">
        <f>SUM(J66)</f>
        <v>1439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17" customFormat="1" ht="18" customHeight="1">
      <c r="A68" s="17" t="s">
        <v>81</v>
      </c>
      <c r="B68" s="18">
        <v>37535521</v>
      </c>
      <c r="C68" s="18">
        <v>10645000</v>
      </c>
      <c r="D68" s="19">
        <f t="shared" si="4"/>
        <v>0.28359803504525755</v>
      </c>
      <c r="E68" s="18">
        <f>C68-'[1]Maijs'!C68</f>
        <v>4106000</v>
      </c>
      <c r="F68" s="17" t="s">
        <v>81</v>
      </c>
      <c r="G68" s="18">
        <f>ROUND(B68/1000,0)</f>
        <v>37536</v>
      </c>
      <c r="H68" s="18">
        <f>ROUND(C68/1000,0)</f>
        <v>10645</v>
      </c>
      <c r="I68" s="20">
        <f t="shared" si="5"/>
        <v>0.28359441602728047</v>
      </c>
      <c r="J68" s="18">
        <f>H68-'[1]Maijs'!H68</f>
        <v>4106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17" customFormat="1" ht="16.5" customHeight="1">
      <c r="A69" s="14" t="s">
        <v>82</v>
      </c>
      <c r="B69" s="10">
        <f>SUM(B68)</f>
        <v>37535521</v>
      </c>
      <c r="C69" s="10">
        <f>SUM(C68)</f>
        <v>10645000</v>
      </c>
      <c r="D69" s="11">
        <f t="shared" si="4"/>
        <v>0.28359803504525755</v>
      </c>
      <c r="E69" s="10">
        <f>SUM(E68)</f>
        <v>4106000</v>
      </c>
      <c r="F69" s="14" t="s">
        <v>82</v>
      </c>
      <c r="G69" s="15">
        <f>SUM(G68)</f>
        <v>37536</v>
      </c>
      <c r="H69" s="15">
        <f>SUM(H68)</f>
        <v>10645</v>
      </c>
      <c r="I69" s="16">
        <f t="shared" si="5"/>
        <v>0.28359441602728047</v>
      </c>
      <c r="J69" s="15">
        <f>SUM(J68)</f>
        <v>4106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17" customFormat="1" ht="30.75" customHeight="1">
      <c r="A70" s="32" t="s">
        <v>83</v>
      </c>
      <c r="B70" s="10">
        <f>SUM(B22-B60)</f>
        <v>-60525620</v>
      </c>
      <c r="C70" s="10">
        <f>SUM(C22-C60)</f>
        <v>-48153000</v>
      </c>
      <c r="D70" s="11">
        <f t="shared" si="4"/>
        <v>0.7955804500639564</v>
      </c>
      <c r="E70" s="10">
        <f>SUM(E22-E60)</f>
        <v>-14811000</v>
      </c>
      <c r="F70" s="32" t="s">
        <v>83</v>
      </c>
      <c r="G70" s="12">
        <f>SUM(G22-G60)</f>
        <v>-60526</v>
      </c>
      <c r="H70" s="12">
        <f>SUM(H22-H60)</f>
        <v>-48153</v>
      </c>
      <c r="I70" s="13">
        <f t="shared" si="5"/>
        <v>0.7955754551762879</v>
      </c>
      <c r="J70" s="12">
        <f>SUM(J22-J60)</f>
        <v>-14811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17" customFormat="1" ht="16.5" customHeight="1">
      <c r="A71" s="14" t="s">
        <v>84</v>
      </c>
      <c r="B71" s="10">
        <f>SUM(B72-B74)</f>
        <v>12750750</v>
      </c>
      <c r="C71" s="10">
        <f>SUM(C72-C74)</f>
        <v>1492599</v>
      </c>
      <c r="D71" s="11">
        <f t="shared" si="4"/>
        <v>0.1170597023704488</v>
      </c>
      <c r="E71" s="10">
        <f>SUM(E72-E74)</f>
        <v>259599</v>
      </c>
      <c r="F71" s="14" t="s">
        <v>84</v>
      </c>
      <c r="G71" s="15">
        <f>SUM(G72-G74)</f>
        <v>12751</v>
      </c>
      <c r="H71" s="15">
        <f>SUM(H72-H74)</f>
        <v>1493</v>
      </c>
      <c r="I71" s="16">
        <f t="shared" si="5"/>
        <v>0.11708885577601756</v>
      </c>
      <c r="J71" s="15">
        <f>SUM(J72-J74)</f>
        <v>260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17" customFormat="1" ht="20.25" customHeight="1">
      <c r="A72" s="17" t="s">
        <v>85</v>
      </c>
      <c r="B72" s="18">
        <f>12756000</f>
        <v>12756000</v>
      </c>
      <c r="C72" s="18">
        <v>1493000</v>
      </c>
      <c r="D72" s="19">
        <f t="shared" si="4"/>
        <v>0.11704296017560364</v>
      </c>
      <c r="E72" s="18">
        <f>C72-'[1]Maijs'!C72</f>
        <v>260000</v>
      </c>
      <c r="F72" s="17" t="s">
        <v>85</v>
      </c>
      <c r="G72" s="18">
        <f>ROUND(B72/1000,0)</f>
        <v>12756</v>
      </c>
      <c r="H72" s="18">
        <f>ROUND(C72/1000,0)</f>
        <v>1493</v>
      </c>
      <c r="I72" s="20">
        <f t="shared" si="5"/>
        <v>0.11704296017560364</v>
      </c>
      <c r="J72" s="18">
        <f>H72-'[1]Maijs'!H72</f>
        <v>260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17" customFormat="1" ht="15.75" customHeight="1">
      <c r="A73" s="17" t="s">
        <v>86</v>
      </c>
      <c r="B73" s="18">
        <f>SUM(B72)</f>
        <v>12756000</v>
      </c>
      <c r="C73" s="18">
        <f>SUM(C72)</f>
        <v>1493000</v>
      </c>
      <c r="D73" s="19">
        <f t="shared" si="4"/>
        <v>0.11704296017560364</v>
      </c>
      <c r="E73" s="18">
        <f>SUM(E72)</f>
        <v>260000</v>
      </c>
      <c r="F73" s="17" t="s">
        <v>86</v>
      </c>
      <c r="G73" s="18">
        <f>SUM(G72)</f>
        <v>12756</v>
      </c>
      <c r="H73" s="18">
        <f>SUM(H72)</f>
        <v>1493</v>
      </c>
      <c r="I73" s="20">
        <f t="shared" si="5"/>
        <v>0.11704296017560364</v>
      </c>
      <c r="J73" s="18">
        <f>SUM(J72)</f>
        <v>260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17" customFormat="1" ht="18" customHeight="1">
      <c r="A74" s="17" t="s">
        <v>87</v>
      </c>
      <c r="B74" s="18">
        <v>5250</v>
      </c>
      <c r="C74" s="18">
        <v>401</v>
      </c>
      <c r="D74" s="19">
        <f t="shared" si="4"/>
        <v>0.07638095238095238</v>
      </c>
      <c r="E74" s="18">
        <f>C74-'[1]Maijs'!C74</f>
        <v>401</v>
      </c>
      <c r="F74" s="17" t="s">
        <v>87</v>
      </c>
      <c r="G74" s="18">
        <f>ROUND(B74/1000,0)</f>
        <v>5</v>
      </c>
      <c r="H74" s="18">
        <f>ROUND(C74/1000,0)</f>
        <v>0</v>
      </c>
      <c r="I74" s="20">
        <f t="shared" si="5"/>
        <v>0</v>
      </c>
      <c r="J74" s="18">
        <f>H74-'[1]Maijs'!H74</f>
        <v>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211" s="17" customFormat="1" ht="16.5" customHeight="1">
      <c r="A75" s="17" t="s">
        <v>88</v>
      </c>
      <c r="B75" s="18">
        <f>SUM(B74)</f>
        <v>5250</v>
      </c>
      <c r="C75" s="18">
        <f>SUM(C74)</f>
        <v>401</v>
      </c>
      <c r="D75" s="19">
        <f t="shared" si="4"/>
        <v>0.07638095238095238</v>
      </c>
      <c r="E75" s="18">
        <f>SUM(E74)</f>
        <v>401</v>
      </c>
      <c r="F75" s="17" t="s">
        <v>88</v>
      </c>
      <c r="G75" s="18">
        <f>SUM(G74)</f>
        <v>5</v>
      </c>
      <c r="H75" s="18">
        <f>SUM(H74)</f>
        <v>0</v>
      </c>
      <c r="I75" s="20">
        <f t="shared" si="5"/>
        <v>0</v>
      </c>
      <c r="J75" s="18">
        <f>SUM(J74)</f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</row>
    <row r="76" spans="1:211" s="17" customFormat="1" ht="30.75" customHeight="1">
      <c r="A76" s="32" t="s">
        <v>89</v>
      </c>
      <c r="B76" s="10">
        <f>SUM(B70-B71)</f>
        <v>-73276370</v>
      </c>
      <c r="C76" s="10">
        <f>SUM(C70-C71)</f>
        <v>-49645599</v>
      </c>
      <c r="D76" s="11">
        <f t="shared" si="4"/>
        <v>0.6775117135305693</v>
      </c>
      <c r="E76" s="10">
        <f>SUM(E70-E71)</f>
        <v>-15070599</v>
      </c>
      <c r="F76" s="32" t="s">
        <v>89</v>
      </c>
      <c r="G76" s="12">
        <f>SUM(G70-G71)</f>
        <v>-73277</v>
      </c>
      <c r="H76" s="12">
        <f>SUM(H70-H71)</f>
        <v>-49646</v>
      </c>
      <c r="I76" s="13">
        <f t="shared" si="5"/>
        <v>0.677511361000041</v>
      </c>
      <c r="J76" s="12">
        <f>SUM(J70-J71)</f>
        <v>-15071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</row>
    <row r="77" spans="1:211" s="36" customFormat="1" ht="12.75">
      <c r="A77" s="34"/>
      <c r="B77" s="35"/>
      <c r="F77" s="34"/>
      <c r="G77" s="3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</row>
    <row r="78" spans="1:211" s="36" customFormat="1" ht="12.75">
      <c r="A78" s="34"/>
      <c r="B78" s="35"/>
      <c r="F78" s="37"/>
      <c r="G78" s="35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</row>
    <row r="79" spans="1:10" ht="12.75">
      <c r="A79" s="38"/>
      <c r="F79" s="38"/>
      <c r="G79" s="2"/>
      <c r="H79" s="1"/>
      <c r="I79" s="1"/>
      <c r="J79" s="1"/>
    </row>
    <row r="80" spans="1:10" ht="12.75">
      <c r="A80" s="38"/>
      <c r="F80" s="38"/>
      <c r="G80" s="2"/>
      <c r="H80" s="1"/>
      <c r="I80" s="1"/>
      <c r="J80" s="1"/>
    </row>
    <row r="81" spans="1:10" ht="12.75">
      <c r="A81" s="36"/>
      <c r="F81" s="36"/>
      <c r="G81" s="2"/>
      <c r="H81" s="1"/>
      <c r="I81" s="1"/>
      <c r="J81" s="1"/>
    </row>
    <row r="82" spans="1:10" ht="12.75">
      <c r="A82" s="39" t="s">
        <v>90</v>
      </c>
      <c r="B82" s="4"/>
      <c r="C82" s="40"/>
      <c r="D82" s="40"/>
      <c r="E82" s="40"/>
      <c r="F82" s="1"/>
      <c r="G82" s="1"/>
      <c r="H82" s="1"/>
      <c r="I82" s="40"/>
      <c r="J82" s="40"/>
    </row>
    <row r="83" spans="1:10" ht="12.75">
      <c r="A83" s="29"/>
      <c r="F83" s="1"/>
      <c r="G83" s="1"/>
      <c r="H83" s="1"/>
      <c r="I83" s="1"/>
      <c r="J83" s="1"/>
    </row>
    <row r="84" spans="1:10" ht="12.75">
      <c r="A84" s="29"/>
      <c r="C84" s="6"/>
      <c r="D84" s="6"/>
      <c r="E84" s="6"/>
      <c r="F84" s="1"/>
      <c r="G84" s="1"/>
      <c r="H84" s="1"/>
      <c r="I84" s="6"/>
      <c r="J84" s="6"/>
    </row>
    <row r="85" spans="6:10" ht="12.75">
      <c r="F85" s="1"/>
      <c r="G85" s="1"/>
      <c r="H85" s="1"/>
      <c r="I85" s="1"/>
      <c r="J85" s="1"/>
    </row>
    <row r="86" spans="6:10" ht="12.75">
      <c r="F86" s="1"/>
      <c r="G86" s="1"/>
      <c r="H86" s="1"/>
      <c r="I86" s="1"/>
      <c r="J86" s="1"/>
    </row>
    <row r="87" spans="6:10" ht="12.75">
      <c r="F87" s="1"/>
      <c r="G87" s="1"/>
      <c r="H87" s="1"/>
      <c r="I87" s="1"/>
      <c r="J87" s="1"/>
    </row>
    <row r="88" spans="1:10" ht="12.75">
      <c r="A88" s="29" t="s">
        <v>91</v>
      </c>
      <c r="F88" s="1"/>
      <c r="G88" s="1"/>
      <c r="H88" s="1"/>
      <c r="I88" s="1"/>
      <c r="J88" s="1"/>
    </row>
    <row r="89" spans="1:10" ht="12.75">
      <c r="A89" s="29" t="s">
        <v>92</v>
      </c>
      <c r="F89" s="1"/>
      <c r="G89" s="1"/>
      <c r="H89" s="1"/>
      <c r="I89" s="1"/>
      <c r="J89" s="1"/>
    </row>
    <row r="90" spans="6:10" ht="12.75">
      <c r="F90" s="1"/>
      <c r="G90" s="2"/>
      <c r="H90" s="1"/>
      <c r="I90" s="1"/>
      <c r="J90" s="1"/>
    </row>
    <row r="91" spans="1:5" ht="15" customHeight="1">
      <c r="A91"/>
      <c r="B91"/>
      <c r="C91"/>
      <c r="D91"/>
      <c r="E91"/>
    </row>
    <row r="92" spans="1:5" ht="16.5" customHeight="1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6:8" ht="12.75">
      <c r="F97" s="39" t="s">
        <v>90</v>
      </c>
      <c r="G97" s="4"/>
      <c r="H97" s="40"/>
    </row>
    <row r="98" spans="6:8" ht="12.75">
      <c r="F98" s="29"/>
      <c r="G98" s="2"/>
      <c r="H98" s="1"/>
    </row>
    <row r="99" spans="6:8" ht="12.75">
      <c r="F99" s="29"/>
      <c r="G99" s="2"/>
      <c r="H99" s="6"/>
    </row>
    <row r="100" spans="6:8" ht="12.75">
      <c r="F100" s="1"/>
      <c r="G100" s="2"/>
      <c r="H100" s="1"/>
    </row>
    <row r="101" spans="6:8" ht="12.75">
      <c r="F101" s="1"/>
      <c r="G101" s="2"/>
      <c r="H101" s="1"/>
    </row>
    <row r="102" spans="6:8" ht="12.75">
      <c r="F102" s="1"/>
      <c r="G102" s="2"/>
      <c r="H102" s="1"/>
    </row>
    <row r="103" spans="6:8" ht="12.75">
      <c r="F103" s="29" t="s">
        <v>91</v>
      </c>
      <c r="G103" s="2"/>
      <c r="H103" s="1"/>
    </row>
    <row r="104" spans="6:8" ht="12.75">
      <c r="F104" s="29" t="s">
        <v>93</v>
      </c>
      <c r="G104" s="2"/>
      <c r="H104" s="1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mergeCells count="2"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K63"/>
  <sheetViews>
    <sheetView workbookViewId="0" topLeftCell="A36">
      <selection activeCell="A45" sqref="A45"/>
    </sheetView>
  </sheetViews>
  <sheetFormatPr defaultColWidth="9.140625" defaultRowHeight="12.75"/>
  <cols>
    <col min="1" max="1" width="24.7109375" style="288" customWidth="1"/>
    <col min="2" max="3" width="13.140625" style="288" customWidth="1"/>
    <col min="4" max="4" width="14.00390625" style="288" customWidth="1"/>
    <col min="5" max="5" width="16.57421875" style="288" customWidth="1"/>
    <col min="6" max="6" width="13.57421875" style="288" customWidth="1"/>
    <col min="7" max="7" width="9.7109375" style="288" customWidth="1"/>
    <col min="8" max="9" width="8.8515625" style="288" customWidth="1"/>
    <col min="10" max="10" width="14.8515625" style="288" customWidth="1"/>
    <col min="11" max="16384" width="8.00390625" style="288" customWidth="1"/>
  </cols>
  <sheetData>
    <row r="1" spans="1:11" ht="12.75" customHeight="1">
      <c r="A1" s="300" t="s">
        <v>646</v>
      </c>
      <c r="B1" s="300"/>
      <c r="C1" s="300"/>
      <c r="D1" s="300"/>
      <c r="E1" s="300"/>
      <c r="F1" s="300"/>
      <c r="G1" s="300"/>
      <c r="H1" s="300"/>
      <c r="I1" s="300"/>
      <c r="J1" s="486" t="s">
        <v>647</v>
      </c>
      <c r="K1" s="371"/>
    </row>
    <row r="2" spans="1:10" ht="12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5.75">
      <c r="A4" s="386" t="s">
        <v>648</v>
      </c>
      <c r="B4" s="384"/>
      <c r="C4" s="384"/>
      <c r="D4" s="384"/>
      <c r="E4" s="384"/>
      <c r="F4" s="384"/>
      <c r="G4" s="384"/>
      <c r="H4" s="384"/>
      <c r="I4" s="384"/>
      <c r="J4" s="384"/>
    </row>
    <row r="5" spans="1:10" ht="15.75">
      <c r="A5" s="386" t="s">
        <v>649</v>
      </c>
      <c r="B5" s="265"/>
      <c r="C5" s="386"/>
      <c r="D5" s="386"/>
      <c r="E5" s="386"/>
      <c r="F5" s="386"/>
      <c r="G5" s="292"/>
      <c r="H5" s="292"/>
      <c r="I5" s="292"/>
      <c r="J5" s="292"/>
    </row>
    <row r="6" spans="1:10" ht="15.75">
      <c r="A6" s="388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1.25">
      <c r="A7" s="460"/>
      <c r="B7" s="460"/>
      <c r="C7" s="460"/>
      <c r="D7" s="460"/>
      <c r="E7" s="460"/>
      <c r="F7" s="460"/>
      <c r="G7" s="460"/>
      <c r="H7" s="460"/>
      <c r="I7" s="460"/>
      <c r="J7" s="460" t="s">
        <v>650</v>
      </c>
    </row>
    <row r="8" spans="1:10" ht="56.25">
      <c r="A8" s="487" t="s">
        <v>651</v>
      </c>
      <c r="B8" s="487" t="s">
        <v>652</v>
      </c>
      <c r="C8" s="487" t="s">
        <v>653</v>
      </c>
      <c r="D8" s="487" t="s">
        <v>654</v>
      </c>
      <c r="E8" s="487" t="s">
        <v>655</v>
      </c>
      <c r="F8" s="487" t="s">
        <v>656</v>
      </c>
      <c r="G8" s="487" t="s">
        <v>657</v>
      </c>
      <c r="H8" s="488" t="s">
        <v>658</v>
      </c>
      <c r="I8" s="489"/>
      <c r="J8" s="487" t="s">
        <v>659</v>
      </c>
    </row>
    <row r="9" spans="1:10" ht="11.25">
      <c r="A9" s="487"/>
      <c r="B9" s="487"/>
      <c r="C9" s="487"/>
      <c r="D9" s="487"/>
      <c r="E9" s="487"/>
      <c r="F9" s="487"/>
      <c r="G9" s="487"/>
      <c r="H9" s="487" t="s">
        <v>660</v>
      </c>
      <c r="I9" s="487" t="s">
        <v>661</v>
      </c>
      <c r="J9" s="487"/>
    </row>
    <row r="10" spans="1:10" ht="11.25">
      <c r="A10" s="490">
        <v>1</v>
      </c>
      <c r="B10" s="490">
        <v>2</v>
      </c>
      <c r="C10" s="490">
        <v>3</v>
      </c>
      <c r="D10" s="490">
        <v>4</v>
      </c>
      <c r="E10" s="490">
        <v>5</v>
      </c>
      <c r="F10" s="490">
        <v>6</v>
      </c>
      <c r="G10" s="490">
        <v>7</v>
      </c>
      <c r="H10" s="490">
        <v>8</v>
      </c>
      <c r="I10" s="490">
        <v>9</v>
      </c>
      <c r="J10" s="490">
        <v>10</v>
      </c>
    </row>
    <row r="11" spans="1:10" ht="12">
      <c r="A11" s="304" t="s">
        <v>662</v>
      </c>
      <c r="B11" s="491">
        <f>30000+90000+30000</f>
        <v>150000</v>
      </c>
      <c r="C11" s="491">
        <f>308142+1187975+419607</f>
        <v>1915724</v>
      </c>
      <c r="D11" s="492">
        <v>22350</v>
      </c>
      <c r="E11" s="491">
        <f>1452063+5794225+3287517</f>
        <v>10533805</v>
      </c>
      <c r="F11" s="491">
        <v>5631</v>
      </c>
      <c r="G11" s="492"/>
      <c r="H11" s="492"/>
      <c r="I11" s="492"/>
      <c r="J11" s="491">
        <f aca="true" t="shared" si="0" ref="J11:J44">SUM(B11:I11)</f>
        <v>12627510</v>
      </c>
    </row>
    <row r="12" spans="1:10" ht="12">
      <c r="A12" s="304" t="s">
        <v>663</v>
      </c>
      <c r="B12" s="492">
        <f>50000+50000+40000</f>
        <v>140000</v>
      </c>
      <c r="C12" s="492">
        <f>39591+154762+53912</f>
        <v>248265</v>
      </c>
      <c r="D12" s="492">
        <v>2196</v>
      </c>
      <c r="E12" s="491">
        <f>230692+919015+521603</f>
        <v>1671310</v>
      </c>
      <c r="F12" s="491">
        <v>4861</v>
      </c>
      <c r="G12" s="492"/>
      <c r="H12" s="492"/>
      <c r="I12" s="492"/>
      <c r="J12" s="491">
        <f t="shared" si="0"/>
        <v>2066632</v>
      </c>
    </row>
    <row r="13" spans="1:10" ht="12">
      <c r="A13" s="304" t="s">
        <v>664</v>
      </c>
      <c r="B13" s="492">
        <f>78700+130000+90000</f>
        <v>298700</v>
      </c>
      <c r="C13" s="492">
        <f>33909+131281+46174</f>
        <v>211364</v>
      </c>
      <c r="D13" s="492">
        <v>6223</v>
      </c>
      <c r="E13" s="491">
        <f>146629+579282+329333</f>
        <v>1055244</v>
      </c>
      <c r="F13" s="492">
        <v>2097</v>
      </c>
      <c r="G13" s="492"/>
      <c r="H13" s="492"/>
      <c r="I13" s="492"/>
      <c r="J13" s="491">
        <f t="shared" si="0"/>
        <v>1573628</v>
      </c>
    </row>
    <row r="14" spans="1:10" ht="12">
      <c r="A14" s="304" t="s">
        <v>665</v>
      </c>
      <c r="B14" s="492"/>
      <c r="C14" s="492">
        <f>9763+39845+13294</f>
        <v>62902</v>
      </c>
      <c r="D14" s="492">
        <v>390</v>
      </c>
      <c r="E14" s="491">
        <f>113671+452972+257077</f>
        <v>823720</v>
      </c>
      <c r="F14" s="492">
        <v>588</v>
      </c>
      <c r="G14" s="492"/>
      <c r="H14" s="492"/>
      <c r="I14" s="492"/>
      <c r="J14" s="491">
        <f t="shared" si="0"/>
        <v>887600</v>
      </c>
    </row>
    <row r="15" spans="1:10" ht="12">
      <c r="A15" s="304" t="s">
        <v>666</v>
      </c>
      <c r="B15" s="492">
        <f>37000+52000+37000</f>
        <v>126000</v>
      </c>
      <c r="C15" s="492">
        <f>49750+195746+67746</f>
        <v>313242</v>
      </c>
      <c r="D15" s="492">
        <v>2197</v>
      </c>
      <c r="E15" s="491">
        <f>177821+709029+402349</f>
        <v>1289199</v>
      </c>
      <c r="F15" s="492">
        <v>2138</v>
      </c>
      <c r="G15" s="492"/>
      <c r="H15" s="492"/>
      <c r="I15" s="492"/>
      <c r="J15" s="491">
        <f t="shared" si="0"/>
        <v>1732776</v>
      </c>
    </row>
    <row r="16" spans="1:10" ht="12">
      <c r="A16" s="304" t="s">
        <v>667</v>
      </c>
      <c r="B16" s="492"/>
      <c r="C16" s="492">
        <f>35824+137959+48783</f>
        <v>222566</v>
      </c>
      <c r="D16" s="492">
        <v>1830</v>
      </c>
      <c r="E16" s="492">
        <f>87430+347047+197116</f>
        <v>631593</v>
      </c>
      <c r="F16" s="492">
        <v>2259</v>
      </c>
      <c r="G16" s="492"/>
      <c r="H16" s="492"/>
      <c r="I16" s="492"/>
      <c r="J16" s="491">
        <f t="shared" si="0"/>
        <v>858248</v>
      </c>
    </row>
    <row r="17" spans="1:10" ht="12">
      <c r="A17" s="304" t="s">
        <v>668</v>
      </c>
      <c r="B17" s="492"/>
      <c r="C17" s="492">
        <f>40728+1000</f>
        <v>41728</v>
      </c>
      <c r="D17" s="492">
        <v>1464</v>
      </c>
      <c r="E17" s="491">
        <f>90453+361214+204913</f>
        <v>656580</v>
      </c>
      <c r="F17" s="492">
        <v>60</v>
      </c>
      <c r="G17" s="492"/>
      <c r="H17" s="492"/>
      <c r="I17" s="492"/>
      <c r="J17" s="491">
        <f t="shared" si="0"/>
        <v>699832</v>
      </c>
    </row>
    <row r="18" spans="1:10" ht="12">
      <c r="A18" s="304" t="s">
        <v>669</v>
      </c>
      <c r="B18" s="492">
        <f>85600+19600+63600</f>
        <v>168800</v>
      </c>
      <c r="C18" s="492">
        <f>33523+131969+45648</f>
        <v>211140</v>
      </c>
      <c r="D18" s="492">
        <v>1464</v>
      </c>
      <c r="E18" s="491">
        <f>125372+495431+281647</f>
        <v>902450</v>
      </c>
      <c r="F18" s="492">
        <v>1280</v>
      </c>
      <c r="G18" s="492"/>
      <c r="H18" s="492">
        <v>1750</v>
      </c>
      <c r="I18" s="492"/>
      <c r="J18" s="491">
        <f t="shared" si="0"/>
        <v>1286884</v>
      </c>
    </row>
    <row r="19" spans="1:10" ht="12">
      <c r="A19" s="304" t="s">
        <v>670</v>
      </c>
      <c r="B19" s="492">
        <f>10000+5000+17000</f>
        <v>32000</v>
      </c>
      <c r="C19" s="492">
        <f>38244+150240+52078</f>
        <v>240562</v>
      </c>
      <c r="D19" s="492">
        <v>1830</v>
      </c>
      <c r="E19" s="492">
        <f>74189+301206+170310</f>
        <v>545705</v>
      </c>
      <c r="F19" s="492">
        <v>1174</v>
      </c>
      <c r="G19" s="492"/>
      <c r="H19" s="492">
        <v>1375</v>
      </c>
      <c r="I19" s="492"/>
      <c r="J19" s="491">
        <f t="shared" si="0"/>
        <v>822646</v>
      </c>
    </row>
    <row r="20" spans="1:10" ht="12">
      <c r="A20" s="304" t="s">
        <v>671</v>
      </c>
      <c r="B20" s="492">
        <f>37000+37000+37000</f>
        <v>111000</v>
      </c>
      <c r="C20" s="492">
        <f>31470+123604+42854</f>
        <v>197928</v>
      </c>
      <c r="D20" s="492">
        <v>2929</v>
      </c>
      <c r="E20" s="492">
        <f>83883+338333+191552</f>
        <v>613768</v>
      </c>
      <c r="F20" s="492">
        <v>1878</v>
      </c>
      <c r="G20" s="492"/>
      <c r="H20" s="492">
        <v>1750</v>
      </c>
      <c r="I20" s="492"/>
      <c r="J20" s="491">
        <f t="shared" si="0"/>
        <v>929253</v>
      </c>
    </row>
    <row r="21" spans="1:10" ht="12">
      <c r="A21" s="304" t="s">
        <v>672</v>
      </c>
      <c r="B21" s="492">
        <f>10000+10000+13000</f>
        <v>33000</v>
      </c>
      <c r="C21" s="492">
        <f>52413+206213+71372</f>
        <v>329998</v>
      </c>
      <c r="D21" s="492">
        <v>2563</v>
      </c>
      <c r="E21" s="491">
        <f>144395+571564+324819</f>
        <v>1040778</v>
      </c>
      <c r="F21" s="492">
        <v>1166</v>
      </c>
      <c r="G21" s="492"/>
      <c r="H21" s="492"/>
      <c r="I21" s="492"/>
      <c r="J21" s="491">
        <f t="shared" si="0"/>
        <v>1407505</v>
      </c>
    </row>
    <row r="22" spans="1:10" ht="12">
      <c r="A22" s="304" t="s">
        <v>673</v>
      </c>
      <c r="B22" s="492"/>
      <c r="C22" s="491">
        <f>93347+366826+127112</f>
        <v>587285</v>
      </c>
      <c r="D22" s="492">
        <v>2929</v>
      </c>
      <c r="E22" s="491">
        <f>171549+692634+392066</f>
        <v>1256249</v>
      </c>
      <c r="F22" s="492">
        <v>1640</v>
      </c>
      <c r="G22" s="492"/>
      <c r="H22" s="492"/>
      <c r="I22" s="492"/>
      <c r="J22" s="491">
        <f t="shared" si="0"/>
        <v>1848103</v>
      </c>
    </row>
    <row r="23" spans="1:10" ht="12">
      <c r="A23" s="304" t="s">
        <v>674</v>
      </c>
      <c r="B23" s="492">
        <f>40000+80000+20000</f>
        <v>140000</v>
      </c>
      <c r="C23" s="492">
        <f>28076+110606+38233</f>
        <v>176915</v>
      </c>
      <c r="D23" s="492">
        <v>1098</v>
      </c>
      <c r="E23" s="491">
        <f>102881+414171+234578</f>
        <v>751630</v>
      </c>
      <c r="F23" s="492">
        <v>1623</v>
      </c>
      <c r="G23" s="492"/>
      <c r="H23" s="492"/>
      <c r="I23" s="492"/>
      <c r="J23" s="491">
        <f t="shared" si="0"/>
        <v>1071266</v>
      </c>
    </row>
    <row r="24" spans="1:10" ht="12">
      <c r="A24" s="304" t="s">
        <v>675</v>
      </c>
      <c r="B24" s="492">
        <f>10400+13200+10800</f>
        <v>34400</v>
      </c>
      <c r="C24" s="492">
        <f>12383+48794+16862</f>
        <v>78039</v>
      </c>
      <c r="D24" s="492">
        <v>1831</v>
      </c>
      <c r="E24" s="491">
        <f>123036+487181+276846</f>
        <v>887063</v>
      </c>
      <c r="F24" s="492">
        <v>358</v>
      </c>
      <c r="G24" s="492"/>
      <c r="H24" s="492">
        <v>3250</v>
      </c>
      <c r="I24" s="492"/>
      <c r="J24" s="491">
        <f t="shared" si="0"/>
        <v>1004941</v>
      </c>
    </row>
    <row r="25" spans="1:10" ht="12">
      <c r="A25" s="304" t="s">
        <v>676</v>
      </c>
      <c r="B25" s="492">
        <f>33800+16200+50000</f>
        <v>100000</v>
      </c>
      <c r="C25" s="492">
        <f>12050+47419+16408</f>
        <v>75877</v>
      </c>
      <c r="D25" s="492">
        <v>1098</v>
      </c>
      <c r="E25" s="492">
        <f>77098+314191+177521</f>
        <v>568810</v>
      </c>
      <c r="F25" s="492">
        <v>120</v>
      </c>
      <c r="G25" s="492"/>
      <c r="H25" s="492"/>
      <c r="I25" s="492"/>
      <c r="J25" s="491">
        <f t="shared" si="0"/>
        <v>745905</v>
      </c>
    </row>
    <row r="26" spans="1:10" ht="12">
      <c r="A26" s="304" t="s">
        <v>677</v>
      </c>
      <c r="B26" s="492"/>
      <c r="C26" s="492">
        <f>24123+95072+32849</f>
        <v>152044</v>
      </c>
      <c r="D26" s="492">
        <v>1464</v>
      </c>
      <c r="E26" s="491">
        <f>103374+413790+234628</f>
        <v>751792</v>
      </c>
      <c r="F26" s="492">
        <v>2070</v>
      </c>
      <c r="G26" s="492"/>
      <c r="H26" s="492"/>
      <c r="I26" s="492"/>
      <c r="J26" s="491">
        <f t="shared" si="0"/>
        <v>907370</v>
      </c>
    </row>
    <row r="27" spans="1:10" ht="12">
      <c r="A27" s="304" t="s">
        <v>678</v>
      </c>
      <c r="B27" s="492">
        <f>20000+20000+50000</f>
        <v>90000</v>
      </c>
      <c r="C27" s="492">
        <f>41672+163511+56745</f>
        <v>261928</v>
      </c>
      <c r="D27" s="492">
        <v>1831</v>
      </c>
      <c r="E27" s="491">
        <f>142461+566304+321554</f>
        <v>1030319</v>
      </c>
      <c r="F27" s="492">
        <v>3370</v>
      </c>
      <c r="G27" s="492"/>
      <c r="H27" s="492">
        <v>2300</v>
      </c>
      <c r="I27" s="492"/>
      <c r="J27" s="491">
        <f t="shared" si="0"/>
        <v>1389748</v>
      </c>
    </row>
    <row r="28" spans="1:10" ht="12">
      <c r="A28" s="304" t="s">
        <v>679</v>
      </c>
      <c r="B28" s="492">
        <f>4000+4000+4000</f>
        <v>12000</v>
      </c>
      <c r="C28" s="492">
        <f>12473+49099+16984</f>
        <v>78556</v>
      </c>
      <c r="D28" s="492">
        <v>1164</v>
      </c>
      <c r="E28" s="491">
        <f>103674+413733+234739</f>
        <v>752146</v>
      </c>
      <c r="F28" s="492">
        <v>1964</v>
      </c>
      <c r="G28" s="492"/>
      <c r="H28" s="492">
        <v>3500</v>
      </c>
      <c r="I28" s="492"/>
      <c r="J28" s="491">
        <f t="shared" si="0"/>
        <v>849330</v>
      </c>
    </row>
    <row r="29" spans="1:10" ht="12">
      <c r="A29" s="304" t="s">
        <v>680</v>
      </c>
      <c r="B29" s="492">
        <f>91000+81000+113000</f>
        <v>285000</v>
      </c>
      <c r="C29" s="492">
        <f>40323+158864+54910</f>
        <v>254097</v>
      </c>
      <c r="D29" s="492">
        <v>1830</v>
      </c>
      <c r="E29" s="491">
        <f>127420+499507+284427</f>
        <v>911354</v>
      </c>
      <c r="F29" s="492">
        <v>554</v>
      </c>
      <c r="G29" s="492"/>
      <c r="H29" s="492">
        <v>3750</v>
      </c>
      <c r="I29" s="492"/>
      <c r="J29" s="491">
        <f t="shared" si="0"/>
        <v>1456585</v>
      </c>
    </row>
    <row r="30" spans="1:10" ht="12">
      <c r="A30" s="304" t="s">
        <v>681</v>
      </c>
      <c r="B30" s="492">
        <f>19000+10000+16000</f>
        <v>45000</v>
      </c>
      <c r="C30" s="492">
        <f>46925+184394+63901</f>
        <v>295220</v>
      </c>
      <c r="D30" s="492">
        <v>1830</v>
      </c>
      <c r="E30" s="491">
        <f>136879+549719+311499</f>
        <v>998097</v>
      </c>
      <c r="F30" s="492">
        <v>543</v>
      </c>
      <c r="G30" s="492"/>
      <c r="H30" s="492">
        <v>1750</v>
      </c>
      <c r="I30" s="492"/>
      <c r="J30" s="491">
        <f t="shared" si="0"/>
        <v>1342440</v>
      </c>
    </row>
    <row r="31" spans="1:10" ht="12">
      <c r="A31" s="304" t="s">
        <v>682</v>
      </c>
      <c r="B31" s="492">
        <f>96000+10000+70500</f>
        <v>176500</v>
      </c>
      <c r="C31" s="492">
        <f>14363+56611+19558</f>
        <v>90532</v>
      </c>
      <c r="D31" s="492">
        <v>1830</v>
      </c>
      <c r="E31" s="491">
        <f>111956+445905+252830</f>
        <v>810691</v>
      </c>
      <c r="F31" s="492">
        <v>696</v>
      </c>
      <c r="G31" s="492"/>
      <c r="H31" s="492">
        <v>1750</v>
      </c>
      <c r="I31" s="492"/>
      <c r="J31" s="491">
        <f t="shared" si="0"/>
        <v>1081999</v>
      </c>
    </row>
    <row r="32" spans="1:10" ht="12">
      <c r="A32" s="304" t="s">
        <v>683</v>
      </c>
      <c r="B32" s="492"/>
      <c r="C32" s="492">
        <f>12882+50744+17542</f>
        <v>81168</v>
      </c>
      <c r="D32" s="492">
        <v>1830</v>
      </c>
      <c r="E32" s="491">
        <f>94118+374446+212578</f>
        <v>681142</v>
      </c>
      <c r="F32" s="492">
        <v>2484</v>
      </c>
      <c r="G32" s="492"/>
      <c r="H32" s="492"/>
      <c r="I32" s="492"/>
      <c r="J32" s="491">
        <f t="shared" si="0"/>
        <v>766624</v>
      </c>
    </row>
    <row r="33" spans="1:10" ht="12">
      <c r="A33" s="304" t="s">
        <v>684</v>
      </c>
      <c r="B33" s="492">
        <f>60000+70000+115000</f>
        <v>245000</v>
      </c>
      <c r="C33" s="492">
        <f>24604+96741+33503</f>
        <v>154848</v>
      </c>
      <c r="D33" s="492">
        <v>3295</v>
      </c>
      <c r="E33" s="491">
        <f>123797+503459+284575</f>
        <v>911831</v>
      </c>
      <c r="F33" s="492">
        <v>1071</v>
      </c>
      <c r="G33" s="492"/>
      <c r="H33" s="492"/>
      <c r="I33" s="492"/>
      <c r="J33" s="491">
        <f t="shared" si="0"/>
        <v>1316045</v>
      </c>
    </row>
    <row r="34" spans="1:10" ht="12">
      <c r="A34" s="304" t="s">
        <v>685</v>
      </c>
      <c r="B34" s="492">
        <f>20000+20000</f>
        <v>40000</v>
      </c>
      <c r="C34" s="492">
        <f>24842+97683+33828</f>
        <v>156353</v>
      </c>
      <c r="D34" s="492">
        <v>2929</v>
      </c>
      <c r="E34" s="491">
        <f>164282+650242+369536</f>
        <v>1184060</v>
      </c>
      <c r="F34" s="492">
        <v>756</v>
      </c>
      <c r="G34" s="492"/>
      <c r="H34" s="492"/>
      <c r="I34" s="492"/>
      <c r="J34" s="491">
        <f t="shared" si="0"/>
        <v>1384098</v>
      </c>
    </row>
    <row r="35" spans="1:10" ht="12">
      <c r="A35" s="304" t="s">
        <v>686</v>
      </c>
      <c r="B35" s="492">
        <f>35000+40000+35000</f>
        <v>110000</v>
      </c>
      <c r="C35" s="492">
        <f>35180+138032+47906</f>
        <v>221118</v>
      </c>
      <c r="D35" s="492">
        <v>2928</v>
      </c>
      <c r="E35" s="491">
        <f>121258+462697+264930</f>
        <v>848885</v>
      </c>
      <c r="F35" s="492">
        <v>1896</v>
      </c>
      <c r="G35" s="492"/>
      <c r="H35" s="492"/>
      <c r="I35" s="492"/>
      <c r="J35" s="491">
        <f t="shared" si="0"/>
        <v>1184827</v>
      </c>
    </row>
    <row r="36" spans="1:10" ht="12">
      <c r="A36" s="304" t="s">
        <v>687</v>
      </c>
      <c r="B36" s="492"/>
      <c r="C36" s="492">
        <f>53657+211281+73065</f>
        <v>338003</v>
      </c>
      <c r="D36" s="492">
        <v>1830</v>
      </c>
      <c r="E36" s="491">
        <f>108657+432205+245381</f>
        <v>786243</v>
      </c>
      <c r="F36" s="492">
        <v>3175</v>
      </c>
      <c r="G36" s="492"/>
      <c r="H36" s="492"/>
      <c r="I36" s="492"/>
      <c r="J36" s="491">
        <f t="shared" si="0"/>
        <v>1129251</v>
      </c>
    </row>
    <row r="37" spans="1:10" ht="12">
      <c r="A37" s="304" t="s">
        <v>688</v>
      </c>
      <c r="B37" s="492">
        <f>100000+95000+50000</f>
        <v>245000</v>
      </c>
      <c r="C37" s="492">
        <f>48718+191885+66339</f>
        <v>306942</v>
      </c>
      <c r="D37" s="492">
        <v>5856</v>
      </c>
      <c r="E37" s="491">
        <f>309201+1232582+699479</f>
        <v>2241262</v>
      </c>
      <c r="F37" s="492">
        <v>1413</v>
      </c>
      <c r="G37" s="492"/>
      <c r="H37" s="492">
        <v>6520</v>
      </c>
      <c r="I37" s="492"/>
      <c r="J37" s="491">
        <f t="shared" si="0"/>
        <v>2806993</v>
      </c>
    </row>
    <row r="38" spans="1:10" ht="12">
      <c r="A38" s="304" t="s">
        <v>689</v>
      </c>
      <c r="B38" s="492">
        <f>60000+29000+63000</f>
        <v>152000</v>
      </c>
      <c r="C38" s="492">
        <f>54288+213650+73924</f>
        <v>341862</v>
      </c>
      <c r="D38" s="492">
        <v>1830</v>
      </c>
      <c r="E38" s="491">
        <f>111258+444169+252153</f>
        <v>807580</v>
      </c>
      <c r="F38" s="492">
        <v>727</v>
      </c>
      <c r="G38" s="492"/>
      <c r="H38" s="492"/>
      <c r="I38" s="492"/>
      <c r="J38" s="491">
        <f t="shared" si="0"/>
        <v>1303999</v>
      </c>
    </row>
    <row r="39" spans="1:10" ht="12">
      <c r="A39" s="304" t="s">
        <v>690</v>
      </c>
      <c r="B39" s="492">
        <f>40000+10000+45000</f>
        <v>95000</v>
      </c>
      <c r="C39" s="492">
        <f>16820+79180+22667</f>
        <v>118667</v>
      </c>
      <c r="D39" s="492">
        <v>2562</v>
      </c>
      <c r="E39" s="491">
        <f>143096+577623+326978</f>
        <v>1047697</v>
      </c>
      <c r="F39" s="492">
        <v>1157</v>
      </c>
      <c r="G39" s="492"/>
      <c r="H39" s="492">
        <v>1750</v>
      </c>
      <c r="I39" s="492"/>
      <c r="J39" s="491">
        <f t="shared" si="0"/>
        <v>1266833</v>
      </c>
    </row>
    <row r="40" spans="1:10" ht="12">
      <c r="A40" s="304" t="s">
        <v>691</v>
      </c>
      <c r="B40" s="491">
        <f>37000+1000+30000</f>
        <v>68000</v>
      </c>
      <c r="C40" s="492">
        <f>70943+276474+96604</f>
        <v>444021</v>
      </c>
      <c r="D40" s="492">
        <v>1830</v>
      </c>
      <c r="E40" s="491">
        <f>145960+590995+334344</f>
        <v>1071299</v>
      </c>
      <c r="F40" s="492">
        <v>859</v>
      </c>
      <c r="G40" s="491"/>
      <c r="H40" s="491"/>
      <c r="I40" s="491"/>
      <c r="J40" s="491">
        <f t="shared" si="0"/>
        <v>1586009</v>
      </c>
    </row>
    <row r="41" spans="1:10" ht="12">
      <c r="A41" s="304" t="s">
        <v>692</v>
      </c>
      <c r="B41" s="492">
        <f>40000+76000+29600</f>
        <v>145600</v>
      </c>
      <c r="C41" s="492">
        <f>17115+67343+23305</f>
        <v>107763</v>
      </c>
      <c r="D41" s="492">
        <v>2928</v>
      </c>
      <c r="E41" s="491">
        <f>99690+380312+217769</f>
        <v>697771</v>
      </c>
      <c r="F41" s="492">
        <v>124</v>
      </c>
      <c r="G41" s="491"/>
      <c r="H41" s="491">
        <v>1750</v>
      </c>
      <c r="I41" s="491"/>
      <c r="J41" s="491">
        <f t="shared" si="0"/>
        <v>955936</v>
      </c>
    </row>
    <row r="42" spans="1:10" ht="12">
      <c r="A42" s="304" t="s">
        <v>693</v>
      </c>
      <c r="B42" s="492"/>
      <c r="C42" s="492">
        <f>63882+251545+86989</f>
        <v>402416</v>
      </c>
      <c r="D42" s="492">
        <v>3294</v>
      </c>
      <c r="E42" s="491">
        <f>173712+702112+397346</f>
        <v>1273170</v>
      </c>
      <c r="F42" s="492">
        <v>148</v>
      </c>
      <c r="G42" s="491"/>
      <c r="H42" s="491"/>
      <c r="I42" s="491"/>
      <c r="J42" s="491">
        <f t="shared" si="0"/>
        <v>1679028</v>
      </c>
    </row>
    <row r="43" spans="1:10" ht="12">
      <c r="A43" s="304" t="s">
        <v>694</v>
      </c>
      <c r="B43" s="492">
        <f>500+1000+500</f>
        <v>2000</v>
      </c>
      <c r="C43" s="492">
        <f>16574+65197+22569</f>
        <v>104340</v>
      </c>
      <c r="D43" s="492">
        <v>1398</v>
      </c>
      <c r="E43" s="492">
        <f>43964+163444+94097</f>
        <v>301505</v>
      </c>
      <c r="F43" s="492">
        <v>120</v>
      </c>
      <c r="G43" s="304"/>
      <c r="H43" s="491"/>
      <c r="I43" s="491"/>
      <c r="J43" s="491">
        <f t="shared" si="0"/>
        <v>409363</v>
      </c>
    </row>
    <row r="44" spans="1:10" ht="12">
      <c r="A44" s="493" t="s">
        <v>695</v>
      </c>
      <c r="B44" s="494">
        <f>SUM(B11:B43)</f>
        <v>3045000</v>
      </c>
      <c r="C44" s="494">
        <f>SUM(C11:C43)</f>
        <v>8823413</v>
      </c>
      <c r="D44" s="494">
        <f>SUM(D11:D43)</f>
        <v>94851</v>
      </c>
      <c r="E44" s="494">
        <f>SUM(E11:E43)</f>
        <v>40334748</v>
      </c>
      <c r="F44" s="494">
        <f>SUM(F11:F43)</f>
        <v>50000</v>
      </c>
      <c r="G44" s="491"/>
      <c r="H44" s="494">
        <f>SUM(H11:H43)</f>
        <v>31195</v>
      </c>
      <c r="I44" s="495"/>
      <c r="J44" s="494">
        <f t="shared" si="0"/>
        <v>52379207</v>
      </c>
    </row>
    <row r="45" spans="1:10" ht="12">
      <c r="A45" s="496"/>
      <c r="B45" s="497"/>
      <c r="C45" s="497"/>
      <c r="D45" s="497"/>
      <c r="E45" s="497"/>
      <c r="F45" s="497"/>
      <c r="G45" s="497"/>
      <c r="H45" s="497"/>
      <c r="I45" s="497"/>
      <c r="J45" s="497"/>
    </row>
    <row r="46" spans="1:10" ht="12">
      <c r="A46" s="496"/>
      <c r="B46" s="497"/>
      <c r="C46" s="497"/>
      <c r="D46" s="498"/>
      <c r="E46" s="497"/>
      <c r="F46" s="497"/>
      <c r="G46" s="497"/>
      <c r="H46" s="497"/>
      <c r="I46" s="497"/>
      <c r="J46" s="497"/>
    </row>
    <row r="47" spans="1:10" ht="12">
      <c r="A47" s="496"/>
      <c r="B47" s="497"/>
      <c r="C47" s="497"/>
      <c r="D47" s="497"/>
      <c r="E47" s="497"/>
      <c r="F47" s="497"/>
      <c r="G47" s="497"/>
      <c r="H47" s="497"/>
      <c r="I47" s="497"/>
      <c r="J47" s="497"/>
    </row>
    <row r="48" spans="1:9" ht="12.75">
      <c r="A48" s="499"/>
      <c r="B48" s="500"/>
      <c r="C48" s="501"/>
      <c r="D48" s="502"/>
      <c r="E48" s="502"/>
      <c r="F48" s="502"/>
      <c r="G48" s="502"/>
      <c r="H48" s="502"/>
      <c r="I48" s="502"/>
    </row>
    <row r="49" spans="1:10" s="322" customFormat="1" ht="12">
      <c r="A49" s="378" t="s">
        <v>478</v>
      </c>
      <c r="B49" s="378"/>
      <c r="C49" s="503"/>
      <c r="D49" s="504"/>
      <c r="E49" s="350"/>
      <c r="F49" s="350"/>
      <c r="G49" s="378" t="s">
        <v>612</v>
      </c>
      <c r="H49" s="504"/>
      <c r="I49" s="350"/>
      <c r="J49" s="321" t="s">
        <v>479</v>
      </c>
    </row>
    <row r="50" spans="1:10" ht="12">
      <c r="A50" s="505"/>
      <c r="B50" s="506"/>
      <c r="C50" s="506"/>
      <c r="D50" s="506"/>
      <c r="E50" s="504"/>
      <c r="F50" s="504"/>
      <c r="G50" s="507"/>
      <c r="H50" s="507"/>
      <c r="I50" s="507"/>
      <c r="J50" s="504"/>
    </row>
    <row r="62" ht="11.25">
      <c r="A62" s="295" t="s">
        <v>613</v>
      </c>
    </row>
    <row r="63" ht="11.25">
      <c r="A63" s="288" t="s">
        <v>614</v>
      </c>
    </row>
  </sheetData>
  <printOptions/>
  <pageMargins left="0.4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G13">
      <selection activeCell="B18" sqref="B18"/>
    </sheetView>
  </sheetViews>
  <sheetFormatPr defaultColWidth="9.140625" defaultRowHeight="12.75"/>
  <cols>
    <col min="1" max="1" width="39.7109375" style="1" hidden="1" customWidth="1"/>
    <col min="2" max="2" width="15.140625" style="1" hidden="1" customWidth="1"/>
    <col min="3" max="3" width="10.28125" style="72" hidden="1" customWidth="1"/>
    <col min="4" max="4" width="13.140625" style="1" hidden="1" customWidth="1"/>
    <col min="5" max="5" width="9.421875" style="1" hidden="1" customWidth="1"/>
    <col min="6" max="6" width="15.00390625" style="1" hidden="1" customWidth="1"/>
    <col min="7" max="7" width="46.421875" style="1" customWidth="1"/>
    <col min="8" max="8" width="9.8515625" style="1" customWidth="1"/>
    <col min="9" max="9" width="10.7109375" style="1" customWidth="1"/>
    <col min="10" max="10" width="9.8515625" style="1" customWidth="1"/>
    <col min="11" max="11" width="10.421875" style="1" customWidth="1"/>
    <col min="12" max="12" width="10.00390625" style="1" customWidth="1"/>
    <col min="13" max="16384" width="9.140625" style="1" customWidth="1"/>
  </cols>
  <sheetData>
    <row r="1" spans="6:12" ht="11.25" customHeight="1">
      <c r="F1" s="73" t="s">
        <v>124</v>
      </c>
      <c r="L1" s="73" t="s">
        <v>124</v>
      </c>
    </row>
    <row r="2" spans="1:11" ht="14.25">
      <c r="A2" s="74" t="s">
        <v>125</v>
      </c>
      <c r="B2" s="3"/>
      <c r="C2" s="75"/>
      <c r="D2" s="76"/>
      <c r="E2" s="3"/>
      <c r="G2" s="74" t="s">
        <v>125</v>
      </c>
      <c r="H2" s="3"/>
      <c r="I2" s="74"/>
      <c r="J2" s="76"/>
      <c r="K2" s="3"/>
    </row>
    <row r="3" spans="1:11" ht="6" customHeight="1">
      <c r="A3" s="43"/>
      <c r="B3" s="29"/>
      <c r="C3" s="77"/>
      <c r="D3" s="29"/>
      <c r="E3" s="29"/>
      <c r="G3" s="43"/>
      <c r="H3" s="29"/>
      <c r="I3" s="29"/>
      <c r="J3" s="29"/>
      <c r="K3" s="29"/>
    </row>
    <row r="4" spans="1:11" ht="15.75">
      <c r="A4" s="78" t="s">
        <v>126</v>
      </c>
      <c r="B4" s="74"/>
      <c r="C4" s="75"/>
      <c r="D4" s="74"/>
      <c r="E4" s="74"/>
      <c r="G4" s="78" t="s">
        <v>127</v>
      </c>
      <c r="H4" s="74"/>
      <c r="I4" s="74"/>
      <c r="J4" s="74"/>
      <c r="K4" s="74"/>
    </row>
    <row r="5" spans="1:12" ht="12.75" customHeight="1">
      <c r="A5" s="79"/>
      <c r="B5" s="29"/>
      <c r="C5" s="77"/>
      <c r="D5" s="67"/>
      <c r="E5" s="80"/>
      <c r="F5" s="81" t="s">
        <v>100</v>
      </c>
      <c r="G5" s="79"/>
      <c r="H5" s="29"/>
      <c r="I5" s="29"/>
      <c r="J5" s="67"/>
      <c r="K5" s="80"/>
      <c r="L5" s="81" t="s">
        <v>100</v>
      </c>
    </row>
    <row r="6" spans="1:12" ht="44.25" customHeight="1">
      <c r="A6" s="7" t="s">
        <v>7</v>
      </c>
      <c r="B6" s="7" t="s">
        <v>8</v>
      </c>
      <c r="C6" s="82" t="s">
        <v>128</v>
      </c>
      <c r="D6" s="7" t="s">
        <v>9</v>
      </c>
      <c r="E6" s="7" t="s">
        <v>129</v>
      </c>
      <c r="F6" s="7" t="s">
        <v>130</v>
      </c>
      <c r="G6" s="7" t="s">
        <v>7</v>
      </c>
      <c r="H6" s="7" t="s">
        <v>8</v>
      </c>
      <c r="I6" s="7" t="s">
        <v>128</v>
      </c>
      <c r="J6" s="7" t="s">
        <v>9</v>
      </c>
      <c r="K6" s="7" t="s">
        <v>129</v>
      </c>
      <c r="L6" s="7" t="s">
        <v>130</v>
      </c>
    </row>
    <row r="7" spans="1:12" ht="11.25" customHeight="1">
      <c r="A7" s="48">
        <v>1</v>
      </c>
      <c r="B7" s="49">
        <v>2</v>
      </c>
      <c r="C7" s="83">
        <v>3</v>
      </c>
      <c r="D7" s="84">
        <v>4</v>
      </c>
      <c r="E7" s="84">
        <v>5</v>
      </c>
      <c r="F7" s="49">
        <v>6</v>
      </c>
      <c r="G7" s="48">
        <v>1</v>
      </c>
      <c r="H7" s="49">
        <v>2</v>
      </c>
      <c r="I7" s="84">
        <v>3</v>
      </c>
      <c r="J7" s="84">
        <v>4</v>
      </c>
      <c r="K7" s="84">
        <v>5</v>
      </c>
      <c r="L7" s="49">
        <v>6</v>
      </c>
    </row>
    <row r="8" spans="1:12" ht="15" customHeight="1">
      <c r="A8" s="85" t="s">
        <v>131</v>
      </c>
      <c r="B8" s="86">
        <f>SUM(B9,B17,B33)</f>
        <v>720918773</v>
      </c>
      <c r="C8" s="87">
        <v>0.931</v>
      </c>
      <c r="D8" s="86">
        <f>SUM(D9,D17,D33)</f>
        <v>315700738.66</v>
      </c>
      <c r="E8" s="19">
        <f aca="true" t="shared" si="0" ref="E8:E34">IF(ISERROR(D8/B8)," ",(D8/B8))</f>
        <v>0.4379144370818043</v>
      </c>
      <c r="F8" s="86">
        <f>SUM(F9,F17,F33)</f>
        <v>52037703.66</v>
      </c>
      <c r="G8" s="85" t="s">
        <v>131</v>
      </c>
      <c r="H8" s="86">
        <f>SUM(H9,H17,H33)</f>
        <v>720919</v>
      </c>
      <c r="I8" s="88">
        <f>C8</f>
        <v>0.931</v>
      </c>
      <c r="J8" s="86">
        <f>SUM(J9,J17,J33)</f>
        <v>315700</v>
      </c>
      <c r="K8" s="89">
        <f>IF(ISERROR(ROUND(J8,0)/ROUND(H8,0))," ",(ROUND(J8,)/ROUND(H8,)))</f>
        <v>0.43791327458424595</v>
      </c>
      <c r="L8" s="86">
        <f>SUM(L9,L17,L33)</f>
        <v>52037</v>
      </c>
    </row>
    <row r="9" spans="1:12" ht="12.75">
      <c r="A9" s="90" t="s">
        <v>132</v>
      </c>
      <c r="B9" s="86">
        <f>SUM(B10,B12,B16)</f>
        <v>577462850</v>
      </c>
      <c r="C9" s="87">
        <v>0.914</v>
      </c>
      <c r="D9" s="86">
        <f>SUM(D10,D12,D16)</f>
        <v>260924484.23000002</v>
      </c>
      <c r="E9" s="19">
        <f t="shared" si="0"/>
        <v>0.45184635553611807</v>
      </c>
      <c r="F9" s="86">
        <f>SUM(F10,F12,F16)</f>
        <v>39912627.23</v>
      </c>
      <c r="G9" s="90" t="s">
        <v>132</v>
      </c>
      <c r="H9" s="91">
        <f>SUM(H10,H12,H16)</f>
        <v>577463</v>
      </c>
      <c r="I9" s="92">
        <f aca="true" t="shared" si="1" ref="I9:I34">C9</f>
        <v>0.914</v>
      </c>
      <c r="J9" s="91">
        <f>SUM(J10,J12,J16)</f>
        <v>260924</v>
      </c>
      <c r="K9" s="93">
        <f aca="true" t="shared" si="2" ref="K9:K34">IF(ISERROR(ROUND(J9,0)/ROUND(H9,0))," ",(ROUND(J9,)/ROUND(H9,)))</f>
        <v>0.45184539961867687</v>
      </c>
      <c r="L9" s="91">
        <f>SUM(L10,L12,L16)</f>
        <v>39913</v>
      </c>
    </row>
    <row r="10" spans="1:12" ht="15" customHeight="1">
      <c r="A10" s="94" t="s">
        <v>133</v>
      </c>
      <c r="B10" s="86">
        <f>SUM(B11)</f>
        <v>90900000</v>
      </c>
      <c r="C10" s="87">
        <v>0.98</v>
      </c>
      <c r="D10" s="86">
        <f>SUM(D11)</f>
        <v>47442919.81</v>
      </c>
      <c r="E10" s="19">
        <f t="shared" si="0"/>
        <v>0.5219243103410341</v>
      </c>
      <c r="F10" s="86">
        <f>SUM(F11)</f>
        <v>4116682.8100000024</v>
      </c>
      <c r="G10" s="94" t="s">
        <v>133</v>
      </c>
      <c r="H10" s="95">
        <f>SUM(H11)</f>
        <v>90900</v>
      </c>
      <c r="I10" s="96">
        <f t="shared" si="1"/>
        <v>0.98</v>
      </c>
      <c r="J10" s="95">
        <f>SUM(J11)</f>
        <v>47443</v>
      </c>
      <c r="K10" s="97">
        <f t="shared" si="2"/>
        <v>0.521925192519252</v>
      </c>
      <c r="L10" s="95">
        <f>SUM(L11)</f>
        <v>4117</v>
      </c>
    </row>
    <row r="11" spans="1:12" ht="12.75">
      <c r="A11" s="21" t="s">
        <v>134</v>
      </c>
      <c r="B11" s="98">
        <v>90900000</v>
      </c>
      <c r="C11" s="99">
        <v>0.98</v>
      </c>
      <c r="D11" s="98">
        <v>47442919.81</v>
      </c>
      <c r="E11" s="19">
        <f t="shared" si="0"/>
        <v>0.5219243103410341</v>
      </c>
      <c r="F11" s="98">
        <f>D11-'[2]Maijs'!D11</f>
        <v>4116682.8100000024</v>
      </c>
      <c r="G11" s="21" t="s">
        <v>134</v>
      </c>
      <c r="H11" s="98">
        <f>ROUND(B11/1000,0)</f>
        <v>90900</v>
      </c>
      <c r="I11" s="100">
        <f t="shared" si="1"/>
        <v>0.98</v>
      </c>
      <c r="J11" s="98">
        <f>ROUND(D11/1000,0)</f>
        <v>47443</v>
      </c>
      <c r="K11" s="101">
        <f t="shared" si="2"/>
        <v>0.521925192519252</v>
      </c>
      <c r="L11" s="98">
        <f>J11-'[2]Maijs'!J11</f>
        <v>4117</v>
      </c>
    </row>
    <row r="12" spans="1:12" ht="12.75">
      <c r="A12" s="94" t="s">
        <v>135</v>
      </c>
      <c r="B12" s="86">
        <f>SUM(B13:B15)</f>
        <v>486562850</v>
      </c>
      <c r="C12" s="87">
        <v>0.855</v>
      </c>
      <c r="D12" s="86">
        <f>SUM(D13:D15)</f>
        <v>208912351.8</v>
      </c>
      <c r="E12" s="19">
        <f t="shared" si="0"/>
        <v>0.42936354840900826</v>
      </c>
      <c r="F12" s="86">
        <f>SUM(F13:F15)</f>
        <v>35269229.8</v>
      </c>
      <c r="G12" s="94" t="s">
        <v>135</v>
      </c>
      <c r="H12" s="95">
        <f>SUM(H13:H15)</f>
        <v>486563</v>
      </c>
      <c r="I12" s="96">
        <f t="shared" si="1"/>
        <v>0.855</v>
      </c>
      <c r="J12" s="95">
        <f>SUM(J13:J15)</f>
        <v>208912</v>
      </c>
      <c r="K12" s="97">
        <f t="shared" si="2"/>
        <v>0.42936269301200464</v>
      </c>
      <c r="L12" s="95">
        <f>SUM(L13:L15)</f>
        <v>35269</v>
      </c>
    </row>
    <row r="13" spans="1:12" ht="12.75">
      <c r="A13" s="21" t="s">
        <v>136</v>
      </c>
      <c r="B13" s="98">
        <v>345763150</v>
      </c>
      <c r="C13" s="99">
        <v>0.899</v>
      </c>
      <c r="D13" s="98">
        <v>149588681.19</v>
      </c>
      <c r="E13" s="19">
        <f t="shared" si="0"/>
        <v>0.43263338267828716</v>
      </c>
      <c r="F13" s="98">
        <f>D13-'[2]Maijs'!D13</f>
        <v>26660383.189999998</v>
      </c>
      <c r="G13" s="21" t="s">
        <v>136</v>
      </c>
      <c r="H13" s="98">
        <f>ROUND(B13/1000,0)</f>
        <v>345763</v>
      </c>
      <c r="I13" s="100">
        <f t="shared" si="1"/>
        <v>0.899</v>
      </c>
      <c r="J13" s="98">
        <f>ROUND(D13/1000,0)</f>
        <v>149589</v>
      </c>
      <c r="K13" s="101">
        <f t="shared" si="2"/>
        <v>0.4326344924124328</v>
      </c>
      <c r="L13" s="98">
        <f>J13-'[2]Maijs'!J13</f>
        <v>26661</v>
      </c>
    </row>
    <row r="14" spans="1:12" ht="12.75">
      <c r="A14" s="21" t="s">
        <v>137</v>
      </c>
      <c r="B14" s="98">
        <v>122199700</v>
      </c>
      <c r="C14" s="99">
        <v>0.887</v>
      </c>
      <c r="D14" s="98">
        <v>51641177.42</v>
      </c>
      <c r="E14" s="19">
        <f t="shared" si="0"/>
        <v>0.42259659737298866</v>
      </c>
      <c r="F14" s="98">
        <f>D14-'[2]Maijs'!D14</f>
        <v>7249982.420000002</v>
      </c>
      <c r="G14" s="21" t="s">
        <v>137</v>
      </c>
      <c r="H14" s="98">
        <f>ROUND(B14/1000,0)</f>
        <v>122200</v>
      </c>
      <c r="I14" s="100">
        <f t="shared" si="1"/>
        <v>0.887</v>
      </c>
      <c r="J14" s="98">
        <f>ROUND(D14/1000,0)</f>
        <v>51641</v>
      </c>
      <c r="K14" s="101">
        <f t="shared" si="2"/>
        <v>0.4225941080196399</v>
      </c>
      <c r="L14" s="98">
        <f>J14-'[2]Maijs'!J14</f>
        <v>7250</v>
      </c>
    </row>
    <row r="15" spans="1:12" ht="15.75" customHeight="1">
      <c r="A15" s="102" t="s">
        <v>138</v>
      </c>
      <c r="B15" s="98">
        <v>18600000</v>
      </c>
      <c r="C15" s="99">
        <v>0.778</v>
      </c>
      <c r="D15" s="98">
        <v>7682493.19</v>
      </c>
      <c r="E15" s="19">
        <f t="shared" si="0"/>
        <v>0.41303726827956994</v>
      </c>
      <c r="F15" s="98">
        <f>D15-'[2]Maijs'!D15</f>
        <v>1358864.1900000004</v>
      </c>
      <c r="G15" s="102" t="s">
        <v>138</v>
      </c>
      <c r="H15" s="98">
        <f>ROUND(B15/1000,0)</f>
        <v>18600</v>
      </c>
      <c r="I15" s="100">
        <f t="shared" si="1"/>
        <v>0.778</v>
      </c>
      <c r="J15" s="98">
        <f>ROUND(D15/1000,0)</f>
        <v>7682</v>
      </c>
      <c r="K15" s="101">
        <f t="shared" si="2"/>
        <v>0.41301075268817206</v>
      </c>
      <c r="L15" s="98">
        <f>J15-'[2]Maijs'!J15</f>
        <v>1358</v>
      </c>
    </row>
    <row r="16" spans="1:12" ht="17.25" customHeight="1">
      <c r="A16" s="103" t="s">
        <v>139</v>
      </c>
      <c r="B16" s="98"/>
      <c r="C16" s="99"/>
      <c r="D16" s="98">
        <f>2505241.1-288119.91+1042294.65+1309796.78</f>
        <v>4569212.62</v>
      </c>
      <c r="E16" s="19" t="str">
        <f t="shared" si="0"/>
        <v> </v>
      </c>
      <c r="F16" s="98">
        <f>D16-'[2]Maijs'!D16</f>
        <v>526714.6200000001</v>
      </c>
      <c r="G16" s="103" t="s">
        <v>139</v>
      </c>
      <c r="H16" s="95">
        <f>ROUND(B16/1000,0)</f>
        <v>0</v>
      </c>
      <c r="I16" s="96">
        <f t="shared" si="1"/>
        <v>0</v>
      </c>
      <c r="J16" s="95">
        <f>ROUND(D16/1000,0)</f>
        <v>4569</v>
      </c>
      <c r="K16" s="97" t="str">
        <f t="shared" si="2"/>
        <v> </v>
      </c>
      <c r="L16" s="98">
        <f>J16-'[2]Maijs'!J16</f>
        <v>527</v>
      </c>
    </row>
    <row r="17" spans="1:12" ht="15.75" customHeight="1">
      <c r="A17" s="90" t="s">
        <v>140</v>
      </c>
      <c r="B17" s="86">
        <f>SUM(B18,B19,B20,B21,B22,B23,B24,B28,B30)</f>
        <v>80229200</v>
      </c>
      <c r="C17" s="87">
        <v>1.001</v>
      </c>
      <c r="D17" s="86">
        <f>SUM(D18,D19,D20,D21,D22,D23,D24,D28,D30)</f>
        <v>26951664.32</v>
      </c>
      <c r="E17" s="19">
        <f t="shared" si="0"/>
        <v>0.33593335493810234</v>
      </c>
      <c r="F17" s="86">
        <f>SUM(F18,F19,F20,F21,F22,F23,F24,F28,F30)</f>
        <v>7584656.32</v>
      </c>
      <c r="G17" s="90" t="s">
        <v>140</v>
      </c>
      <c r="H17" s="91">
        <f>SUM(H18,H19,H20,H21,H22,H23,H24,H28,H30)</f>
        <v>80229</v>
      </c>
      <c r="I17" s="92">
        <f t="shared" si="1"/>
        <v>1.001</v>
      </c>
      <c r="J17" s="91">
        <f>SUM(J18,J19,J20,J21,J22,J23,J24,J28,J30)</f>
        <v>26951</v>
      </c>
      <c r="K17" s="93">
        <f t="shared" si="2"/>
        <v>0.3359259120766805</v>
      </c>
      <c r="L17" s="91">
        <f>SUM(L18,L19,L20,L21,L22,L23,L24,L28,L30)</f>
        <v>7583</v>
      </c>
    </row>
    <row r="18" spans="1:12" ht="15.75" customHeight="1">
      <c r="A18" s="63" t="s">
        <v>141</v>
      </c>
      <c r="B18" s="98">
        <v>1000000</v>
      </c>
      <c r="C18" s="99">
        <v>1</v>
      </c>
      <c r="D18" s="98">
        <v>3363566.88</v>
      </c>
      <c r="E18" s="19">
        <f t="shared" si="0"/>
        <v>3.36356688</v>
      </c>
      <c r="F18" s="98">
        <f>D18-'[2]Maijs'!D18</f>
        <v>3165836.88</v>
      </c>
      <c r="G18" s="63" t="s">
        <v>141</v>
      </c>
      <c r="H18" s="98">
        <f aca="true" t="shared" si="3" ref="H18:H23">ROUND(B18/1000,0)</f>
        <v>1000</v>
      </c>
      <c r="I18" s="100">
        <f t="shared" si="1"/>
        <v>1</v>
      </c>
      <c r="J18" s="98">
        <f aca="true" t="shared" si="4" ref="J18:J29">ROUND(D18/1000,0)</f>
        <v>3364</v>
      </c>
      <c r="K18" s="101">
        <f t="shared" si="2"/>
        <v>3.364</v>
      </c>
      <c r="L18" s="98">
        <f>J18-'[2]Maijs'!J18</f>
        <v>3166</v>
      </c>
    </row>
    <row r="19" spans="1:12" ht="15" customHeight="1">
      <c r="A19" s="21" t="s">
        <v>142</v>
      </c>
      <c r="B19" s="98">
        <v>7006000</v>
      </c>
      <c r="C19" s="99">
        <v>1</v>
      </c>
      <c r="D19" s="98">
        <v>3720475.08</v>
      </c>
      <c r="E19" s="19">
        <f t="shared" si="0"/>
        <v>0.5310412617756209</v>
      </c>
      <c r="F19" s="98">
        <f>D19-'[2]Maijs'!D19</f>
        <v>200976.08000000007</v>
      </c>
      <c r="G19" s="21" t="s">
        <v>142</v>
      </c>
      <c r="H19" s="98">
        <f t="shared" si="3"/>
        <v>7006</v>
      </c>
      <c r="I19" s="100">
        <f t="shared" si="1"/>
        <v>1</v>
      </c>
      <c r="J19" s="98">
        <f t="shared" si="4"/>
        <v>3720</v>
      </c>
      <c r="K19" s="101">
        <f t="shared" si="2"/>
        <v>0.5309734513274337</v>
      </c>
      <c r="L19" s="98">
        <f>J19-'[2]Maijs'!J19</f>
        <v>200</v>
      </c>
    </row>
    <row r="20" spans="1:12" ht="30" customHeight="1">
      <c r="A20" s="63" t="s">
        <v>143</v>
      </c>
      <c r="B20" s="98">
        <v>10860000</v>
      </c>
      <c r="C20" s="99">
        <v>1</v>
      </c>
      <c r="D20" s="98">
        <v>5030323.36</v>
      </c>
      <c r="E20" s="19">
        <f t="shared" si="0"/>
        <v>0.4631973627992634</v>
      </c>
      <c r="F20" s="98">
        <f>D20-'[2]Maijs'!D20</f>
        <v>948822.3600000003</v>
      </c>
      <c r="G20" s="63" t="s">
        <v>143</v>
      </c>
      <c r="H20" s="98">
        <f t="shared" si="3"/>
        <v>10860</v>
      </c>
      <c r="I20" s="100">
        <f t="shared" si="1"/>
        <v>1</v>
      </c>
      <c r="J20" s="98">
        <f t="shared" si="4"/>
        <v>5030</v>
      </c>
      <c r="K20" s="101">
        <f t="shared" si="2"/>
        <v>0.4631675874769797</v>
      </c>
      <c r="L20" s="98">
        <f>J20-'[2]Maijs'!J20</f>
        <v>948</v>
      </c>
    </row>
    <row r="21" spans="1:12" ht="25.5" customHeight="1">
      <c r="A21" s="63" t="s">
        <v>144</v>
      </c>
      <c r="B21" s="98">
        <v>400000</v>
      </c>
      <c r="C21" s="99">
        <v>1</v>
      </c>
      <c r="D21" s="98">
        <v>310922.41</v>
      </c>
      <c r="E21" s="19">
        <f t="shared" si="0"/>
        <v>0.7773060249999999</v>
      </c>
      <c r="F21" s="98">
        <f>D21-'[2]Maijs'!D21</f>
        <v>57515.409999999974</v>
      </c>
      <c r="G21" s="63" t="s">
        <v>144</v>
      </c>
      <c r="H21" s="98">
        <f t="shared" si="3"/>
        <v>400</v>
      </c>
      <c r="I21" s="100">
        <f t="shared" si="1"/>
        <v>1</v>
      </c>
      <c r="J21" s="98">
        <f t="shared" si="4"/>
        <v>311</v>
      </c>
      <c r="K21" s="101">
        <f t="shared" si="2"/>
        <v>0.7775</v>
      </c>
      <c r="L21" s="98">
        <f>J21-'[2]Maijs'!J21</f>
        <v>57</v>
      </c>
    </row>
    <row r="22" spans="1:12" ht="15.75" customHeight="1">
      <c r="A22" s="63" t="s">
        <v>145</v>
      </c>
      <c r="B22" s="98">
        <v>250000</v>
      </c>
      <c r="C22" s="99">
        <v>2.22</v>
      </c>
      <c r="D22" s="98">
        <v>675305.21</v>
      </c>
      <c r="E22" s="19">
        <f t="shared" si="0"/>
        <v>2.70122084</v>
      </c>
      <c r="F22" s="98">
        <f>D22-'[2]Maijs'!D22</f>
        <v>13081.209999999963</v>
      </c>
      <c r="G22" s="63" t="s">
        <v>145</v>
      </c>
      <c r="H22" s="98">
        <f t="shared" si="3"/>
        <v>250</v>
      </c>
      <c r="I22" s="100">
        <f t="shared" si="1"/>
        <v>2.22</v>
      </c>
      <c r="J22" s="98">
        <f t="shared" si="4"/>
        <v>675</v>
      </c>
      <c r="K22" s="101">
        <f t="shared" si="2"/>
        <v>2.7</v>
      </c>
      <c r="L22" s="98">
        <f>J22-'[2]Maijs'!J22</f>
        <v>13</v>
      </c>
    </row>
    <row r="23" spans="1:12" ht="15.75" customHeight="1">
      <c r="A23" s="21" t="s">
        <v>146</v>
      </c>
      <c r="B23" s="98">
        <v>4250000</v>
      </c>
      <c r="C23" s="99">
        <v>1</v>
      </c>
      <c r="D23" s="98">
        <v>2335795.14</v>
      </c>
      <c r="E23" s="19">
        <f t="shared" si="0"/>
        <v>0.5495988564705883</v>
      </c>
      <c r="F23" s="98">
        <f>D23-'[2]Maijs'!D23</f>
        <v>328641.14000000013</v>
      </c>
      <c r="G23" s="21" t="s">
        <v>146</v>
      </c>
      <c r="H23" s="98">
        <f t="shared" si="3"/>
        <v>4250</v>
      </c>
      <c r="I23" s="100">
        <f t="shared" si="1"/>
        <v>1</v>
      </c>
      <c r="J23" s="98">
        <f t="shared" si="4"/>
        <v>2336</v>
      </c>
      <c r="K23" s="101">
        <f t="shared" si="2"/>
        <v>0.5496470588235294</v>
      </c>
      <c r="L23" s="98">
        <f>J23-'[2]Maijs'!J23</f>
        <v>329</v>
      </c>
    </row>
    <row r="24" spans="1:12" ht="15.75" customHeight="1">
      <c r="A24" s="21" t="s">
        <v>147</v>
      </c>
      <c r="B24" s="98">
        <f>SUM(B25,B26,B27)</f>
        <v>15801200</v>
      </c>
      <c r="C24" s="99">
        <v>0.986</v>
      </c>
      <c r="D24" s="98">
        <f>597.21+8.98+1703772.74+4509.98+4849458.51+5195.03</f>
        <v>6563542.45</v>
      </c>
      <c r="E24" s="19">
        <f t="shared" si="0"/>
        <v>0.41538253107358936</v>
      </c>
      <c r="F24" s="98">
        <f>D24-'[2]Maijs'!D24</f>
        <v>1126313.4500000002</v>
      </c>
      <c r="G24" s="21" t="s">
        <v>147</v>
      </c>
      <c r="H24" s="98">
        <f>SUM(H25,H26,H27)</f>
        <v>15801</v>
      </c>
      <c r="I24" s="100">
        <f t="shared" si="1"/>
        <v>0.986</v>
      </c>
      <c r="J24" s="98">
        <f t="shared" si="4"/>
        <v>6564</v>
      </c>
      <c r="K24" s="101">
        <f t="shared" si="2"/>
        <v>0.41541674577558385</v>
      </c>
      <c r="L24" s="98">
        <f>J24-'[2]Maijs'!J24</f>
        <v>1127</v>
      </c>
    </row>
    <row r="25" spans="1:12" ht="27" customHeight="1">
      <c r="A25" s="104" t="s">
        <v>148</v>
      </c>
      <c r="B25" s="98">
        <v>11800000</v>
      </c>
      <c r="C25" s="99">
        <v>0.967</v>
      </c>
      <c r="D25" s="98">
        <v>3761528</v>
      </c>
      <c r="E25" s="19">
        <f t="shared" si="0"/>
        <v>0.3187735593220339</v>
      </c>
      <c r="F25" s="98">
        <f>D25-'[2]Maijs'!D25</f>
        <v>840308</v>
      </c>
      <c r="G25" s="104" t="s">
        <v>148</v>
      </c>
      <c r="H25" s="105">
        <f>ROUND(B25/1000,0)</f>
        <v>11800</v>
      </c>
      <c r="I25" s="106">
        <f t="shared" si="1"/>
        <v>0.967</v>
      </c>
      <c r="J25" s="105">
        <f t="shared" si="4"/>
        <v>3762</v>
      </c>
      <c r="K25" s="107">
        <f t="shared" si="2"/>
        <v>0.3188135593220339</v>
      </c>
      <c r="L25" s="105">
        <f>J25-'[2]Maijs'!J25</f>
        <v>841</v>
      </c>
    </row>
    <row r="26" spans="1:12" ht="25.5" customHeight="1">
      <c r="A26" s="104" t="s">
        <v>149</v>
      </c>
      <c r="B26" s="98">
        <v>1201200</v>
      </c>
      <c r="C26" s="99">
        <v>1</v>
      </c>
      <c r="D26" s="98">
        <v>400399</v>
      </c>
      <c r="E26" s="19">
        <f t="shared" si="0"/>
        <v>0.3333325008325008</v>
      </c>
      <c r="F26" s="98">
        <f>D26-'[2]Maijs'!D26</f>
        <v>0</v>
      </c>
      <c r="G26" s="104" t="s">
        <v>149</v>
      </c>
      <c r="H26" s="105">
        <f>ROUND(B26/1000,0)</f>
        <v>1201</v>
      </c>
      <c r="I26" s="106">
        <f t="shared" si="1"/>
        <v>1</v>
      </c>
      <c r="J26" s="105">
        <f t="shared" si="4"/>
        <v>400</v>
      </c>
      <c r="K26" s="107">
        <f t="shared" si="2"/>
        <v>0.33305578684429643</v>
      </c>
      <c r="L26" s="105">
        <f>J26-'[2]Maijs'!J26</f>
        <v>0</v>
      </c>
    </row>
    <row r="27" spans="1:12" ht="18" customHeight="1">
      <c r="A27" s="104" t="s">
        <v>150</v>
      </c>
      <c r="B27" s="98">
        <v>2800000</v>
      </c>
      <c r="C27" s="99">
        <v>1</v>
      </c>
      <c r="D27" s="98">
        <v>2401615</v>
      </c>
      <c r="E27" s="19">
        <f t="shared" si="0"/>
        <v>0.8577196428571429</v>
      </c>
      <c r="F27" s="98">
        <f>D27-'[2]Maijs'!D27</f>
        <v>286005</v>
      </c>
      <c r="G27" s="104" t="s">
        <v>150</v>
      </c>
      <c r="H27" s="105">
        <f>ROUND(B27/1000,0)</f>
        <v>2800</v>
      </c>
      <c r="I27" s="106">
        <f t="shared" si="1"/>
        <v>1</v>
      </c>
      <c r="J27" s="105">
        <f t="shared" si="4"/>
        <v>2402</v>
      </c>
      <c r="K27" s="107">
        <f t="shared" si="2"/>
        <v>0.8578571428571429</v>
      </c>
      <c r="L27" s="105">
        <f>J27-'[2]Maijs'!J27</f>
        <v>286</v>
      </c>
    </row>
    <row r="28" spans="1:12" ht="15" customHeight="1">
      <c r="A28" s="63" t="s">
        <v>151</v>
      </c>
      <c r="B28" s="98">
        <v>36212000</v>
      </c>
      <c r="C28" s="99">
        <v>1</v>
      </c>
      <c r="D28" s="98">
        <v>3512000</v>
      </c>
      <c r="E28" s="19">
        <f t="shared" si="0"/>
        <v>0.09698442505246879</v>
      </c>
      <c r="F28" s="98">
        <f>D28-'[2]Maijs'!D28</f>
        <v>1412000</v>
      </c>
      <c r="G28" s="63" t="s">
        <v>151</v>
      </c>
      <c r="H28" s="98">
        <f>ROUND(B28/1000,0)</f>
        <v>36212</v>
      </c>
      <c r="I28" s="100">
        <f t="shared" si="1"/>
        <v>1</v>
      </c>
      <c r="J28" s="98">
        <f t="shared" si="4"/>
        <v>3512</v>
      </c>
      <c r="K28" s="101">
        <f t="shared" si="2"/>
        <v>0.09698442505246879</v>
      </c>
      <c r="L28" s="98">
        <f>J28-'[2]Maijs'!J28</f>
        <v>1412</v>
      </c>
    </row>
    <row r="29" spans="1:12" ht="27" customHeight="1">
      <c r="A29" s="104" t="s">
        <v>152</v>
      </c>
      <c r="B29" s="98">
        <v>36212000</v>
      </c>
      <c r="C29" s="99">
        <v>1</v>
      </c>
      <c r="D29" s="98">
        <v>3512000</v>
      </c>
      <c r="E29" s="19">
        <f t="shared" si="0"/>
        <v>0.09698442505246879</v>
      </c>
      <c r="F29" s="98">
        <f>D29-'[2]Maijs'!D29</f>
        <v>1412000</v>
      </c>
      <c r="G29" s="104" t="s">
        <v>152</v>
      </c>
      <c r="H29" s="105">
        <f>ROUND(B29/1000,0)</f>
        <v>36212</v>
      </c>
      <c r="I29" s="106">
        <f t="shared" si="1"/>
        <v>1</v>
      </c>
      <c r="J29" s="108">
        <f t="shared" si="4"/>
        <v>3512</v>
      </c>
      <c r="K29" s="107">
        <f t="shared" si="2"/>
        <v>0.09698442505246879</v>
      </c>
      <c r="L29" s="105">
        <f>J29-'[2]Maijs'!J29</f>
        <v>1412</v>
      </c>
    </row>
    <row r="30" spans="1:12" ht="15" customHeight="1">
      <c r="A30" s="63" t="s">
        <v>153</v>
      </c>
      <c r="B30" s="98">
        <f>SUM(B31,B32)</f>
        <v>4450000</v>
      </c>
      <c r="C30" s="99">
        <v>1</v>
      </c>
      <c r="D30" s="98">
        <f>SUM(D31,D32)</f>
        <v>1439733.79</v>
      </c>
      <c r="E30" s="19">
        <f t="shared" si="0"/>
        <v>0.3235356831460674</v>
      </c>
      <c r="F30" s="98">
        <f>D30-'[2]Maijs'!D30</f>
        <v>331469.79000000004</v>
      </c>
      <c r="G30" s="63" t="s">
        <v>153</v>
      </c>
      <c r="H30" s="98">
        <f>SUM(H31,H32)</f>
        <v>4450</v>
      </c>
      <c r="I30" s="100">
        <f t="shared" si="1"/>
        <v>1</v>
      </c>
      <c r="J30" s="98">
        <f>SUM(J31,J32)</f>
        <v>1439</v>
      </c>
      <c r="K30" s="101">
        <f t="shared" si="2"/>
        <v>0.3233707865168539</v>
      </c>
      <c r="L30" s="98">
        <f>J30-'[2]Maijs'!J30</f>
        <v>331</v>
      </c>
    </row>
    <row r="31" spans="1:12" ht="26.25" customHeight="1">
      <c r="A31" s="104" t="s">
        <v>154</v>
      </c>
      <c r="B31" s="98">
        <v>1450000</v>
      </c>
      <c r="C31" s="99">
        <v>1</v>
      </c>
      <c r="D31" s="98">
        <v>711250</v>
      </c>
      <c r="E31" s="19">
        <f t="shared" si="0"/>
        <v>0.49051724137931035</v>
      </c>
      <c r="F31" s="98">
        <f>D31-'[2]Maijs'!D31</f>
        <v>0</v>
      </c>
      <c r="G31" s="104" t="s">
        <v>154</v>
      </c>
      <c r="H31" s="105">
        <f>ROUND(B31/1000,0)</f>
        <v>1450</v>
      </c>
      <c r="I31" s="106">
        <f t="shared" si="1"/>
        <v>1</v>
      </c>
      <c r="J31" s="105">
        <f>ROUND(D31/1000,0)</f>
        <v>711</v>
      </c>
      <c r="K31" s="107">
        <f t="shared" si="2"/>
        <v>0.4903448275862069</v>
      </c>
      <c r="L31" s="105">
        <f>J31-'[2]Maijs'!J31</f>
        <v>0</v>
      </c>
    </row>
    <row r="32" spans="1:12" ht="30.75" customHeight="1">
      <c r="A32" s="104" t="s">
        <v>155</v>
      </c>
      <c r="B32" s="98">
        <v>3000000</v>
      </c>
      <c r="C32" s="99">
        <v>1</v>
      </c>
      <c r="D32" s="98">
        <v>728483.79</v>
      </c>
      <c r="E32" s="19">
        <f t="shared" si="0"/>
        <v>0.24282793000000003</v>
      </c>
      <c r="F32" s="98">
        <f>D32-'[2]Maijs'!D32</f>
        <v>331469.79000000004</v>
      </c>
      <c r="G32" s="104" t="s">
        <v>155</v>
      </c>
      <c r="H32" s="105">
        <f>ROUND(B32/1000,0)</f>
        <v>3000</v>
      </c>
      <c r="I32" s="106">
        <f t="shared" si="1"/>
        <v>1</v>
      </c>
      <c r="J32" s="105">
        <f>ROUND(D32/1000,0)</f>
        <v>728</v>
      </c>
      <c r="K32" s="107">
        <f t="shared" si="2"/>
        <v>0.24266666666666667</v>
      </c>
      <c r="L32" s="105">
        <f>J32-'[2]Maijs'!J32</f>
        <v>331</v>
      </c>
    </row>
    <row r="33" spans="1:12" ht="12.75">
      <c r="A33" s="109" t="s">
        <v>156</v>
      </c>
      <c r="B33" s="86">
        <f>SUM(B34)</f>
        <v>63226723</v>
      </c>
      <c r="C33" s="87">
        <v>1</v>
      </c>
      <c r="D33" s="86">
        <f>SUM(D34)</f>
        <v>27824590.11</v>
      </c>
      <c r="E33" s="19">
        <f t="shared" si="0"/>
        <v>0.44007642322376883</v>
      </c>
      <c r="F33" s="86">
        <f>SUM(F34)</f>
        <v>4540420.109999999</v>
      </c>
      <c r="G33" s="109" t="s">
        <v>156</v>
      </c>
      <c r="H33" s="91">
        <f>SUM(H34)</f>
        <v>63227</v>
      </c>
      <c r="I33" s="92">
        <f t="shared" si="1"/>
        <v>1</v>
      </c>
      <c r="J33" s="91">
        <f>SUM(J34)</f>
        <v>27825</v>
      </c>
      <c r="K33" s="93">
        <f t="shared" si="2"/>
        <v>0.4400809780631692</v>
      </c>
      <c r="L33" s="98">
        <f>J33-'[2]Maijs'!J33</f>
        <v>4541</v>
      </c>
    </row>
    <row r="34" spans="1:12" ht="12.75">
      <c r="A34" s="63" t="s">
        <v>157</v>
      </c>
      <c r="B34" s="98">
        <v>63226723</v>
      </c>
      <c r="C34" s="99">
        <v>1</v>
      </c>
      <c r="D34" s="98">
        <v>27824590.11</v>
      </c>
      <c r="E34" s="19">
        <f t="shared" si="0"/>
        <v>0.44007642322376883</v>
      </c>
      <c r="F34" s="98">
        <f>D34-'[2]Maijs'!D34</f>
        <v>4540420.109999999</v>
      </c>
      <c r="G34" s="63" t="s">
        <v>157</v>
      </c>
      <c r="H34" s="98">
        <f>ROUND(B34/1000,0)</f>
        <v>63227</v>
      </c>
      <c r="I34" s="100">
        <f t="shared" si="1"/>
        <v>1</v>
      </c>
      <c r="J34" s="98">
        <f>ROUND(D34/1000,0)</f>
        <v>27825</v>
      </c>
      <c r="K34" s="101">
        <f t="shared" si="2"/>
        <v>0.4400809780631692</v>
      </c>
      <c r="L34" s="98">
        <f>J34-'[2]Maijs'!J34</f>
        <v>4541</v>
      </c>
    </row>
    <row r="35" spans="1:12" ht="4.5" customHeight="1">
      <c r="A35" s="110"/>
      <c r="B35" s="111"/>
      <c r="C35" s="112"/>
      <c r="D35" s="111">
        <v>0.3</v>
      </c>
      <c r="E35" s="113"/>
      <c r="F35" s="98"/>
      <c r="G35" s="110"/>
      <c r="H35" s="111"/>
      <c r="I35" s="114"/>
      <c r="J35" s="111"/>
      <c r="K35" s="113"/>
      <c r="L35" s="115"/>
    </row>
    <row r="36" spans="1:11" ht="12.75">
      <c r="A36" s="116" t="s">
        <v>158</v>
      </c>
      <c r="B36" s="111"/>
      <c r="C36" s="112"/>
      <c r="D36" s="111"/>
      <c r="E36" s="113"/>
      <c r="G36" s="116" t="s">
        <v>159</v>
      </c>
      <c r="H36" s="111"/>
      <c r="I36" s="114"/>
      <c r="J36" s="111"/>
      <c r="K36" s="113"/>
    </row>
    <row r="37" spans="1:11" ht="12.75">
      <c r="A37" s="116" t="s">
        <v>160</v>
      </c>
      <c r="B37" s="111"/>
      <c r="C37" s="112"/>
      <c r="D37" s="111"/>
      <c r="E37" s="113"/>
      <c r="G37" s="116" t="s">
        <v>161</v>
      </c>
      <c r="H37" s="111"/>
      <c r="I37" s="114"/>
      <c r="J37" s="111"/>
      <c r="K37" s="113"/>
    </row>
    <row r="38" spans="1:11" ht="13.5" customHeight="1">
      <c r="A38" s="116"/>
      <c r="B38" s="117"/>
      <c r="C38" s="75"/>
      <c r="D38" s="118"/>
      <c r="E38" s="118"/>
      <c r="G38" s="116"/>
      <c r="H38" s="117"/>
      <c r="I38" s="117"/>
      <c r="J38" s="118"/>
      <c r="K38" s="118"/>
    </row>
    <row r="39" spans="1:11" ht="29.25" customHeight="1">
      <c r="A39" s="29" t="s">
        <v>162</v>
      </c>
      <c r="B39" s="119"/>
      <c r="C39" s="77"/>
      <c r="D39" s="65"/>
      <c r="E39" s="66"/>
      <c r="H39" s="119"/>
      <c r="I39" s="69"/>
      <c r="J39" s="65"/>
      <c r="K39" s="66"/>
    </row>
    <row r="40" spans="1:11" ht="32.25" customHeight="1">
      <c r="A40" s="116"/>
      <c r="B40" s="120"/>
      <c r="C40" s="77"/>
      <c r="D40" s="69"/>
      <c r="E40" s="66"/>
      <c r="G40" s="116"/>
      <c r="H40" s="120"/>
      <c r="I40" s="69"/>
      <c r="J40" s="69"/>
      <c r="K40" s="66"/>
    </row>
    <row r="41" spans="1:11" ht="12.75">
      <c r="A41" s="29" t="s">
        <v>91</v>
      </c>
      <c r="B41" s="29"/>
      <c r="C41" s="77"/>
      <c r="D41" s="29"/>
      <c r="E41" s="29"/>
      <c r="G41" s="29" t="s">
        <v>162</v>
      </c>
      <c r="H41" s="29"/>
      <c r="I41" s="29"/>
      <c r="J41" s="29"/>
      <c r="K41" s="29"/>
    </row>
    <row r="42" spans="1:5" ht="12.75">
      <c r="A42" s="29" t="s">
        <v>93</v>
      </c>
      <c r="B42" s="29"/>
      <c r="C42" s="77"/>
      <c r="D42" s="29"/>
      <c r="E42" s="29"/>
    </row>
    <row r="43" spans="1:11" ht="12.75" hidden="1">
      <c r="A43" s="29"/>
      <c r="B43" s="69"/>
      <c r="C43" s="77"/>
      <c r="D43" s="69"/>
      <c r="E43" s="29"/>
      <c r="G43" s="29"/>
      <c r="H43" s="69"/>
      <c r="I43" s="69"/>
      <c r="J43" s="69"/>
      <c r="K43" s="29"/>
    </row>
    <row r="46" spans="1:7" ht="12.75">
      <c r="A46" s="29"/>
      <c r="B46" s="29"/>
      <c r="C46" s="77"/>
      <c r="D46" s="29"/>
      <c r="E46" s="29"/>
      <c r="G46" s="29" t="s">
        <v>91</v>
      </c>
    </row>
    <row r="47" ht="12.75">
      <c r="G47" s="29" t="s">
        <v>93</v>
      </c>
    </row>
    <row r="48" ht="12.75" hidden="1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3"/>
  <sheetViews>
    <sheetView workbookViewId="0" topLeftCell="H1">
      <selection activeCell="B6" sqref="B6"/>
    </sheetView>
  </sheetViews>
  <sheetFormatPr defaultColWidth="9.140625" defaultRowHeight="12.75"/>
  <cols>
    <col min="1" max="1" width="29.57421875" style="1" hidden="1" customWidth="1"/>
    <col min="2" max="2" width="11.421875" style="1" hidden="1" customWidth="1"/>
    <col min="3" max="3" width="13.421875" style="1" hidden="1" customWidth="1"/>
    <col min="4" max="4" width="12.8515625" style="1" hidden="1" customWidth="1"/>
    <col min="5" max="5" width="9.00390625" style="1" hidden="1" customWidth="1"/>
    <col min="6" max="6" width="10.57421875" style="1" hidden="1" customWidth="1"/>
    <col min="7" max="7" width="11.57421875" style="1" hidden="1" customWidth="1"/>
    <col min="8" max="8" width="32.57421875" style="1" customWidth="1"/>
    <col min="9" max="9" width="9.8515625" style="1" customWidth="1"/>
    <col min="10" max="10" width="11.00390625" style="1" customWidth="1"/>
    <col min="11" max="11" width="11.140625" style="1" customWidth="1"/>
    <col min="12" max="12" width="10.7109375" style="1" customWidth="1"/>
    <col min="13" max="13" width="10.57421875" style="1" customWidth="1"/>
    <col min="14" max="14" width="10.8515625" style="1" customWidth="1"/>
    <col min="15" max="16384" width="9.140625" style="1" customWidth="1"/>
  </cols>
  <sheetData>
    <row r="1" spans="1:24" ht="17.25" customHeight="1">
      <c r="A1" s="3" t="s">
        <v>163</v>
      </c>
      <c r="B1" s="3"/>
      <c r="C1" s="74"/>
      <c r="D1" s="3"/>
      <c r="E1" s="3"/>
      <c r="F1" s="74"/>
      <c r="G1" s="1" t="s">
        <v>164</v>
      </c>
      <c r="H1" s="3" t="s">
        <v>163</v>
      </c>
      <c r="I1" s="3"/>
      <c r="J1" s="74"/>
      <c r="K1" s="3"/>
      <c r="L1" s="3"/>
      <c r="M1" s="74"/>
      <c r="N1" s="1" t="s">
        <v>164</v>
      </c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6" customHeight="1">
      <c r="A2" s="3"/>
      <c r="B2" s="3"/>
      <c r="C2" s="74"/>
      <c r="D2" s="3"/>
      <c r="E2" s="3"/>
      <c r="F2" s="74"/>
      <c r="G2" s="29"/>
      <c r="H2" s="3"/>
      <c r="I2" s="3"/>
      <c r="J2" s="74"/>
      <c r="K2" s="3"/>
      <c r="L2" s="3"/>
      <c r="M2" s="74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.75" customHeight="1">
      <c r="A3" s="78" t="s">
        <v>165</v>
      </c>
      <c r="B3" s="74"/>
      <c r="C3" s="74"/>
      <c r="D3" s="74"/>
      <c r="E3" s="74"/>
      <c r="F3" s="74"/>
      <c r="G3" s="29"/>
      <c r="H3" s="78" t="s">
        <v>165</v>
      </c>
      <c r="I3" s="74"/>
      <c r="J3" s="74"/>
      <c r="K3" s="74"/>
      <c r="L3" s="74"/>
      <c r="M3" s="74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9.5" customHeight="1">
      <c r="A4" s="78" t="s">
        <v>166</v>
      </c>
      <c r="B4" s="74"/>
      <c r="C4" s="74"/>
      <c r="D4" s="74"/>
      <c r="E4" s="74"/>
      <c r="F4" s="74"/>
      <c r="G4" s="29"/>
      <c r="H4" s="78" t="s">
        <v>99</v>
      </c>
      <c r="I4" s="74"/>
      <c r="J4" s="74"/>
      <c r="K4" s="74"/>
      <c r="L4" s="74"/>
      <c r="M4" s="74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3.5" customHeight="1">
      <c r="A5" s="29"/>
      <c r="B5" s="29"/>
      <c r="C5" s="29"/>
      <c r="D5" s="67"/>
      <c r="E5" s="73"/>
      <c r="F5" s="29"/>
      <c r="G5" s="29" t="s">
        <v>100</v>
      </c>
      <c r="H5" s="29"/>
      <c r="I5" s="29"/>
      <c r="J5" s="29"/>
      <c r="K5" s="67"/>
      <c r="L5" s="73"/>
      <c r="M5" s="29"/>
      <c r="N5" s="29" t="s">
        <v>100</v>
      </c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74.25" customHeight="1">
      <c r="A6" s="7" t="s">
        <v>7</v>
      </c>
      <c r="B6" s="7" t="s">
        <v>8</v>
      </c>
      <c r="C6" s="7" t="s">
        <v>167</v>
      </c>
      <c r="D6" s="7" t="s">
        <v>9</v>
      </c>
      <c r="E6" s="7" t="s">
        <v>168</v>
      </c>
      <c r="F6" s="7" t="s">
        <v>169</v>
      </c>
      <c r="G6" s="7" t="s">
        <v>170</v>
      </c>
      <c r="H6" s="7" t="s">
        <v>7</v>
      </c>
      <c r="I6" s="7" t="s">
        <v>8</v>
      </c>
      <c r="J6" s="7" t="s">
        <v>167</v>
      </c>
      <c r="K6" s="7" t="s">
        <v>9</v>
      </c>
      <c r="L6" s="7" t="s">
        <v>168</v>
      </c>
      <c r="M6" s="7" t="s">
        <v>169</v>
      </c>
      <c r="N6" s="7" t="s">
        <v>170</v>
      </c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121">
        <v>7</v>
      </c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  <c r="N7" s="121">
        <v>7</v>
      </c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s="125" customFormat="1" ht="15" customHeight="1">
      <c r="A8" s="85" t="s">
        <v>171</v>
      </c>
      <c r="B8" s="122">
        <f>SUM(B9:B10)</f>
        <v>720918773</v>
      </c>
      <c r="C8" s="122">
        <f>SUM(C9:C10)</f>
        <v>351605307</v>
      </c>
      <c r="D8" s="122">
        <f>SUM(D9:D10)</f>
        <v>329701644.21</v>
      </c>
      <c r="E8" s="11">
        <f>IF(ISERROR(D8/B8)," ",(D8/B8))</f>
        <v>0.45733535671153897</v>
      </c>
      <c r="F8" s="11">
        <f>IF(ISERROR(D8/C8)," ",(D8/C8))</f>
        <v>0.9377038333781463</v>
      </c>
      <c r="G8" s="122">
        <f>SUM(G9:G10)</f>
        <v>58724464.21</v>
      </c>
      <c r="H8" s="85" t="s">
        <v>171</v>
      </c>
      <c r="I8" s="122">
        <f>SUM(I9:I10)</f>
        <v>720919</v>
      </c>
      <c r="J8" s="122">
        <f>SUM(J9:J10)</f>
        <v>351605</v>
      </c>
      <c r="K8" s="122">
        <f>SUM(K9:K10)</f>
        <v>329701</v>
      </c>
      <c r="L8" s="123">
        <f>IF(ISERROR(ROUND(K8,0)/ROUND(I8,0))," ",(ROUND(K8,)/ROUND(I8,)))</f>
        <v>0.45733431911213324</v>
      </c>
      <c r="M8" s="123">
        <f>IF(ISERROR(ROUND(K8,0)/ROUND(J8,0))," ",(ROUND(K8,)/ROUND(J8,)))</f>
        <v>0.937702819925769</v>
      </c>
      <c r="N8" s="122">
        <f>SUM(N9:N10)</f>
        <v>58724</v>
      </c>
      <c r="O8" s="124"/>
      <c r="P8" s="124"/>
      <c r="Q8" s="124"/>
      <c r="R8" s="124"/>
      <c r="S8" s="124"/>
      <c r="T8" s="124"/>
      <c r="U8" s="124"/>
      <c r="V8" s="124"/>
      <c r="W8" s="124"/>
      <c r="X8" s="124"/>
    </row>
    <row r="9" spans="1:24" s="17" customFormat="1" ht="13.5" customHeight="1">
      <c r="A9" s="126" t="s">
        <v>172</v>
      </c>
      <c r="B9" s="127">
        <f>SUM(B12,B15,B18,B21,B24,B27,B30,B33,B36,B39,B42,B45,B48,B53,B56,B59,B62,B65,B68,B71,B74,B77,B79,B81,B84,B89,B92,B86)</f>
        <v>653325305</v>
      </c>
      <c r="C9" s="127">
        <f>SUM(C12,C15,C18,C21,C24,C27,C30,C33,C36,C39,C42,C45,C48,C53,C56,C59,C62,C65,C68,C71,C74,C77,C79,C81,C84,C89,C92,C86)</f>
        <v>323845117</v>
      </c>
      <c r="D9" s="127">
        <f>SUM(D12,D15,D18,D21,D24,D27,D30,D33,D36,D39,D42,D45,D48,D53,D56,D59,D62,D65,D68,D71,D74,D77,D79,D81,D84,D89,D92,D86)</f>
        <v>307343223</v>
      </c>
      <c r="E9" s="19">
        <f aca="true" t="shared" si="0" ref="E9:E72">IF(ISERROR(D9/B9)," ",(D9/B9))</f>
        <v>0.4704290812675624</v>
      </c>
      <c r="F9" s="19">
        <f aca="true" t="shared" si="1" ref="F9:F72">IF(ISERROR(D9/C9)," ",(D9/C9))</f>
        <v>0.9490438696347551</v>
      </c>
      <c r="G9" s="127">
        <f>SUM(G12,G15,G18,G21,G24,G27,G30,G33,G36,G39,G42,G45,G48,G53,G56,G59,G62,G65,G68,G71,G74,G77,G79,G81,G84,G89,G92,G86)</f>
        <v>52561243</v>
      </c>
      <c r="H9" s="126" t="s">
        <v>172</v>
      </c>
      <c r="I9" s="127">
        <f>SUM(I12,I15,I18,I21,I24,I27,I30,I33,I36,I39,I42,I45,I48,I53,I56,I59,I62,I65,I68,I71,I74,I77,I79,I81,I84,I89,I92,I86)</f>
        <v>653326</v>
      </c>
      <c r="J9" s="127">
        <f>SUM(J12,J15,J18,J21,J24,J27,J30,J33,J36,J39,J42,J45,J48,J53,J56,J59,J62,J65,J68,J71,J74,J77,J79,J81,J84,J89,J92,J86)</f>
        <v>323845</v>
      </c>
      <c r="K9" s="127">
        <f>SUM(K12,K15,K18,K21,K24,K27,K30,K33,K36,K39,K42,K45,K48,K53,K56,K59,K62,K65,K68,K71,K74,K77,K79,K81,K84,K89,K92,K86)</f>
        <v>307341</v>
      </c>
      <c r="L9" s="128">
        <f aca="true" t="shared" si="2" ref="L9:L49">IF(ISERROR(ROUND(K9,0)/ROUND(I9,0))," ",(ROUND(K9,)/ROUND(I9,)))</f>
        <v>0.4704251782417966</v>
      </c>
      <c r="M9" s="128">
        <f aca="true" t="shared" si="3" ref="M9:M49">IF(ISERROR(ROUND(K9,0)/ROUND(J9,0))," ",(ROUND(K9,)/ROUND(J9,)))</f>
        <v>0.9490373481140669</v>
      </c>
      <c r="N9" s="127">
        <f>SUM(N12,N15,N18,N21,N24,N27,N30,N33,N36,N39,N42,N45,N48,N53,N56,N59,N62,N65,N68,N71,N74,N77,N79,N81,N84,N89,N92,N86)</f>
        <v>52559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s="17" customFormat="1" ht="14.25" customHeight="1">
      <c r="A10" s="126" t="s">
        <v>173</v>
      </c>
      <c r="B10" s="127">
        <f>SUM(B13,B16,B19,B22,B25,B28,B31,B34,B37,B40,B43,B46,B49,B54,B57,B60,B63,B66,B69,B72,B75,B82,B90,B87)</f>
        <v>67593468</v>
      </c>
      <c r="C10" s="127">
        <f>SUM(C13,C16,C19,C22,C25,C28,C31,C34,C37,C40,C43,C46,C49,C54,C57,C60,C63,C66,C69,C72,C75,C82,C90,C87)</f>
        <v>27760190</v>
      </c>
      <c r="D10" s="127">
        <f>SUM(D13,D16,D19,D22,D25,D28,D31,D34,D37,D40,D43,D46,D49,D54,D57,D60,D63,D66,D69,D72,D75,D82,D90,D87)</f>
        <v>22358421.21</v>
      </c>
      <c r="E10" s="19">
        <f t="shared" si="0"/>
        <v>0.33077783803014815</v>
      </c>
      <c r="F10" s="19">
        <f t="shared" si="1"/>
        <v>0.805413118930382</v>
      </c>
      <c r="G10" s="127">
        <f>SUM(G13,G16,G19,G22,G25,G28,G31,G34,G37,G40,G43,G46,G49,G54,G57,G60,G63,G66,G69,G72,G75,G82,G90,G87)</f>
        <v>6163221.21</v>
      </c>
      <c r="H10" s="126" t="s">
        <v>173</v>
      </c>
      <c r="I10" s="127">
        <f>SUM(I13,I16,I19,I22,I25,I28,I31,I34,I37,I40,I43,I46,I49,I54,I57,I60,I63,I66,I69,I72,I75,I82,I90,I87)</f>
        <v>67593</v>
      </c>
      <c r="J10" s="127">
        <f>SUM(J13,J16,J19,J22,J25,J28,J31,J34,J37,J40,J43,J46,J49,J54,J57,J60,J63,J66,J69,J72,J75,J82,J90,J87)</f>
        <v>27760</v>
      </c>
      <c r="K10" s="127">
        <f>SUM(K13,K16,K19,K22,K25,K28,K31,K34,K37,K40,K43,K46,K49,K54,K57,K60,K63,K66,K69,K72,K75,K82,K90,K87)</f>
        <v>22360</v>
      </c>
      <c r="L10" s="128">
        <f t="shared" si="2"/>
        <v>0.3308034855680322</v>
      </c>
      <c r="M10" s="128">
        <f t="shared" si="3"/>
        <v>0.8054755043227666</v>
      </c>
      <c r="N10" s="127">
        <f>SUM(N13,N16,N19,N22,N25,N28,N31,N34,N37,N40,N43,N46,N49,N54,N57,N60,N63,N66,N69,N72,N75,N82,N90,N87)</f>
        <v>6165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17" customFormat="1" ht="12" customHeight="1">
      <c r="A11" s="32" t="s">
        <v>174</v>
      </c>
      <c r="B11" s="52">
        <f>SUM(B12:B13)</f>
        <v>904668</v>
      </c>
      <c r="C11" s="52">
        <f>SUM(C12:C13)</f>
        <v>567071</v>
      </c>
      <c r="D11" s="52">
        <f>SUM(D12:D13)</f>
        <v>533434</v>
      </c>
      <c r="E11" s="11">
        <f t="shared" si="0"/>
        <v>0.5896461464316192</v>
      </c>
      <c r="F11" s="11">
        <f t="shared" si="1"/>
        <v>0.9406829127216874</v>
      </c>
      <c r="G11" s="52">
        <f>SUM(G12:G13)</f>
        <v>73269</v>
      </c>
      <c r="H11" s="32" t="s">
        <v>174</v>
      </c>
      <c r="I11" s="129">
        <f>SUM(I12:I13)</f>
        <v>904</v>
      </c>
      <c r="J11" s="129">
        <f>SUM(J12:J13)</f>
        <v>566</v>
      </c>
      <c r="K11" s="129">
        <f>SUM(K12:K13)</f>
        <v>533</v>
      </c>
      <c r="L11" s="130">
        <f t="shared" si="2"/>
        <v>0.5896017699115044</v>
      </c>
      <c r="M11" s="130">
        <f t="shared" si="3"/>
        <v>0.941696113074205</v>
      </c>
      <c r="N11" s="129">
        <f>SUM(N12:N13)</f>
        <v>73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s="17" customFormat="1" ht="12.75">
      <c r="A12" s="102" t="s">
        <v>172</v>
      </c>
      <c r="B12" s="131">
        <v>820228</v>
      </c>
      <c r="C12" s="131">
        <v>508631</v>
      </c>
      <c r="D12" s="131">
        <f>533434-24878</f>
        <v>508556</v>
      </c>
      <c r="E12" s="19">
        <f t="shared" si="0"/>
        <v>0.6200178486957285</v>
      </c>
      <c r="F12" s="19">
        <f t="shared" si="1"/>
        <v>0.9998525453619618</v>
      </c>
      <c r="G12" s="131">
        <f>D12-'[3]Maijs'!D12</f>
        <v>73269</v>
      </c>
      <c r="H12" s="102" t="s">
        <v>172</v>
      </c>
      <c r="I12" s="131">
        <f aca="true" t="shared" si="4" ref="I12:K13">ROUND(B12/1000,0)</f>
        <v>820</v>
      </c>
      <c r="J12" s="131">
        <f>ROUND(C12/1000,0)-1</f>
        <v>508</v>
      </c>
      <c r="K12" s="131">
        <f>ROUND(D12/1000,0)-1</f>
        <v>508</v>
      </c>
      <c r="L12" s="128">
        <f t="shared" si="2"/>
        <v>0.6195121951219512</v>
      </c>
      <c r="M12" s="128">
        <f t="shared" si="3"/>
        <v>1</v>
      </c>
      <c r="N12" s="131">
        <f>K12-'[3]Maijs'!K12</f>
        <v>73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s="17" customFormat="1" ht="12.75">
      <c r="A13" s="102" t="s">
        <v>173</v>
      </c>
      <c r="B13" s="131">
        <v>84440</v>
      </c>
      <c r="C13" s="131">
        <v>58440</v>
      </c>
      <c r="D13" s="131">
        <v>24878</v>
      </c>
      <c r="E13" s="19">
        <f t="shared" si="0"/>
        <v>0.29462340123164377</v>
      </c>
      <c r="F13" s="19">
        <f t="shared" si="1"/>
        <v>0.4257015742642026</v>
      </c>
      <c r="G13" s="131">
        <f>D13-'[3]Maijs'!D13</f>
        <v>0</v>
      </c>
      <c r="H13" s="102" t="s">
        <v>173</v>
      </c>
      <c r="I13" s="131">
        <f t="shared" si="4"/>
        <v>84</v>
      </c>
      <c r="J13" s="131">
        <f>ROUND(C13/1000,0)</f>
        <v>58</v>
      </c>
      <c r="K13" s="131">
        <f t="shared" si="4"/>
        <v>25</v>
      </c>
      <c r="L13" s="128">
        <f t="shared" si="2"/>
        <v>0.2976190476190476</v>
      </c>
      <c r="M13" s="128">
        <f t="shared" si="3"/>
        <v>0.43103448275862066</v>
      </c>
      <c r="N13" s="131">
        <f>K13-'[3]Maijs'!K13</f>
        <v>0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s="17" customFormat="1" ht="12.75" customHeight="1">
      <c r="A14" s="132" t="s">
        <v>175</v>
      </c>
      <c r="B14" s="52">
        <f>SUM(B15:B16)</f>
        <v>6388701</v>
      </c>
      <c r="C14" s="52">
        <f>SUM(C15:C16)</f>
        <v>2963837</v>
      </c>
      <c r="D14" s="52">
        <f>SUM(D15:D16)</f>
        <v>2626862</v>
      </c>
      <c r="E14" s="11">
        <f t="shared" si="0"/>
        <v>0.4111731007602328</v>
      </c>
      <c r="F14" s="11">
        <f t="shared" si="1"/>
        <v>0.8863044762583098</v>
      </c>
      <c r="G14" s="52">
        <f>SUM(G15:G16)</f>
        <v>598326</v>
      </c>
      <c r="H14" s="132" t="s">
        <v>175</v>
      </c>
      <c r="I14" s="129">
        <f>SUM(I15:I16)</f>
        <v>6388</v>
      </c>
      <c r="J14" s="129">
        <f>SUM(J15:J16)</f>
        <v>2963</v>
      </c>
      <c r="K14" s="129">
        <f>SUM(K15:K16)</f>
        <v>2627</v>
      </c>
      <c r="L14" s="130">
        <f t="shared" si="2"/>
        <v>0.41123982467125864</v>
      </c>
      <c r="M14" s="130">
        <f t="shared" si="3"/>
        <v>0.8866014174822815</v>
      </c>
      <c r="N14" s="129">
        <f>SUM(N15:N16)</f>
        <v>599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17" customFormat="1" ht="12.75">
      <c r="A15" s="102" t="s">
        <v>172</v>
      </c>
      <c r="B15" s="131">
        <v>5042250</v>
      </c>
      <c r="C15" s="131">
        <v>2389377</v>
      </c>
      <c r="D15" s="131">
        <f>2626862-333969</f>
        <v>2292893</v>
      </c>
      <c r="E15" s="19">
        <f t="shared" si="0"/>
        <v>0.45473608012296096</v>
      </c>
      <c r="F15" s="19">
        <f t="shared" si="1"/>
        <v>0.9596195995860008</v>
      </c>
      <c r="G15" s="131">
        <f>D15-'[3]Maijs'!D15</f>
        <v>515648</v>
      </c>
      <c r="H15" s="102" t="s">
        <v>172</v>
      </c>
      <c r="I15" s="131">
        <f aca="true" t="shared" si="5" ref="I15:K16">ROUND(B15/1000,0)</f>
        <v>5042</v>
      </c>
      <c r="J15" s="131">
        <f t="shared" si="5"/>
        <v>2389</v>
      </c>
      <c r="K15" s="131">
        <f t="shared" si="5"/>
        <v>2293</v>
      </c>
      <c r="L15" s="128">
        <f t="shared" si="2"/>
        <v>0.4547798492661642</v>
      </c>
      <c r="M15" s="128">
        <f t="shared" si="3"/>
        <v>0.9598158225198828</v>
      </c>
      <c r="N15" s="131">
        <f>K15-'[3]Maijs'!K15</f>
        <v>516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17" customFormat="1" ht="12.75">
      <c r="A16" s="102" t="s">
        <v>173</v>
      </c>
      <c r="B16" s="131">
        <v>1346451</v>
      </c>
      <c r="C16" s="131">
        <v>574460</v>
      </c>
      <c r="D16" s="131">
        <f>143736+190233</f>
        <v>333969</v>
      </c>
      <c r="E16" s="19">
        <f t="shared" si="0"/>
        <v>0.2480365048560995</v>
      </c>
      <c r="F16" s="19">
        <f t="shared" si="1"/>
        <v>0.5813616265710406</v>
      </c>
      <c r="G16" s="131">
        <f>D16-'[3]Maijs'!D16</f>
        <v>82678</v>
      </c>
      <c r="H16" s="102" t="s">
        <v>173</v>
      </c>
      <c r="I16" s="131">
        <f>ROUND(B16/1000,0)</f>
        <v>1346</v>
      </c>
      <c r="J16" s="131">
        <f t="shared" si="5"/>
        <v>574</v>
      </c>
      <c r="K16" s="131">
        <f t="shared" si="5"/>
        <v>334</v>
      </c>
      <c r="L16" s="128">
        <f t="shared" si="2"/>
        <v>0.24814264487369986</v>
      </c>
      <c r="M16" s="128">
        <f t="shared" si="3"/>
        <v>0.5818815331010453</v>
      </c>
      <c r="N16" s="131">
        <f>K16-'[3]Maijs'!K16</f>
        <v>83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17" customFormat="1" ht="13.5" customHeight="1">
      <c r="A17" s="132" t="s">
        <v>176</v>
      </c>
      <c r="B17" s="52">
        <f>SUM(B18:B19)</f>
        <v>3940406</v>
      </c>
      <c r="C17" s="52">
        <f>SUM(C18:C19)</f>
        <v>1903966</v>
      </c>
      <c r="D17" s="52">
        <f>SUM(D18:D19)</f>
        <v>1852040</v>
      </c>
      <c r="E17" s="11">
        <f t="shared" si="0"/>
        <v>0.4700124809473948</v>
      </c>
      <c r="F17" s="11">
        <f t="shared" si="1"/>
        <v>0.9727274541667236</v>
      </c>
      <c r="G17" s="52">
        <f>SUM(G18:G19)</f>
        <v>324390</v>
      </c>
      <c r="H17" s="132" t="s">
        <v>176</v>
      </c>
      <c r="I17" s="129">
        <f>SUM(I18:I19)</f>
        <v>3941</v>
      </c>
      <c r="J17" s="129">
        <f>SUM(J18:J19)</f>
        <v>1904</v>
      </c>
      <c r="K17" s="129">
        <f>SUM(K18:K19)</f>
        <v>1852</v>
      </c>
      <c r="L17" s="130">
        <f t="shared" si="2"/>
        <v>0.4699314894696777</v>
      </c>
      <c r="M17" s="130">
        <f t="shared" si="3"/>
        <v>0.9726890756302521</v>
      </c>
      <c r="N17" s="129">
        <f>SUM(N18:N19)</f>
        <v>324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17" customFormat="1" ht="12.75">
      <c r="A18" s="102" t="s">
        <v>172</v>
      </c>
      <c r="B18" s="131">
        <v>3712683</v>
      </c>
      <c r="C18" s="131">
        <v>1799398</v>
      </c>
      <c r="D18" s="131">
        <f>1852040-100404</f>
        <v>1751636</v>
      </c>
      <c r="E18" s="19">
        <f t="shared" si="0"/>
        <v>0.4717978884811873</v>
      </c>
      <c r="F18" s="19">
        <f t="shared" si="1"/>
        <v>0.9734566782890722</v>
      </c>
      <c r="G18" s="131">
        <f>D18-'[3]Maijs'!D18</f>
        <v>309754</v>
      </c>
      <c r="H18" s="102" t="s">
        <v>172</v>
      </c>
      <c r="I18" s="131">
        <f>ROUND(B18/1000,0)</f>
        <v>3713</v>
      </c>
      <c r="J18" s="131">
        <f aca="true" t="shared" si="6" ref="I18:K19">ROUND(C18/1000,0)</f>
        <v>1799</v>
      </c>
      <c r="K18" s="131">
        <f t="shared" si="6"/>
        <v>1752</v>
      </c>
      <c r="L18" s="128">
        <f t="shared" si="2"/>
        <v>0.4718556423377323</v>
      </c>
      <c r="M18" s="128">
        <f t="shared" si="3"/>
        <v>0.9738743746525848</v>
      </c>
      <c r="N18" s="131">
        <f>K18-'[3]Maijs'!K18</f>
        <v>310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17" customFormat="1" ht="12.75">
      <c r="A19" s="102" t="s">
        <v>173</v>
      </c>
      <c r="B19" s="131">
        <v>227723</v>
      </c>
      <c r="C19" s="131">
        <v>104568</v>
      </c>
      <c r="D19" s="131">
        <v>100404</v>
      </c>
      <c r="E19" s="19">
        <f t="shared" si="0"/>
        <v>0.4409040808350496</v>
      </c>
      <c r="F19" s="19">
        <f t="shared" si="1"/>
        <v>0.960179022263025</v>
      </c>
      <c r="G19" s="131">
        <f>D19-'[3]Maijs'!D19</f>
        <v>14636</v>
      </c>
      <c r="H19" s="102" t="s">
        <v>173</v>
      </c>
      <c r="I19" s="131">
        <f t="shared" si="6"/>
        <v>228</v>
      </c>
      <c r="J19" s="131">
        <f t="shared" si="6"/>
        <v>105</v>
      </c>
      <c r="K19" s="131">
        <f t="shared" si="6"/>
        <v>100</v>
      </c>
      <c r="L19" s="128">
        <f t="shared" si="2"/>
        <v>0.43859649122807015</v>
      </c>
      <c r="M19" s="128">
        <f t="shared" si="3"/>
        <v>0.9523809523809523</v>
      </c>
      <c r="N19" s="131">
        <f>K19-'[3]Maijs'!K19</f>
        <v>14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s="17" customFormat="1" ht="15" customHeight="1">
      <c r="A20" s="132" t="s">
        <v>177</v>
      </c>
      <c r="B20" s="52">
        <f>SUM(B21:B22)</f>
        <v>35413803</v>
      </c>
      <c r="C20" s="52">
        <f>SUM(C21:C22)</f>
        <v>13200813</v>
      </c>
      <c r="D20" s="52">
        <f>SUM(D21:D22)</f>
        <v>11687275</v>
      </c>
      <c r="E20" s="11">
        <f t="shared" si="0"/>
        <v>0.3300203313380379</v>
      </c>
      <c r="F20" s="11">
        <f t="shared" si="1"/>
        <v>0.8853450920030456</v>
      </c>
      <c r="G20" s="52">
        <f>SUM(G21:G22)</f>
        <v>2258727</v>
      </c>
      <c r="H20" s="132" t="s">
        <v>177</v>
      </c>
      <c r="I20" s="129">
        <f>SUM(I21:I22)</f>
        <v>35413</v>
      </c>
      <c r="J20" s="129">
        <f>SUM(J21:J22)</f>
        <v>13201</v>
      </c>
      <c r="K20" s="129">
        <f>SUM(K21:K22)</f>
        <v>11688</v>
      </c>
      <c r="L20" s="130">
        <f t="shared" si="2"/>
        <v>0.33004828735210234</v>
      </c>
      <c r="M20" s="130">
        <f t="shared" si="3"/>
        <v>0.8853874706461632</v>
      </c>
      <c r="N20" s="129">
        <f>SUM(N21:N22)</f>
        <v>2259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s="17" customFormat="1" ht="12.75">
      <c r="A21" s="102" t="s">
        <v>172</v>
      </c>
      <c r="B21" s="131">
        <v>30347352</v>
      </c>
      <c r="C21" s="131">
        <v>12106724</v>
      </c>
      <c r="D21" s="131">
        <f>11687275-253624</f>
        <v>11433651</v>
      </c>
      <c r="E21" s="19">
        <f t="shared" si="0"/>
        <v>0.37675942863153267</v>
      </c>
      <c r="F21" s="19">
        <f t="shared" si="1"/>
        <v>0.9444050264960199</v>
      </c>
      <c r="G21" s="131">
        <f>D21-'[3]Maijs'!D21</f>
        <v>2195724</v>
      </c>
      <c r="H21" s="102" t="s">
        <v>172</v>
      </c>
      <c r="I21" s="131">
        <f aca="true" t="shared" si="7" ref="I21:K22">ROUND(B21/1000,0)</f>
        <v>30347</v>
      </c>
      <c r="J21" s="131">
        <f>ROUND(C21/1000,0)</f>
        <v>12107</v>
      </c>
      <c r="K21" s="131">
        <f t="shared" si="7"/>
        <v>11434</v>
      </c>
      <c r="L21" s="128">
        <f t="shared" si="2"/>
        <v>0.37677529904109136</v>
      </c>
      <c r="M21" s="128">
        <f t="shared" si="3"/>
        <v>0.9444123234492442</v>
      </c>
      <c r="N21" s="131">
        <f>K21-'[3]Maijs'!K21</f>
        <v>2196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s="17" customFormat="1" ht="12.75">
      <c r="A22" s="102" t="s">
        <v>173</v>
      </c>
      <c r="B22" s="131">
        <v>5066451</v>
      </c>
      <c r="C22" s="131">
        <v>1094089</v>
      </c>
      <c r="D22" s="131">
        <f>34088+477+14280+204779</f>
        <v>253624</v>
      </c>
      <c r="E22" s="19">
        <f t="shared" si="0"/>
        <v>0.05005949924315858</v>
      </c>
      <c r="F22" s="19">
        <f t="shared" si="1"/>
        <v>0.23181295123157256</v>
      </c>
      <c r="G22" s="131">
        <f>D22-'[3]Maijs'!D22</f>
        <v>63003</v>
      </c>
      <c r="H22" s="102" t="s">
        <v>173</v>
      </c>
      <c r="I22" s="131">
        <f t="shared" si="7"/>
        <v>5066</v>
      </c>
      <c r="J22" s="131">
        <f t="shared" si="7"/>
        <v>1094</v>
      </c>
      <c r="K22" s="131">
        <f t="shared" si="7"/>
        <v>254</v>
      </c>
      <c r="L22" s="128">
        <f t="shared" si="2"/>
        <v>0.05013817607579945</v>
      </c>
      <c r="M22" s="128">
        <f t="shared" si="3"/>
        <v>0.23217550274223034</v>
      </c>
      <c r="N22" s="131">
        <f>K22-'[3]Maijs'!K22</f>
        <v>63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s="17" customFormat="1" ht="16.5" customHeight="1">
      <c r="A23" s="132" t="s">
        <v>178</v>
      </c>
      <c r="B23" s="52">
        <f>SUM(B24:B25)</f>
        <v>10961663</v>
      </c>
      <c r="C23" s="52">
        <f>SUM(C24:C25)</f>
        <v>6139705</v>
      </c>
      <c r="D23" s="52">
        <f>SUM(D24:D25)</f>
        <v>5546693</v>
      </c>
      <c r="E23" s="11">
        <f t="shared" si="0"/>
        <v>0.506008349280579</v>
      </c>
      <c r="F23" s="11">
        <f t="shared" si="1"/>
        <v>0.9034136004905773</v>
      </c>
      <c r="G23" s="52">
        <f>SUM(G24:G25)</f>
        <v>1181707</v>
      </c>
      <c r="H23" s="132" t="s">
        <v>178</v>
      </c>
      <c r="I23" s="129">
        <f>SUM(I24:I25)</f>
        <v>10962</v>
      </c>
      <c r="J23" s="129">
        <f>SUM(J24:J25)</f>
        <v>6139</v>
      </c>
      <c r="K23" s="129">
        <f>SUM(K24:K25)</f>
        <v>5547</v>
      </c>
      <c r="L23" s="130">
        <f t="shared" si="2"/>
        <v>0.5060207991242474</v>
      </c>
      <c r="M23" s="130">
        <f t="shared" si="3"/>
        <v>0.9035673562469457</v>
      </c>
      <c r="N23" s="129">
        <f>SUM(N24:N25)</f>
        <v>1182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s="17" customFormat="1" ht="12.75">
      <c r="A24" s="102" t="s">
        <v>172</v>
      </c>
      <c r="B24" s="131">
        <v>10549064</v>
      </c>
      <c r="C24" s="131">
        <v>5836426</v>
      </c>
      <c r="D24" s="131">
        <f>5546693-187909</f>
        <v>5358784</v>
      </c>
      <c r="E24" s="19">
        <f t="shared" si="0"/>
        <v>0.5079866801452717</v>
      </c>
      <c r="F24" s="19">
        <f t="shared" si="1"/>
        <v>0.9181619025067739</v>
      </c>
      <c r="G24" s="131">
        <f>D24-'[3]Maijs'!D24</f>
        <v>1156522</v>
      </c>
      <c r="H24" s="102" t="s">
        <v>172</v>
      </c>
      <c r="I24" s="131">
        <f aca="true" t="shared" si="8" ref="I24:K25">ROUND(B24/1000,0)</f>
        <v>10549</v>
      </c>
      <c r="J24" s="131">
        <f t="shared" si="8"/>
        <v>5836</v>
      </c>
      <c r="K24" s="131">
        <f t="shared" si="8"/>
        <v>5359</v>
      </c>
      <c r="L24" s="128">
        <f t="shared" si="2"/>
        <v>0.5080102379372452</v>
      </c>
      <c r="M24" s="128">
        <f t="shared" si="3"/>
        <v>0.9182659355723098</v>
      </c>
      <c r="N24" s="131">
        <f>K24-'[3]Maijs'!K24</f>
        <v>1157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s="17" customFormat="1" ht="12.75">
      <c r="A25" s="102" t="s">
        <v>173</v>
      </c>
      <c r="B25" s="131">
        <v>412599</v>
      </c>
      <c r="C25" s="131">
        <v>303279</v>
      </c>
      <c r="D25" s="131">
        <f>88496+99413</f>
        <v>187909</v>
      </c>
      <c r="E25" s="19">
        <f t="shared" si="0"/>
        <v>0.45542766705687604</v>
      </c>
      <c r="F25" s="19">
        <f t="shared" si="1"/>
        <v>0.6195912015009282</v>
      </c>
      <c r="G25" s="131">
        <f>D25-'[3]Maijs'!D25</f>
        <v>25185</v>
      </c>
      <c r="H25" s="102" t="s">
        <v>173</v>
      </c>
      <c r="I25" s="131">
        <f>ROUND(B25/1000,0)</f>
        <v>413</v>
      </c>
      <c r="J25" s="131">
        <f t="shared" si="8"/>
        <v>303</v>
      </c>
      <c r="K25" s="131">
        <f t="shared" si="8"/>
        <v>188</v>
      </c>
      <c r="L25" s="128">
        <f t="shared" si="2"/>
        <v>0.4552058111380145</v>
      </c>
      <c r="M25" s="128">
        <f t="shared" si="3"/>
        <v>0.6204620462046204</v>
      </c>
      <c r="N25" s="131">
        <f>K25-'[3]Maijs'!K25</f>
        <v>25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s="17" customFormat="1" ht="14.25" customHeight="1">
      <c r="A26" s="132" t="s">
        <v>179</v>
      </c>
      <c r="B26" s="52">
        <f>SUM(B27:B28)</f>
        <v>4419091</v>
      </c>
      <c r="C26" s="52">
        <f>SUM(C27:C28)</f>
        <v>1980456</v>
      </c>
      <c r="D26" s="52">
        <f>SUM(D27:D28)</f>
        <v>2084838</v>
      </c>
      <c r="E26" s="11">
        <f t="shared" si="0"/>
        <v>0.4717798298337826</v>
      </c>
      <c r="F26" s="11">
        <f t="shared" si="1"/>
        <v>1.0527060434566584</v>
      </c>
      <c r="G26" s="52">
        <f>SUM(G27:G28)</f>
        <v>413265</v>
      </c>
      <c r="H26" s="132" t="s">
        <v>179</v>
      </c>
      <c r="I26" s="129">
        <f>SUM(I27:I28)</f>
        <v>4419</v>
      </c>
      <c r="J26" s="129">
        <f>SUM(J27:J28)</f>
        <v>1981</v>
      </c>
      <c r="K26" s="129">
        <f>SUM(K27:K28)</f>
        <v>2085</v>
      </c>
      <c r="L26" s="130">
        <f t="shared" si="2"/>
        <v>0.47182620502376105</v>
      </c>
      <c r="M26" s="130">
        <f t="shared" si="3"/>
        <v>1.0524987380111055</v>
      </c>
      <c r="N26" s="129">
        <f>SUM(N27:N28)</f>
        <v>414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s="17" customFormat="1" ht="12.75">
      <c r="A27" s="102" t="s">
        <v>172</v>
      </c>
      <c r="B27" s="131">
        <v>4140751</v>
      </c>
      <c r="C27" s="131">
        <v>1847676</v>
      </c>
      <c r="D27" s="131">
        <f>2084838-113425</f>
        <v>1971413</v>
      </c>
      <c r="E27" s="19">
        <f t="shared" si="0"/>
        <v>0.476100349912371</v>
      </c>
      <c r="F27" s="19">
        <f t="shared" si="1"/>
        <v>1.0669689923991004</v>
      </c>
      <c r="G27" s="131">
        <f>D27-'[3]Maijs'!D27</f>
        <v>380212</v>
      </c>
      <c r="H27" s="102" t="s">
        <v>172</v>
      </c>
      <c r="I27" s="131">
        <f aca="true" t="shared" si="9" ref="I27:K28">ROUND(B27/1000,0)</f>
        <v>4141</v>
      </c>
      <c r="J27" s="131">
        <f t="shared" si="9"/>
        <v>1848</v>
      </c>
      <c r="K27" s="131">
        <f t="shared" si="9"/>
        <v>1971</v>
      </c>
      <c r="L27" s="128">
        <f t="shared" si="2"/>
        <v>0.4759719874426467</v>
      </c>
      <c r="M27" s="128">
        <f t="shared" si="3"/>
        <v>1.0665584415584415</v>
      </c>
      <c r="N27" s="131">
        <f>K27-'[3]Maijs'!K27</f>
        <v>380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s="17" customFormat="1" ht="12.75">
      <c r="A28" s="102" t="s">
        <v>173</v>
      </c>
      <c r="B28" s="131">
        <v>278340</v>
      </c>
      <c r="C28" s="131">
        <v>132780</v>
      </c>
      <c r="D28" s="131">
        <f>22171+41476+49778</f>
        <v>113425</v>
      </c>
      <c r="E28" s="19">
        <f t="shared" si="0"/>
        <v>0.40750520945606095</v>
      </c>
      <c r="F28" s="19">
        <f t="shared" si="1"/>
        <v>0.8542325651453532</v>
      </c>
      <c r="G28" s="131">
        <f>D28-'[3]Maijs'!D28</f>
        <v>33053</v>
      </c>
      <c r="H28" s="102" t="s">
        <v>173</v>
      </c>
      <c r="I28" s="131">
        <f t="shared" si="9"/>
        <v>278</v>
      </c>
      <c r="J28" s="131">
        <f t="shared" si="9"/>
        <v>133</v>
      </c>
      <c r="K28" s="131">
        <f>ROUND(D28/1000,0)+1</f>
        <v>114</v>
      </c>
      <c r="L28" s="128">
        <f t="shared" si="2"/>
        <v>0.41007194244604317</v>
      </c>
      <c r="M28" s="128">
        <f t="shared" si="3"/>
        <v>0.8571428571428571</v>
      </c>
      <c r="N28" s="131">
        <f>K28-'[3]Maijs'!K28</f>
        <v>34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17" customFormat="1" ht="14.25" customHeight="1">
      <c r="A29" s="132" t="s">
        <v>180</v>
      </c>
      <c r="B29" s="52">
        <f>SUM(B30:B31)</f>
        <v>105652273</v>
      </c>
      <c r="C29" s="52">
        <f>SUM(C30:C31)</f>
        <v>47297119</v>
      </c>
      <c r="D29" s="52">
        <f>SUM(D30:D31)</f>
        <v>38866472</v>
      </c>
      <c r="E29" s="11">
        <f t="shared" si="0"/>
        <v>0.3678716121895456</v>
      </c>
      <c r="F29" s="11">
        <f t="shared" si="1"/>
        <v>0.8217513629107092</v>
      </c>
      <c r="G29" s="52">
        <f>SUM(G30:G31)</f>
        <v>6110469</v>
      </c>
      <c r="H29" s="132" t="s">
        <v>180</v>
      </c>
      <c r="I29" s="129">
        <f>SUM(I30:I31)</f>
        <v>105652</v>
      </c>
      <c r="J29" s="129">
        <f>SUM(J30:J31)</f>
        <v>47297</v>
      </c>
      <c r="K29" s="129">
        <f>SUM(K30:K31)</f>
        <v>38866</v>
      </c>
      <c r="L29" s="130">
        <f t="shared" si="2"/>
        <v>0.3678680952561239</v>
      </c>
      <c r="M29" s="130">
        <f t="shared" si="3"/>
        <v>0.8217434509588346</v>
      </c>
      <c r="N29" s="129">
        <f>SUM(N30:N31)</f>
        <v>6110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s="17" customFormat="1" ht="12.75">
      <c r="A30" s="102" t="s">
        <v>172</v>
      </c>
      <c r="B30" s="131">
        <v>92953898</v>
      </c>
      <c r="C30" s="131">
        <v>41987097</v>
      </c>
      <c r="D30" s="131">
        <f>38735540-4534650+9451</f>
        <v>34210341</v>
      </c>
      <c r="E30" s="19">
        <f t="shared" si="0"/>
        <v>0.3680355717841978</v>
      </c>
      <c r="F30" s="19">
        <f t="shared" si="1"/>
        <v>0.8147822413157071</v>
      </c>
      <c r="G30" s="131">
        <f>D30-'[3]Maijs'!D30</f>
        <v>5014189</v>
      </c>
      <c r="H30" s="102" t="s">
        <v>172</v>
      </c>
      <c r="I30" s="131">
        <f aca="true" t="shared" si="10" ref="I30:K31">ROUND(B30/1000,0)</f>
        <v>92954</v>
      </c>
      <c r="J30" s="131">
        <f t="shared" si="10"/>
        <v>41987</v>
      </c>
      <c r="K30" s="131">
        <f t="shared" si="10"/>
        <v>34210</v>
      </c>
      <c r="L30" s="128">
        <f t="shared" si="2"/>
        <v>0.3680314994513415</v>
      </c>
      <c r="M30" s="128">
        <f t="shared" si="3"/>
        <v>0.8147760020958869</v>
      </c>
      <c r="N30" s="131">
        <f>K30-'[3]Maijs'!K30</f>
        <v>5014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s="17" customFormat="1" ht="12.75">
      <c r="A31" s="102" t="s">
        <v>173</v>
      </c>
      <c r="B31" s="131">
        <v>12698375</v>
      </c>
      <c r="C31" s="131">
        <v>5310022</v>
      </c>
      <c r="D31" s="131">
        <f>181635+86983+4266032+121481</f>
        <v>4656131</v>
      </c>
      <c r="E31" s="19">
        <f t="shared" si="0"/>
        <v>0.366671404805733</v>
      </c>
      <c r="F31" s="19">
        <f t="shared" si="1"/>
        <v>0.8768571956952345</v>
      </c>
      <c r="G31" s="131">
        <f>D31-'[3]Maijs'!D31</f>
        <v>1096280</v>
      </c>
      <c r="H31" s="102" t="s">
        <v>173</v>
      </c>
      <c r="I31" s="131">
        <f t="shared" si="10"/>
        <v>12698</v>
      </c>
      <c r="J31" s="131">
        <f t="shared" si="10"/>
        <v>5310</v>
      </c>
      <c r="K31" s="131">
        <f t="shared" si="10"/>
        <v>4656</v>
      </c>
      <c r="L31" s="128">
        <f t="shared" si="2"/>
        <v>0.3666719168372972</v>
      </c>
      <c r="M31" s="128">
        <f t="shared" si="3"/>
        <v>0.8768361581920904</v>
      </c>
      <c r="N31" s="131">
        <f>K31-'[3]Maijs'!K31</f>
        <v>1096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s="17" customFormat="1" ht="18" customHeight="1">
      <c r="A32" s="132" t="s">
        <v>181</v>
      </c>
      <c r="B32" s="52">
        <f>SUM(B33:B34)</f>
        <v>98512404</v>
      </c>
      <c r="C32" s="52">
        <f>SUM(C33:C34)</f>
        <v>48355302</v>
      </c>
      <c r="D32" s="52">
        <f>SUM(D33:D34)</f>
        <v>46311921</v>
      </c>
      <c r="E32" s="11">
        <f t="shared" si="0"/>
        <v>0.47011258602520756</v>
      </c>
      <c r="F32" s="11">
        <f t="shared" si="1"/>
        <v>0.9577423588420563</v>
      </c>
      <c r="G32" s="52">
        <f>SUM(G33:G34)</f>
        <v>8279191</v>
      </c>
      <c r="H32" s="132" t="s">
        <v>181</v>
      </c>
      <c r="I32" s="129">
        <f>SUM(I33:I34)</f>
        <v>98513</v>
      </c>
      <c r="J32" s="129">
        <f>SUM(J33:J34)</f>
        <v>48355</v>
      </c>
      <c r="K32" s="129">
        <f>SUM(K33:K34)</f>
        <v>46312</v>
      </c>
      <c r="L32" s="130">
        <f t="shared" si="2"/>
        <v>0.4701105437860993</v>
      </c>
      <c r="M32" s="130">
        <f t="shared" si="3"/>
        <v>0.9577499741495192</v>
      </c>
      <c r="N32" s="129">
        <f>SUM(N33:N34)</f>
        <v>8279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s="17" customFormat="1" ht="12.75">
      <c r="A33" s="102" t="s">
        <v>172</v>
      </c>
      <c r="B33" s="131">
        <v>83945620</v>
      </c>
      <c r="C33" s="131">
        <v>42707206</v>
      </c>
      <c r="D33" s="131">
        <f>46311921-4778746</f>
        <v>41533175</v>
      </c>
      <c r="E33" s="19">
        <f t="shared" si="0"/>
        <v>0.49476285957504396</v>
      </c>
      <c r="F33" s="19">
        <f t="shared" si="1"/>
        <v>0.9725097680236914</v>
      </c>
      <c r="G33" s="131">
        <f>D33-'[3]Maijs'!D33</f>
        <v>6880488</v>
      </c>
      <c r="H33" s="102" t="s">
        <v>172</v>
      </c>
      <c r="I33" s="131">
        <f aca="true" t="shared" si="11" ref="I33:K34">ROUND(B33/1000,0)</f>
        <v>83946</v>
      </c>
      <c r="J33" s="131">
        <f t="shared" si="11"/>
        <v>42707</v>
      </c>
      <c r="K33" s="131">
        <f t="shared" si="11"/>
        <v>41533</v>
      </c>
      <c r="L33" s="128">
        <f t="shared" si="2"/>
        <v>0.49475853524885044</v>
      </c>
      <c r="M33" s="128">
        <f t="shared" si="3"/>
        <v>0.9725103612990844</v>
      </c>
      <c r="N33" s="131">
        <f>K33-'[3]Maijs'!K33</f>
        <v>6880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s="17" customFormat="1" ht="12.75">
      <c r="A34" s="102" t="s">
        <v>173</v>
      </c>
      <c r="B34" s="131">
        <v>14566784</v>
      </c>
      <c r="C34" s="131">
        <v>5648096</v>
      </c>
      <c r="D34" s="131">
        <f>838357+23417+236381+8736+3671855</f>
        <v>4778746</v>
      </c>
      <c r="E34" s="19">
        <f t="shared" si="0"/>
        <v>0.32805772365403374</v>
      </c>
      <c r="F34" s="19">
        <f t="shared" si="1"/>
        <v>0.8460808739794791</v>
      </c>
      <c r="G34" s="131">
        <f>D34-'[3]Maijs'!D34</f>
        <v>1398703</v>
      </c>
      <c r="H34" s="102" t="s">
        <v>173</v>
      </c>
      <c r="I34" s="131">
        <f t="shared" si="11"/>
        <v>14567</v>
      </c>
      <c r="J34" s="131">
        <f t="shared" si="11"/>
        <v>5648</v>
      </c>
      <c r="K34" s="131">
        <f>ROUND(D34/1000,0)</f>
        <v>4779</v>
      </c>
      <c r="L34" s="128">
        <f t="shared" si="2"/>
        <v>0.3280702958742363</v>
      </c>
      <c r="M34" s="128">
        <f t="shared" si="3"/>
        <v>0.8461402266288952</v>
      </c>
      <c r="N34" s="131">
        <f>K34-'[3]Maijs'!K34</f>
        <v>1399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s="17" customFormat="1" ht="12.75" customHeight="1">
      <c r="A35" s="32" t="s">
        <v>182</v>
      </c>
      <c r="B35" s="52">
        <f>SUM(B36:B37)</f>
        <v>63958464</v>
      </c>
      <c r="C35" s="52">
        <f>SUM(C36:C37)</f>
        <v>32488588</v>
      </c>
      <c r="D35" s="52">
        <f>SUM(D36:D37)</f>
        <v>28392414.21</v>
      </c>
      <c r="E35" s="11">
        <f t="shared" si="0"/>
        <v>0.4439195758359676</v>
      </c>
      <c r="F35" s="11">
        <f t="shared" si="1"/>
        <v>0.8739196117110415</v>
      </c>
      <c r="G35" s="52">
        <f>SUM(G36:G37)</f>
        <v>5452524.21</v>
      </c>
      <c r="H35" s="32" t="s">
        <v>182</v>
      </c>
      <c r="I35" s="129">
        <f>SUM(I36:I37)</f>
        <v>63959</v>
      </c>
      <c r="J35" s="129">
        <f>SUM(J36:J37)</f>
        <v>32489</v>
      </c>
      <c r="K35" s="129">
        <f>SUM(K36:K37)</f>
        <v>28392</v>
      </c>
      <c r="L35" s="130">
        <f t="shared" si="2"/>
        <v>0.44390937944620773</v>
      </c>
      <c r="M35" s="130">
        <f t="shared" si="3"/>
        <v>0.8738957801101911</v>
      </c>
      <c r="N35" s="129">
        <f>SUM(N36:N37)</f>
        <v>5452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17" customFormat="1" ht="14.25" customHeight="1">
      <c r="A36" s="102" t="s">
        <v>172</v>
      </c>
      <c r="B36" s="131">
        <v>59036008</v>
      </c>
      <c r="C36" s="131">
        <v>30217628</v>
      </c>
      <c r="D36" s="131">
        <f>28370416-1004337+21998</f>
        <v>27388077</v>
      </c>
      <c r="E36" s="19">
        <f t="shared" si="0"/>
        <v>0.4639215612275139</v>
      </c>
      <c r="F36" s="19">
        <f t="shared" si="1"/>
        <v>0.9063609162175138</v>
      </c>
      <c r="G36" s="131">
        <f>D36-'[3]Maijs'!D36</f>
        <v>5234051</v>
      </c>
      <c r="H36" s="102" t="s">
        <v>172</v>
      </c>
      <c r="I36" s="131">
        <f aca="true" t="shared" si="12" ref="I36:K37">ROUND(B36/1000,0)</f>
        <v>59036</v>
      </c>
      <c r="J36" s="131">
        <f>ROUND(C36/1000,0)</f>
        <v>30218</v>
      </c>
      <c r="K36" s="131">
        <f t="shared" si="12"/>
        <v>27388</v>
      </c>
      <c r="L36" s="128">
        <f t="shared" si="2"/>
        <v>0.4639203198048648</v>
      </c>
      <c r="M36" s="128">
        <f t="shared" si="3"/>
        <v>0.9063472102720233</v>
      </c>
      <c r="N36" s="131">
        <f>K36-'[3]Maijs'!K36</f>
        <v>5234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s="17" customFormat="1" ht="12.75" customHeight="1">
      <c r="A37" s="102" t="s">
        <v>173</v>
      </c>
      <c r="B37" s="131">
        <v>4922456</v>
      </c>
      <c r="C37" s="131">
        <v>2270960</v>
      </c>
      <c r="D37" s="131">
        <f>513276.21+65939+425122</f>
        <v>1004337.21</v>
      </c>
      <c r="E37" s="19">
        <f t="shared" si="0"/>
        <v>0.2040317292831058</v>
      </c>
      <c r="F37" s="19">
        <f t="shared" si="1"/>
        <v>0.4422522677634128</v>
      </c>
      <c r="G37" s="131">
        <f>D37-'[3]Maijs'!D37</f>
        <v>218473.20999999996</v>
      </c>
      <c r="H37" s="102" t="s">
        <v>173</v>
      </c>
      <c r="I37" s="131">
        <f>ROUND(B37/1000,0)+1</f>
        <v>4923</v>
      </c>
      <c r="J37" s="131">
        <f t="shared" si="12"/>
        <v>2271</v>
      </c>
      <c r="K37" s="131">
        <f t="shared" si="12"/>
        <v>1004</v>
      </c>
      <c r="L37" s="128">
        <f t="shared" si="2"/>
        <v>0.2039406865732277</v>
      </c>
      <c r="M37" s="128">
        <f t="shared" si="3"/>
        <v>0.4420959929546455</v>
      </c>
      <c r="N37" s="131">
        <f>K37-'[3]Maijs'!K37</f>
        <v>218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" customHeight="1">
      <c r="A38" s="132" t="s">
        <v>183</v>
      </c>
      <c r="B38" s="52">
        <f>SUM(B39:B40)</f>
        <v>48564873</v>
      </c>
      <c r="C38" s="52">
        <f>SUM(C39:C40)</f>
        <v>23029815</v>
      </c>
      <c r="D38" s="52">
        <f>SUM(D39:D40)</f>
        <v>22050796</v>
      </c>
      <c r="E38" s="11">
        <f t="shared" si="0"/>
        <v>0.45404825829566153</v>
      </c>
      <c r="F38" s="11">
        <f t="shared" si="1"/>
        <v>0.9574890636333814</v>
      </c>
      <c r="G38" s="52">
        <f>SUM(G39:G40)</f>
        <v>4341414</v>
      </c>
      <c r="H38" s="132" t="s">
        <v>183</v>
      </c>
      <c r="I38" s="129">
        <f>SUM(I39:I40)</f>
        <v>48565</v>
      </c>
      <c r="J38" s="129">
        <f>SUM(J39:J40)</f>
        <v>23030</v>
      </c>
      <c r="K38" s="129">
        <f>SUM(K39:K40)</f>
        <v>22051</v>
      </c>
      <c r="L38" s="130">
        <f t="shared" si="2"/>
        <v>0.45405127149181507</v>
      </c>
      <c r="M38" s="130">
        <f t="shared" si="3"/>
        <v>0.957490230134607</v>
      </c>
      <c r="N38" s="129">
        <f>SUM(N39:N40)</f>
        <v>4341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12.75">
      <c r="A39" s="102" t="s">
        <v>172</v>
      </c>
      <c r="B39" s="131">
        <v>45158922</v>
      </c>
      <c r="C39" s="131">
        <v>21195502</v>
      </c>
      <c r="D39" s="131">
        <f>22050796-1635400</f>
        <v>20415396</v>
      </c>
      <c r="E39" s="19">
        <f t="shared" si="0"/>
        <v>0.4520789048064522</v>
      </c>
      <c r="F39" s="19">
        <f t="shared" si="1"/>
        <v>0.9631947382043605</v>
      </c>
      <c r="G39" s="131">
        <f>D39-'[3]Maijs'!D39</f>
        <v>3846677</v>
      </c>
      <c r="H39" s="102" t="s">
        <v>172</v>
      </c>
      <c r="I39" s="131">
        <f aca="true" t="shared" si="13" ref="I39:K40">ROUND(B39/1000,0)</f>
        <v>45159</v>
      </c>
      <c r="J39" s="131">
        <f t="shared" si="13"/>
        <v>21196</v>
      </c>
      <c r="K39" s="131">
        <f t="shared" si="13"/>
        <v>20415</v>
      </c>
      <c r="L39" s="128">
        <f t="shared" si="2"/>
        <v>0.452069354945858</v>
      </c>
      <c r="M39" s="128">
        <f t="shared" si="3"/>
        <v>0.9631534251745613</v>
      </c>
      <c r="N39" s="131">
        <f>K39-'[3]Maijs'!K39</f>
        <v>3846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2.75">
      <c r="A40" s="102" t="s">
        <v>173</v>
      </c>
      <c r="B40" s="131">
        <v>3405951</v>
      </c>
      <c r="C40" s="131">
        <v>1834313</v>
      </c>
      <c r="D40" s="131">
        <f>451271+100+166819+1017210</f>
        <v>1635400</v>
      </c>
      <c r="E40" s="19">
        <f t="shared" si="0"/>
        <v>0.4801595795124475</v>
      </c>
      <c r="F40" s="19">
        <f t="shared" si="1"/>
        <v>0.8915599464213577</v>
      </c>
      <c r="G40" s="131">
        <f>D40-'[3]Maijs'!D40</f>
        <v>494737</v>
      </c>
      <c r="H40" s="102" t="s">
        <v>173</v>
      </c>
      <c r="I40" s="131">
        <f t="shared" si="13"/>
        <v>3406</v>
      </c>
      <c r="J40" s="131">
        <f t="shared" si="13"/>
        <v>1834</v>
      </c>
      <c r="K40" s="131">
        <f>ROUND(D40/1000,0)+1</f>
        <v>1636</v>
      </c>
      <c r="L40" s="128">
        <f t="shared" si="2"/>
        <v>0.4803288314738696</v>
      </c>
      <c r="M40" s="128">
        <f t="shared" si="3"/>
        <v>0.8920392584514721</v>
      </c>
      <c r="N40" s="131">
        <f>K40-'[3]Maijs'!K40</f>
        <v>495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2.75" customHeight="1">
      <c r="A41" s="132" t="s">
        <v>184</v>
      </c>
      <c r="B41" s="52">
        <f>SUM(B42:B43)</f>
        <v>8419312</v>
      </c>
      <c r="C41" s="52">
        <f>SUM(C42:C43)</f>
        <v>4025077</v>
      </c>
      <c r="D41" s="52">
        <f>SUM(D42:D43)</f>
        <v>3753904</v>
      </c>
      <c r="E41" s="11">
        <f t="shared" si="0"/>
        <v>0.4458682609695424</v>
      </c>
      <c r="F41" s="11">
        <f t="shared" si="1"/>
        <v>0.9326291149212798</v>
      </c>
      <c r="G41" s="52">
        <f>SUM(G42:G43)</f>
        <v>797795</v>
      </c>
      <c r="H41" s="132" t="s">
        <v>184</v>
      </c>
      <c r="I41" s="129">
        <f>SUM(I42:I43)</f>
        <v>8419</v>
      </c>
      <c r="J41" s="129">
        <f>SUM(J42:J43)</f>
        <v>4025</v>
      </c>
      <c r="K41" s="129">
        <f>SUM(K42:K43)</f>
        <v>3754</v>
      </c>
      <c r="L41" s="130">
        <f t="shared" si="2"/>
        <v>0.44589618719562896</v>
      </c>
      <c r="M41" s="130">
        <f t="shared" si="3"/>
        <v>0.9326708074534161</v>
      </c>
      <c r="N41" s="129">
        <f>SUM(N42:N43)</f>
        <v>798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12.75">
      <c r="A42" s="102" t="s">
        <v>172</v>
      </c>
      <c r="B42" s="131">
        <v>5038312</v>
      </c>
      <c r="C42" s="131">
        <v>2610231</v>
      </c>
      <c r="D42" s="131">
        <f>3753904-1211132</f>
        <v>2542772</v>
      </c>
      <c r="E42" s="19">
        <f t="shared" si="0"/>
        <v>0.5046872841538992</v>
      </c>
      <c r="F42" s="19">
        <f t="shared" si="1"/>
        <v>0.9741559271957156</v>
      </c>
      <c r="G42" s="131">
        <f>D42-'[3]Maijs'!D42</f>
        <v>469368</v>
      </c>
      <c r="H42" s="102" t="s">
        <v>172</v>
      </c>
      <c r="I42" s="131">
        <f>ROUND(B42/1000,0)</f>
        <v>5038</v>
      </c>
      <c r="J42" s="131">
        <f aca="true" t="shared" si="14" ref="I42:K43">ROUND(C42/1000,0)</f>
        <v>2610</v>
      </c>
      <c r="K42" s="131">
        <f t="shared" si="14"/>
        <v>2543</v>
      </c>
      <c r="L42" s="128">
        <f t="shared" si="2"/>
        <v>0.5047637951568082</v>
      </c>
      <c r="M42" s="128">
        <f t="shared" si="3"/>
        <v>0.9743295019157088</v>
      </c>
      <c r="N42" s="131">
        <f>K42-'[3]Maijs'!K42</f>
        <v>470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2.75">
      <c r="A43" s="102" t="s">
        <v>173</v>
      </c>
      <c r="B43" s="131">
        <v>3381000</v>
      </c>
      <c r="C43" s="131">
        <v>1414846</v>
      </c>
      <c r="D43" s="131">
        <f>7065+1204067</f>
        <v>1211132</v>
      </c>
      <c r="E43" s="19">
        <f t="shared" si="0"/>
        <v>0.3582170955338657</v>
      </c>
      <c r="F43" s="19">
        <f t="shared" si="1"/>
        <v>0.8560168385817255</v>
      </c>
      <c r="G43" s="131">
        <f>D43-'[3]Maijs'!D43</f>
        <v>328427</v>
      </c>
      <c r="H43" s="102" t="s">
        <v>173</v>
      </c>
      <c r="I43" s="131">
        <f t="shared" si="14"/>
        <v>3381</v>
      </c>
      <c r="J43" s="131">
        <f t="shared" si="14"/>
        <v>1415</v>
      </c>
      <c r="K43" s="131">
        <f t="shared" si="14"/>
        <v>1211</v>
      </c>
      <c r="L43" s="128">
        <f t="shared" si="2"/>
        <v>0.3581780538302277</v>
      </c>
      <c r="M43" s="128">
        <f t="shared" si="3"/>
        <v>0.8558303886925795</v>
      </c>
      <c r="N43" s="131">
        <f>K43-'[3]Maijs'!K43</f>
        <v>328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15" customHeight="1">
      <c r="A44" s="132" t="s">
        <v>185</v>
      </c>
      <c r="B44" s="52">
        <f>SUM(B45:B46)</f>
        <v>162977723</v>
      </c>
      <c r="C44" s="52">
        <f>SUM(C45:C46)</f>
        <v>78322364</v>
      </c>
      <c r="D44" s="52">
        <f>SUM(D45:D46)</f>
        <v>77559507</v>
      </c>
      <c r="E44" s="11">
        <f t="shared" si="0"/>
        <v>0.4758902356244111</v>
      </c>
      <c r="F44" s="11">
        <f t="shared" si="1"/>
        <v>0.990260036073477</v>
      </c>
      <c r="G44" s="52">
        <f>SUM(G45:G46)</f>
        <v>5766020</v>
      </c>
      <c r="H44" s="132" t="s">
        <v>185</v>
      </c>
      <c r="I44" s="129">
        <f>SUM(I45:I46)</f>
        <v>162977</v>
      </c>
      <c r="J44" s="129">
        <f>SUM(J45:J46)</f>
        <v>78323</v>
      </c>
      <c r="K44" s="129">
        <f>SUM(K45:K46)</f>
        <v>77560</v>
      </c>
      <c r="L44" s="130">
        <f t="shared" si="2"/>
        <v>0.47589537173957064</v>
      </c>
      <c r="M44" s="130">
        <f t="shared" si="3"/>
        <v>0.9902582893913665</v>
      </c>
      <c r="N44" s="129">
        <f>SUM(N45:N46)</f>
        <v>5767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12.75">
      <c r="A45" s="102" t="s">
        <v>172</v>
      </c>
      <c r="B45" s="131">
        <v>158099256</v>
      </c>
      <c r="C45" s="131">
        <v>76150579</v>
      </c>
      <c r="D45" s="131">
        <f>77559507-1773401</f>
        <v>75786106</v>
      </c>
      <c r="E45" s="19">
        <f t="shared" si="0"/>
        <v>0.4793577649726574</v>
      </c>
      <c r="F45" s="19">
        <f t="shared" si="1"/>
        <v>0.9952137855708227</v>
      </c>
      <c r="G45" s="131">
        <f>D45-'[3]Maijs'!D45</f>
        <v>5337818</v>
      </c>
      <c r="H45" s="102" t="s">
        <v>172</v>
      </c>
      <c r="I45" s="131">
        <f aca="true" t="shared" si="15" ref="I45:K46">ROUND(B45/1000,0)</f>
        <v>158099</v>
      </c>
      <c r="J45" s="131">
        <f t="shared" si="15"/>
        <v>76151</v>
      </c>
      <c r="K45" s="131">
        <f t="shared" si="15"/>
        <v>75786</v>
      </c>
      <c r="L45" s="128">
        <f t="shared" si="2"/>
        <v>0.47935787070126945</v>
      </c>
      <c r="M45" s="128">
        <f t="shared" si="3"/>
        <v>0.9952068915706951</v>
      </c>
      <c r="N45" s="131">
        <f>K45-'[3]Maijs'!K45</f>
        <v>5338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12.75">
      <c r="A46" s="102" t="s">
        <v>173</v>
      </c>
      <c r="B46" s="131">
        <v>4878467</v>
      </c>
      <c r="C46" s="131">
        <v>2171785</v>
      </c>
      <c r="D46" s="131">
        <f>367081+854+169343+29834+1206289</f>
        <v>1773401</v>
      </c>
      <c r="E46" s="19">
        <f t="shared" si="0"/>
        <v>0.3635160389524004</v>
      </c>
      <c r="F46" s="19">
        <f t="shared" si="1"/>
        <v>0.8165637942982386</v>
      </c>
      <c r="G46" s="131">
        <f>D46-'[3]Maijs'!D46</f>
        <v>428202</v>
      </c>
      <c r="H46" s="102" t="s">
        <v>173</v>
      </c>
      <c r="I46" s="131">
        <f t="shared" si="15"/>
        <v>4878</v>
      </c>
      <c r="J46" s="131">
        <f t="shared" si="15"/>
        <v>2172</v>
      </c>
      <c r="K46" s="131">
        <f>ROUND(D46/1000,0)+1</f>
        <v>1774</v>
      </c>
      <c r="L46" s="128">
        <f t="shared" si="2"/>
        <v>0.3636736367363674</v>
      </c>
      <c r="M46" s="128">
        <f t="shared" si="3"/>
        <v>0.8167587476979742</v>
      </c>
      <c r="N46" s="131">
        <f>K46-'[3]Maijs'!K46</f>
        <v>429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15.75" customHeight="1">
      <c r="A47" s="132" t="s">
        <v>186</v>
      </c>
      <c r="B47" s="52">
        <f>SUM(B48:B49)</f>
        <v>13496058</v>
      </c>
      <c r="C47" s="52">
        <f>SUM(C48:C49)</f>
        <v>6555343</v>
      </c>
      <c r="D47" s="52">
        <f>SUM(D48:D49)</f>
        <v>6117556</v>
      </c>
      <c r="E47" s="11">
        <f t="shared" si="0"/>
        <v>0.4532846554156777</v>
      </c>
      <c r="F47" s="11">
        <f t="shared" si="1"/>
        <v>0.9332167668419487</v>
      </c>
      <c r="G47" s="52">
        <f>SUM(G48:G49)</f>
        <v>1228989</v>
      </c>
      <c r="H47" s="132" t="s">
        <v>186</v>
      </c>
      <c r="I47" s="129">
        <f>SUM(I48:I49)</f>
        <v>13496</v>
      </c>
      <c r="J47" s="129">
        <f>SUM(J48:J49)</f>
        <v>6555</v>
      </c>
      <c r="K47" s="129">
        <f>SUM(K48:K49)</f>
        <v>6118</v>
      </c>
      <c r="L47" s="130">
        <f t="shared" si="2"/>
        <v>0.4533195020746888</v>
      </c>
      <c r="M47" s="130">
        <f t="shared" si="3"/>
        <v>0.9333333333333333</v>
      </c>
      <c r="N47" s="129">
        <f>SUM(N48:N49)</f>
        <v>1229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12.75">
      <c r="A48" s="102" t="s">
        <v>172</v>
      </c>
      <c r="B48" s="131">
        <v>12344655</v>
      </c>
      <c r="C48" s="131">
        <v>6140064</v>
      </c>
      <c r="D48" s="131">
        <f>6095774-338594+21782</f>
        <v>5778962</v>
      </c>
      <c r="E48" s="19">
        <f t="shared" si="0"/>
        <v>0.46813475143695793</v>
      </c>
      <c r="F48" s="19">
        <f t="shared" si="1"/>
        <v>0.9411892123600014</v>
      </c>
      <c r="G48" s="131">
        <f>D48-'[3]Maijs'!D48</f>
        <v>1158393</v>
      </c>
      <c r="H48" s="102" t="s">
        <v>172</v>
      </c>
      <c r="I48" s="131">
        <f aca="true" t="shared" si="16" ref="I48:K49">ROUND(B48/1000,0)</f>
        <v>12345</v>
      </c>
      <c r="J48" s="131">
        <f t="shared" si="16"/>
        <v>6140</v>
      </c>
      <c r="K48" s="131">
        <f t="shared" si="16"/>
        <v>5779</v>
      </c>
      <c r="L48" s="128">
        <f t="shared" si="2"/>
        <v>0.46812474686107736</v>
      </c>
      <c r="M48" s="128">
        <f t="shared" si="3"/>
        <v>0.9412052117263844</v>
      </c>
      <c r="N48" s="131">
        <f>K48-'[3]Maijs'!K48</f>
        <v>1158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16.5" customHeight="1">
      <c r="A49" s="102" t="s">
        <v>173</v>
      </c>
      <c r="B49" s="131">
        <v>1151403</v>
      </c>
      <c r="C49" s="131">
        <v>415279</v>
      </c>
      <c r="D49" s="131">
        <f>148136+15000+2923+172535</f>
        <v>338594</v>
      </c>
      <c r="E49" s="19">
        <f t="shared" si="0"/>
        <v>0.29407079884280307</v>
      </c>
      <c r="F49" s="19">
        <f t="shared" si="1"/>
        <v>0.8153410117053836</v>
      </c>
      <c r="G49" s="131">
        <f>D49-'[3]Maijs'!D49</f>
        <v>70596</v>
      </c>
      <c r="H49" s="102" t="s">
        <v>173</v>
      </c>
      <c r="I49" s="131">
        <f t="shared" si="16"/>
        <v>1151</v>
      </c>
      <c r="J49" s="131">
        <f t="shared" si="16"/>
        <v>415</v>
      </c>
      <c r="K49" s="131">
        <f t="shared" si="16"/>
        <v>339</v>
      </c>
      <c r="L49" s="128">
        <f t="shared" si="2"/>
        <v>0.2945264986967854</v>
      </c>
      <c r="M49" s="128">
        <f t="shared" si="3"/>
        <v>0.8168674698795181</v>
      </c>
      <c r="N49" s="131">
        <f>K49-'[3]Maijs'!K49</f>
        <v>71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69.75" customHeight="1">
      <c r="A50" s="7" t="s">
        <v>7</v>
      </c>
      <c r="B50" s="7" t="s">
        <v>8</v>
      </c>
      <c r="C50" s="7" t="s">
        <v>167</v>
      </c>
      <c r="D50" s="7" t="s">
        <v>9</v>
      </c>
      <c r="E50" s="7" t="s">
        <v>168</v>
      </c>
      <c r="F50" s="7" t="s">
        <v>169</v>
      </c>
      <c r="G50" s="7" t="s">
        <v>170</v>
      </c>
      <c r="H50" s="7" t="s">
        <v>7</v>
      </c>
      <c r="I50" s="7" t="s">
        <v>8</v>
      </c>
      <c r="J50" s="7" t="s">
        <v>167</v>
      </c>
      <c r="K50" s="7" t="s">
        <v>9</v>
      </c>
      <c r="L50" s="7" t="s">
        <v>168</v>
      </c>
      <c r="M50" s="7" t="s">
        <v>169</v>
      </c>
      <c r="N50" s="7" t="s">
        <v>170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12.75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121">
        <v>7</v>
      </c>
      <c r="H51" s="7">
        <v>1</v>
      </c>
      <c r="I51" s="7">
        <v>2</v>
      </c>
      <c r="J51" s="7">
        <v>3</v>
      </c>
      <c r="K51" s="7">
        <v>4</v>
      </c>
      <c r="L51" s="7">
        <v>5</v>
      </c>
      <c r="M51" s="7">
        <v>6</v>
      </c>
      <c r="N51" s="121">
        <v>7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29.25" customHeight="1">
      <c r="A52" s="32" t="s">
        <v>187</v>
      </c>
      <c r="B52" s="52">
        <f>SUM(B53:B54)</f>
        <v>8329939</v>
      </c>
      <c r="C52" s="52">
        <f>SUM(C53:C54)</f>
        <v>4409581</v>
      </c>
      <c r="D52" s="52">
        <f>SUM(D53:D54)</f>
        <v>3917141</v>
      </c>
      <c r="E52" s="11">
        <f t="shared" si="0"/>
        <v>0.4702484616033803</v>
      </c>
      <c r="F52" s="11">
        <f t="shared" si="1"/>
        <v>0.8883249905149718</v>
      </c>
      <c r="G52" s="52">
        <f>SUM(G53:G54)</f>
        <v>895709</v>
      </c>
      <c r="H52" s="32" t="s">
        <v>187</v>
      </c>
      <c r="I52" s="129">
        <f>SUM(I53:I54)</f>
        <v>8330</v>
      </c>
      <c r="J52" s="129">
        <f>SUM(J53:J54)</f>
        <v>4410</v>
      </c>
      <c r="K52" s="129">
        <f>SUM(K53:K54)</f>
        <v>3917</v>
      </c>
      <c r="L52" s="130">
        <f aca="true" t="shared" si="17" ref="L52:L92">IF(ISERROR(ROUND(K52,0)/ROUND(I52,0))," ",(ROUND(K52,)/ROUND(I52,)))</f>
        <v>0.4702280912364946</v>
      </c>
      <c r="M52" s="130">
        <f aca="true" t="shared" si="18" ref="M52:M92">IF(ISERROR(ROUND(K52,0)/ROUND(J52,0))," ",(ROUND(K52,)/ROUND(J52,)))</f>
        <v>0.8882086167800454</v>
      </c>
      <c r="N52" s="129">
        <f>SUM(N53:N54)</f>
        <v>895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12.75">
      <c r="A53" s="102" t="s">
        <v>172</v>
      </c>
      <c r="B53" s="131">
        <v>7032019</v>
      </c>
      <c r="C53" s="131">
        <v>3482849</v>
      </c>
      <c r="D53" s="131">
        <f>3917141-854116</f>
        <v>3063025</v>
      </c>
      <c r="E53" s="11">
        <f t="shared" si="0"/>
        <v>0.43558258303909586</v>
      </c>
      <c r="F53" s="11">
        <f t="shared" si="1"/>
        <v>0.8794596033304918</v>
      </c>
      <c r="G53" s="131">
        <f>D53-'[3]Maijs'!D53</f>
        <v>607169</v>
      </c>
      <c r="H53" s="102" t="s">
        <v>172</v>
      </c>
      <c r="I53" s="131">
        <f aca="true" t="shared" si="19" ref="I53:K54">ROUND(B53/1000,0)</f>
        <v>7032</v>
      </c>
      <c r="J53" s="131">
        <f>ROUND(C53/1000,0)</f>
        <v>3483</v>
      </c>
      <c r="K53" s="131">
        <f>ROUND(D53/1000,0)</f>
        <v>3063</v>
      </c>
      <c r="L53" s="128">
        <f t="shared" si="17"/>
        <v>0.435580204778157</v>
      </c>
      <c r="M53" s="128">
        <f t="shared" si="18"/>
        <v>0.8794142980189492</v>
      </c>
      <c r="N53" s="131">
        <f>K53-'[3]Maijs'!K53</f>
        <v>607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12.75" customHeight="1">
      <c r="A54" s="133" t="s">
        <v>173</v>
      </c>
      <c r="B54" s="131">
        <v>1297920</v>
      </c>
      <c r="C54" s="131">
        <v>926732</v>
      </c>
      <c r="D54" s="131">
        <f>102298+751818</f>
        <v>854116</v>
      </c>
      <c r="E54" s="11">
        <f t="shared" si="0"/>
        <v>0.6580652120315582</v>
      </c>
      <c r="F54" s="11">
        <f t="shared" si="1"/>
        <v>0.9216429345269183</v>
      </c>
      <c r="G54" s="131">
        <f>D54-'[3]Maijs'!D54</f>
        <v>288540</v>
      </c>
      <c r="H54" s="133" t="s">
        <v>173</v>
      </c>
      <c r="I54" s="131">
        <f t="shared" si="19"/>
        <v>1298</v>
      </c>
      <c r="J54" s="131">
        <f t="shared" si="19"/>
        <v>927</v>
      </c>
      <c r="K54" s="131">
        <f t="shared" si="19"/>
        <v>854</v>
      </c>
      <c r="L54" s="128">
        <f t="shared" si="17"/>
        <v>0.6579352850539292</v>
      </c>
      <c r="M54" s="128">
        <f t="shared" si="18"/>
        <v>0.9212513484358145</v>
      </c>
      <c r="N54" s="131">
        <f>K54-'[3]Maijs'!K54</f>
        <v>288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3.5" customHeight="1">
      <c r="A55" s="132" t="s">
        <v>188</v>
      </c>
      <c r="B55" s="52">
        <f>SUM(B56:B57)</f>
        <v>17001479</v>
      </c>
      <c r="C55" s="52">
        <f>SUM(C56:C57)</f>
        <v>8653664</v>
      </c>
      <c r="D55" s="52">
        <f>SUM(D56:D57)</f>
        <v>8249088</v>
      </c>
      <c r="E55" s="11">
        <f t="shared" si="0"/>
        <v>0.4851982583397597</v>
      </c>
      <c r="F55" s="11">
        <f t="shared" si="1"/>
        <v>0.9532480114781439</v>
      </c>
      <c r="G55" s="52">
        <f>SUM(G56:G57)</f>
        <v>2037847</v>
      </c>
      <c r="H55" s="132" t="s">
        <v>188</v>
      </c>
      <c r="I55" s="129">
        <f>SUM(I56:I57)</f>
        <v>17002</v>
      </c>
      <c r="J55" s="129">
        <f>SUM(J56:J57)</f>
        <v>8654</v>
      </c>
      <c r="K55" s="129">
        <f>SUM(K56:K57)</f>
        <v>8249</v>
      </c>
      <c r="L55" s="130">
        <f t="shared" si="17"/>
        <v>0.4851782143277262</v>
      </c>
      <c r="M55" s="130">
        <f t="shared" si="18"/>
        <v>0.9532008319852091</v>
      </c>
      <c r="N55" s="129">
        <f>SUM(N56:N57)</f>
        <v>2038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12.75">
      <c r="A56" s="102" t="s">
        <v>172</v>
      </c>
      <c r="B56" s="131">
        <v>14652729</v>
      </c>
      <c r="C56" s="131">
        <v>7586258</v>
      </c>
      <c r="D56" s="131">
        <f>8248899-1000593+189</f>
        <v>7248495</v>
      </c>
      <c r="E56" s="19">
        <f t="shared" si="0"/>
        <v>0.494685665721382</v>
      </c>
      <c r="F56" s="19">
        <f t="shared" si="1"/>
        <v>0.9554769953776948</v>
      </c>
      <c r="G56" s="131">
        <f>D56-'[3]Maijs'!D56</f>
        <v>1737710</v>
      </c>
      <c r="H56" s="102" t="s">
        <v>172</v>
      </c>
      <c r="I56" s="131">
        <f aca="true" t="shared" si="20" ref="I56:K57">ROUND(B56/1000,0)</f>
        <v>14653</v>
      </c>
      <c r="J56" s="131">
        <f>ROUND(C56/1000,0)</f>
        <v>7586</v>
      </c>
      <c r="K56" s="131">
        <f t="shared" si="20"/>
        <v>7248</v>
      </c>
      <c r="L56" s="128">
        <f t="shared" si="17"/>
        <v>0.4946427352760527</v>
      </c>
      <c r="M56" s="128">
        <f t="shared" si="18"/>
        <v>0.955444239388347</v>
      </c>
      <c r="N56" s="131">
        <f>K56-'[3]Maijs'!K56</f>
        <v>1737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12.75">
      <c r="A57" s="102" t="s">
        <v>173</v>
      </c>
      <c r="B57" s="131">
        <v>2348750</v>
      </c>
      <c r="C57" s="131">
        <v>1067406</v>
      </c>
      <c r="D57" s="131">
        <f>21534+24232+182433+42501+729893</f>
        <v>1000593</v>
      </c>
      <c r="E57" s="19">
        <f t="shared" si="0"/>
        <v>0.426010856838744</v>
      </c>
      <c r="F57" s="19">
        <f t="shared" si="1"/>
        <v>0.9374061978291297</v>
      </c>
      <c r="G57" s="131">
        <f>D57-'[3]Maijs'!D57</f>
        <v>300137</v>
      </c>
      <c r="H57" s="102" t="s">
        <v>173</v>
      </c>
      <c r="I57" s="131">
        <f t="shared" si="20"/>
        <v>2349</v>
      </c>
      <c r="J57" s="131">
        <f>ROUND(C57/1000,0)+1</f>
        <v>1068</v>
      </c>
      <c r="K57" s="131">
        <f t="shared" si="20"/>
        <v>1001</v>
      </c>
      <c r="L57" s="128">
        <f t="shared" si="17"/>
        <v>0.42613878246062153</v>
      </c>
      <c r="M57" s="128">
        <f t="shared" si="18"/>
        <v>0.9372659176029963</v>
      </c>
      <c r="N57" s="131">
        <f>K57-'[3]Maijs'!K57</f>
        <v>301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12.75">
      <c r="A58" s="132" t="s">
        <v>189</v>
      </c>
      <c r="B58" s="52">
        <f>SUM(B59:B60)</f>
        <v>13962751</v>
      </c>
      <c r="C58" s="52">
        <f>SUM(C59:C60)</f>
        <v>7323097</v>
      </c>
      <c r="D58" s="52">
        <f>SUM(D59:D60)</f>
        <v>6328249</v>
      </c>
      <c r="E58" s="11">
        <f t="shared" si="0"/>
        <v>0.45322365198663217</v>
      </c>
      <c r="F58" s="11">
        <f t="shared" si="1"/>
        <v>0.8641492800109025</v>
      </c>
      <c r="G58" s="52">
        <f>SUM(G59:G60)</f>
        <v>1322378</v>
      </c>
      <c r="H58" s="132" t="s">
        <v>189</v>
      </c>
      <c r="I58" s="129">
        <f>SUM(I59:I60)</f>
        <v>13963</v>
      </c>
      <c r="J58" s="129">
        <f>SUM(J59:J60)</f>
        <v>7323</v>
      </c>
      <c r="K58" s="129">
        <f>SUM(K59:K60)</f>
        <v>6328</v>
      </c>
      <c r="L58" s="130">
        <f t="shared" si="17"/>
        <v>0.4531977368760295</v>
      </c>
      <c r="M58" s="130">
        <f t="shared" si="18"/>
        <v>0.8641267240202103</v>
      </c>
      <c r="N58" s="129">
        <f>SUM(N59:N60)</f>
        <v>1322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12.75">
      <c r="A59" s="102" t="s">
        <v>172</v>
      </c>
      <c r="B59" s="131">
        <v>12200953</v>
      </c>
      <c r="C59" s="131">
        <v>6319880</v>
      </c>
      <c r="D59" s="131">
        <f>6328249-684785</f>
        <v>5643464</v>
      </c>
      <c r="E59" s="19">
        <f t="shared" si="0"/>
        <v>0.4625428849697233</v>
      </c>
      <c r="F59" s="19">
        <f t="shared" si="1"/>
        <v>0.8929701196858169</v>
      </c>
      <c r="G59" s="131">
        <f>D59-'[3]Maijs'!D59</f>
        <v>1163953</v>
      </c>
      <c r="H59" s="102" t="s">
        <v>172</v>
      </c>
      <c r="I59" s="131">
        <f aca="true" t="shared" si="21" ref="I59:K60">ROUND(B59/1000,0)</f>
        <v>12201</v>
      </c>
      <c r="J59" s="131">
        <f t="shared" si="21"/>
        <v>6320</v>
      </c>
      <c r="K59" s="131">
        <f t="shared" si="21"/>
        <v>5643</v>
      </c>
      <c r="L59" s="128">
        <f t="shared" si="17"/>
        <v>0.46250307351856407</v>
      </c>
      <c r="M59" s="128">
        <f t="shared" si="18"/>
        <v>0.892879746835443</v>
      </c>
      <c r="N59" s="131">
        <f>K59-'[3]Maijs'!K59</f>
        <v>1163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12.75">
      <c r="A60" s="102" t="s">
        <v>173</v>
      </c>
      <c r="B60" s="131">
        <v>1761798</v>
      </c>
      <c r="C60" s="131">
        <v>1003217</v>
      </c>
      <c r="D60" s="131">
        <f>356179+24606+304000</f>
        <v>684785</v>
      </c>
      <c r="E60" s="19">
        <f t="shared" si="0"/>
        <v>0.3886853089854796</v>
      </c>
      <c r="F60" s="19">
        <f t="shared" si="1"/>
        <v>0.6825891108304584</v>
      </c>
      <c r="G60" s="131">
        <f>D60-'[3]Maijs'!D60</f>
        <v>158425</v>
      </c>
      <c r="H60" s="102" t="s">
        <v>173</v>
      </c>
      <c r="I60" s="131">
        <f t="shared" si="21"/>
        <v>1762</v>
      </c>
      <c r="J60" s="131">
        <f t="shared" si="21"/>
        <v>1003</v>
      </c>
      <c r="K60" s="131">
        <f t="shared" si="21"/>
        <v>685</v>
      </c>
      <c r="L60" s="128">
        <f t="shared" si="17"/>
        <v>0.3887627695800227</v>
      </c>
      <c r="M60" s="128">
        <f t="shared" si="18"/>
        <v>0.6829511465603191</v>
      </c>
      <c r="N60" s="131">
        <f>K60-'[3]Maijs'!K60</f>
        <v>159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12.75">
      <c r="A61" s="132" t="s">
        <v>190</v>
      </c>
      <c r="B61" s="52">
        <f>SUM(B62:B63)</f>
        <v>1265070</v>
      </c>
      <c r="C61" s="52">
        <f>SUM(C62:C63)</f>
        <v>641070</v>
      </c>
      <c r="D61" s="52">
        <f>SUM(D62:D63)</f>
        <v>600411</v>
      </c>
      <c r="E61" s="11">
        <f t="shared" si="0"/>
        <v>0.47460693874647253</v>
      </c>
      <c r="F61" s="11">
        <f t="shared" si="1"/>
        <v>0.936576348916655</v>
      </c>
      <c r="G61" s="52">
        <f>SUM(G62:G63)</f>
        <v>116259</v>
      </c>
      <c r="H61" s="132" t="s">
        <v>190</v>
      </c>
      <c r="I61" s="129">
        <f>SUM(I62:I63)</f>
        <v>1265</v>
      </c>
      <c r="J61" s="129">
        <f>SUM(J62:J63)</f>
        <v>642</v>
      </c>
      <c r="K61" s="129">
        <f>SUM(K62:K63)</f>
        <v>600</v>
      </c>
      <c r="L61" s="130">
        <f t="shared" si="17"/>
        <v>0.4743083003952569</v>
      </c>
      <c r="M61" s="130">
        <f t="shared" si="18"/>
        <v>0.9345794392523364</v>
      </c>
      <c r="N61" s="129">
        <f>SUM(N62:N63)</f>
        <v>116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2.75">
      <c r="A62" s="102" t="s">
        <v>172</v>
      </c>
      <c r="B62" s="131">
        <v>1222912</v>
      </c>
      <c r="C62" s="131">
        <v>605512</v>
      </c>
      <c r="D62" s="131">
        <f>600411-32313</f>
        <v>568098</v>
      </c>
      <c r="E62" s="19">
        <f t="shared" si="0"/>
        <v>0.46454528208080387</v>
      </c>
      <c r="F62" s="19">
        <f t="shared" si="1"/>
        <v>0.9382109685687484</v>
      </c>
      <c r="G62" s="131">
        <f>D62-'[3]Maijs'!D62</f>
        <v>116259</v>
      </c>
      <c r="H62" s="102" t="s">
        <v>172</v>
      </c>
      <c r="I62" s="131">
        <f aca="true" t="shared" si="22" ref="I62:K63">ROUND(B62/1000,0)</f>
        <v>1223</v>
      </c>
      <c r="J62" s="131">
        <f>ROUND(C62/1000,0)</f>
        <v>606</v>
      </c>
      <c r="K62" s="131">
        <f t="shared" si="22"/>
        <v>568</v>
      </c>
      <c r="L62" s="128">
        <f t="shared" si="17"/>
        <v>0.46443172526574</v>
      </c>
      <c r="M62" s="128">
        <f t="shared" si="18"/>
        <v>0.9372937293729373</v>
      </c>
      <c r="N62" s="131">
        <f>K62-'[3]Maijs'!K62</f>
        <v>116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12.75">
      <c r="A63" s="102" t="s">
        <v>173</v>
      </c>
      <c r="B63" s="131">
        <v>42158</v>
      </c>
      <c r="C63" s="131">
        <v>35558</v>
      </c>
      <c r="D63" s="131">
        <f>32313</f>
        <v>32313</v>
      </c>
      <c r="E63" s="19">
        <f t="shared" si="0"/>
        <v>0.7664737416385976</v>
      </c>
      <c r="F63" s="19">
        <f t="shared" si="1"/>
        <v>0.9087406490803758</v>
      </c>
      <c r="G63" s="131">
        <f>D63-'[3]Maijs'!D63</f>
        <v>0</v>
      </c>
      <c r="H63" s="102" t="s">
        <v>173</v>
      </c>
      <c r="I63" s="131">
        <f t="shared" si="22"/>
        <v>42</v>
      </c>
      <c r="J63" s="131">
        <f t="shared" si="22"/>
        <v>36</v>
      </c>
      <c r="K63" s="131">
        <f t="shared" si="22"/>
        <v>32</v>
      </c>
      <c r="L63" s="128">
        <f t="shared" si="17"/>
        <v>0.7619047619047619</v>
      </c>
      <c r="M63" s="128">
        <f t="shared" si="18"/>
        <v>0.8888888888888888</v>
      </c>
      <c r="N63" s="131">
        <f>K63-'[3]Maijs'!K63</f>
        <v>0</v>
      </c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132" t="s">
        <v>191</v>
      </c>
      <c r="B64" s="52">
        <f>SUM(B65:B66)</f>
        <v>749995</v>
      </c>
      <c r="C64" s="52">
        <f>SUM(C65:C66)</f>
        <v>375299</v>
      </c>
      <c r="D64" s="52">
        <f>SUM(D65:D66)</f>
        <v>375261</v>
      </c>
      <c r="E64" s="11">
        <f t="shared" si="0"/>
        <v>0.5003513356755712</v>
      </c>
      <c r="F64" s="11">
        <f t="shared" si="1"/>
        <v>0.9998987473987407</v>
      </c>
      <c r="G64" s="52">
        <f>SUM(G65:G66)</f>
        <v>85042</v>
      </c>
      <c r="H64" s="132" t="s">
        <v>191</v>
      </c>
      <c r="I64" s="129">
        <f>SUM(I65:I66)</f>
        <v>750</v>
      </c>
      <c r="J64" s="129">
        <f>SUM(J65:J66)</f>
        <v>375</v>
      </c>
      <c r="K64" s="129">
        <f>SUM(K65:K66)</f>
        <v>375</v>
      </c>
      <c r="L64" s="130">
        <f t="shared" si="17"/>
        <v>0.5</v>
      </c>
      <c r="M64" s="130">
        <f t="shared" si="18"/>
        <v>1</v>
      </c>
      <c r="N64" s="129">
        <f>SUM(N65:N66)</f>
        <v>85</v>
      </c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12.75">
      <c r="A65" s="102" t="s">
        <v>172</v>
      </c>
      <c r="B65" s="131">
        <v>749995</v>
      </c>
      <c r="C65" s="131">
        <v>375299</v>
      </c>
      <c r="D65" s="131">
        <v>375261</v>
      </c>
      <c r="E65" s="19">
        <f t="shared" si="0"/>
        <v>0.5003513356755712</v>
      </c>
      <c r="F65" s="19">
        <f t="shared" si="1"/>
        <v>0.9998987473987407</v>
      </c>
      <c r="G65" s="131">
        <f>D65-'[3]Maijs'!D65</f>
        <v>85042</v>
      </c>
      <c r="H65" s="102" t="s">
        <v>172</v>
      </c>
      <c r="I65" s="131">
        <f>ROUND(B65/1000,0)</f>
        <v>750</v>
      </c>
      <c r="J65" s="131">
        <f>ROUND(C65/1000,0)</f>
        <v>375</v>
      </c>
      <c r="K65" s="131">
        <f>ROUND(D65/1000,0)</f>
        <v>375</v>
      </c>
      <c r="L65" s="128">
        <f t="shared" si="17"/>
        <v>0.5</v>
      </c>
      <c r="M65" s="128">
        <f t="shared" si="18"/>
        <v>1</v>
      </c>
      <c r="N65" s="131">
        <f>K65-'[3]Maijs'!K65</f>
        <v>85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2.75" hidden="1">
      <c r="A66" s="102"/>
      <c r="B66" s="131"/>
      <c r="C66" s="131"/>
      <c r="D66" s="131"/>
      <c r="E66" s="19"/>
      <c r="F66" s="19" t="str">
        <f t="shared" si="1"/>
        <v> </v>
      </c>
      <c r="G66" s="131"/>
      <c r="H66" s="102"/>
      <c r="I66" s="131"/>
      <c r="J66" s="131"/>
      <c r="K66" s="131"/>
      <c r="L66" s="128" t="str">
        <f t="shared" si="17"/>
        <v> </v>
      </c>
      <c r="M66" s="128" t="str">
        <f t="shared" si="18"/>
        <v> </v>
      </c>
      <c r="N66" s="131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2.75">
      <c r="A67" s="132" t="s">
        <v>192</v>
      </c>
      <c r="B67" s="52">
        <f>SUM(B68:B69)</f>
        <v>372243</v>
      </c>
      <c r="C67" s="52">
        <f>SUM(C68:C69)</f>
        <v>170243</v>
      </c>
      <c r="D67" s="52">
        <f>SUM(D68:D69)</f>
        <v>163658</v>
      </c>
      <c r="E67" s="11">
        <f t="shared" si="0"/>
        <v>0.439653667093807</v>
      </c>
      <c r="F67" s="11">
        <f t="shared" si="1"/>
        <v>0.961319995535793</v>
      </c>
      <c r="G67" s="52">
        <f>SUM(G68:G69)</f>
        <v>37122</v>
      </c>
      <c r="H67" s="132" t="s">
        <v>192</v>
      </c>
      <c r="I67" s="129">
        <f>SUM(I68:I69)</f>
        <v>373</v>
      </c>
      <c r="J67" s="129">
        <f>SUM(J68:J69)</f>
        <v>170</v>
      </c>
      <c r="K67" s="129">
        <f>SUM(K68:K69)</f>
        <v>163</v>
      </c>
      <c r="L67" s="130">
        <f t="shared" si="17"/>
        <v>0.43699731903485256</v>
      </c>
      <c r="M67" s="130">
        <f t="shared" si="18"/>
        <v>0.9588235294117647</v>
      </c>
      <c r="N67" s="129">
        <f>SUM(N68:N69)</f>
        <v>36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12.75">
      <c r="A68" s="102" t="s">
        <v>172</v>
      </c>
      <c r="B68" s="131">
        <v>326743</v>
      </c>
      <c r="C68" s="131">
        <v>153843</v>
      </c>
      <c r="D68" s="131">
        <f>163758-16341</f>
        <v>147417</v>
      </c>
      <c r="E68" s="19">
        <f t="shared" si="0"/>
        <v>0.4511711038951102</v>
      </c>
      <c r="F68" s="19">
        <f t="shared" si="1"/>
        <v>0.9582301437179462</v>
      </c>
      <c r="G68" s="131">
        <f>D68-'[3]Maijs'!D68</f>
        <v>29741</v>
      </c>
      <c r="H68" s="102" t="s">
        <v>172</v>
      </c>
      <c r="I68" s="131">
        <f aca="true" t="shared" si="23" ref="I68:K69">ROUND(B68/1000,0)</f>
        <v>327</v>
      </c>
      <c r="J68" s="131">
        <f t="shared" si="23"/>
        <v>154</v>
      </c>
      <c r="K68" s="131">
        <f t="shared" si="23"/>
        <v>147</v>
      </c>
      <c r="L68" s="128">
        <f t="shared" si="17"/>
        <v>0.44954128440366975</v>
      </c>
      <c r="M68" s="128">
        <f t="shared" si="18"/>
        <v>0.9545454545454546</v>
      </c>
      <c r="N68" s="131">
        <f>K68-'[3]Maijs'!K68</f>
        <v>29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12.75">
      <c r="A69" s="102" t="s">
        <v>173</v>
      </c>
      <c r="B69" s="131">
        <v>45500</v>
      </c>
      <c r="C69" s="131">
        <v>16400</v>
      </c>
      <c r="D69" s="131">
        <f>14566+1675</f>
        <v>16241</v>
      </c>
      <c r="E69" s="19">
        <f t="shared" si="0"/>
        <v>0.35694505494505496</v>
      </c>
      <c r="F69" s="19">
        <f t="shared" si="1"/>
        <v>0.9903048780487805</v>
      </c>
      <c r="G69" s="131">
        <f>D69-'[3]Maijs'!D69</f>
        <v>7381</v>
      </c>
      <c r="H69" s="102" t="s">
        <v>173</v>
      </c>
      <c r="I69" s="131">
        <f t="shared" si="23"/>
        <v>46</v>
      </c>
      <c r="J69" s="131">
        <f t="shared" si="23"/>
        <v>16</v>
      </c>
      <c r="K69" s="131">
        <f>ROUND(D69/1000,0)</f>
        <v>16</v>
      </c>
      <c r="L69" s="128">
        <f t="shared" si="17"/>
        <v>0.34782608695652173</v>
      </c>
      <c r="M69" s="128">
        <f t="shared" si="18"/>
        <v>1</v>
      </c>
      <c r="N69" s="131">
        <f>K69-'[3]Maijs'!K69</f>
        <v>7</v>
      </c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12.75">
      <c r="A70" s="132" t="s">
        <v>193</v>
      </c>
      <c r="B70" s="52">
        <f>SUM(B71:B72)</f>
        <v>6627804</v>
      </c>
      <c r="C70" s="52">
        <f>SUM(C71:C72)</f>
        <v>3319964</v>
      </c>
      <c r="D70" s="52">
        <f>SUM(D71:D72)</f>
        <v>3300752</v>
      </c>
      <c r="E70" s="11">
        <f t="shared" si="0"/>
        <v>0.49801593408616185</v>
      </c>
      <c r="F70" s="11">
        <f t="shared" si="1"/>
        <v>0.9942131902635089</v>
      </c>
      <c r="G70" s="52">
        <f>SUM(G71:G72)</f>
        <v>644389</v>
      </c>
      <c r="H70" s="132" t="s">
        <v>193</v>
      </c>
      <c r="I70" s="129">
        <f>SUM(I71:I72)</f>
        <v>6628</v>
      </c>
      <c r="J70" s="129">
        <f>SUM(J71:J72)</f>
        <v>3320</v>
      </c>
      <c r="K70" s="129">
        <f>SUM(K71:K72)</f>
        <v>3300</v>
      </c>
      <c r="L70" s="130">
        <f t="shared" si="17"/>
        <v>0.4978877489438745</v>
      </c>
      <c r="M70" s="130">
        <f t="shared" si="18"/>
        <v>0.9939759036144579</v>
      </c>
      <c r="N70" s="129">
        <f>SUM(N71:N72)</f>
        <v>644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12.75">
      <c r="A71" s="102" t="s">
        <v>172</v>
      </c>
      <c r="B71" s="131">
        <v>6094502</v>
      </c>
      <c r="C71" s="131">
        <v>3001104</v>
      </c>
      <c r="D71" s="131">
        <f>3300752-303380</f>
        <v>2997372</v>
      </c>
      <c r="E71" s="19">
        <f t="shared" si="0"/>
        <v>0.49181573818500673</v>
      </c>
      <c r="F71" s="19">
        <f t="shared" si="1"/>
        <v>0.9987564576235946</v>
      </c>
      <c r="G71" s="131">
        <f>D71-'[3]Maijs'!D71</f>
        <v>541041</v>
      </c>
      <c r="H71" s="102" t="s">
        <v>172</v>
      </c>
      <c r="I71" s="131">
        <f aca="true" t="shared" si="24" ref="I71:K72">ROUND(B71/1000,0)</f>
        <v>6095</v>
      </c>
      <c r="J71" s="131">
        <f t="shared" si="24"/>
        <v>3001</v>
      </c>
      <c r="K71" s="131">
        <f t="shared" si="24"/>
        <v>2997</v>
      </c>
      <c r="L71" s="128">
        <f t="shared" si="17"/>
        <v>0.49171452009844135</v>
      </c>
      <c r="M71" s="128">
        <f t="shared" si="18"/>
        <v>0.9986671109630123</v>
      </c>
      <c r="N71" s="131">
        <f>K71-'[3]Maijs'!K71</f>
        <v>541</v>
      </c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2.75">
      <c r="A72" s="102" t="s">
        <v>173</v>
      </c>
      <c r="B72" s="131">
        <v>533302</v>
      </c>
      <c r="C72" s="131">
        <v>318860</v>
      </c>
      <c r="D72" s="131">
        <f>189719+113661</f>
        <v>303380</v>
      </c>
      <c r="E72" s="19">
        <f t="shared" si="0"/>
        <v>0.5688709211666185</v>
      </c>
      <c r="F72" s="19">
        <f t="shared" si="1"/>
        <v>0.9514520479207176</v>
      </c>
      <c r="G72" s="131">
        <f>D72-'[3]Maijs'!D72</f>
        <v>103348</v>
      </c>
      <c r="H72" s="102" t="s">
        <v>173</v>
      </c>
      <c r="I72" s="131">
        <f t="shared" si="24"/>
        <v>533</v>
      </c>
      <c r="J72" s="131">
        <f t="shared" si="24"/>
        <v>319</v>
      </c>
      <c r="K72" s="131">
        <f t="shared" si="24"/>
        <v>303</v>
      </c>
      <c r="L72" s="128">
        <f t="shared" si="17"/>
        <v>0.5684803001876173</v>
      </c>
      <c r="M72" s="128">
        <f t="shared" si="18"/>
        <v>0.9498432601880877</v>
      </c>
      <c r="N72" s="131">
        <f>K72-'[3]Maijs'!K72</f>
        <v>103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2.75" customHeight="1">
      <c r="A73" s="134" t="s">
        <v>194</v>
      </c>
      <c r="B73" s="52">
        <f>SUM(B74:B75)</f>
        <v>77805</v>
      </c>
      <c r="C73" s="52">
        <f>SUM(C74:C75)</f>
        <v>38950</v>
      </c>
      <c r="D73" s="52">
        <f>SUM(D74:D75)</f>
        <v>37359</v>
      </c>
      <c r="E73" s="11">
        <f aca="true" t="shared" si="25" ref="E73:E92">IF(ISERROR(D73/B73)," ",(D73/B73))</f>
        <v>0.4801619433198381</v>
      </c>
      <c r="F73" s="11">
        <f aca="true" t="shared" si="26" ref="F73:F85">IF(ISERROR(D73/C73)," ",(D73/C73))</f>
        <v>0.9591527599486521</v>
      </c>
      <c r="G73" s="52">
        <f>SUM(G74:G75)</f>
        <v>9452</v>
      </c>
      <c r="H73" s="134" t="s">
        <v>194</v>
      </c>
      <c r="I73" s="129">
        <f>SUM(I74:I75)</f>
        <v>78</v>
      </c>
      <c r="J73" s="129">
        <f>SUM(J74:J75)</f>
        <v>39</v>
      </c>
      <c r="K73" s="129">
        <f>SUM(K74:K75)</f>
        <v>37</v>
      </c>
      <c r="L73" s="130">
        <f t="shared" si="17"/>
        <v>0.47435897435897434</v>
      </c>
      <c r="M73" s="130">
        <f t="shared" si="18"/>
        <v>0.9487179487179487</v>
      </c>
      <c r="N73" s="129">
        <f>SUM(N74:N75)</f>
        <v>9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12.75">
      <c r="A74" s="102" t="s">
        <v>172</v>
      </c>
      <c r="B74" s="131">
        <v>75305</v>
      </c>
      <c r="C74" s="131">
        <v>37650</v>
      </c>
      <c r="D74" s="131">
        <f>37359-266</f>
        <v>37093</v>
      </c>
      <c r="E74" s="19">
        <f t="shared" si="25"/>
        <v>0.49257021446119115</v>
      </c>
      <c r="F74" s="19">
        <f t="shared" si="26"/>
        <v>0.9852058432934927</v>
      </c>
      <c r="G74" s="131">
        <f>D74-'[3]Maijs'!D74</f>
        <v>9282</v>
      </c>
      <c r="H74" s="102" t="s">
        <v>172</v>
      </c>
      <c r="I74" s="131">
        <f aca="true" t="shared" si="27" ref="I74:K75">ROUND(B74/1000,0)</f>
        <v>75</v>
      </c>
      <c r="J74" s="131">
        <f t="shared" si="27"/>
        <v>38</v>
      </c>
      <c r="K74" s="131">
        <f t="shared" si="27"/>
        <v>37</v>
      </c>
      <c r="L74" s="128">
        <f t="shared" si="17"/>
        <v>0.49333333333333335</v>
      </c>
      <c r="M74" s="128">
        <f t="shared" si="18"/>
        <v>0.9736842105263158</v>
      </c>
      <c r="N74" s="131">
        <f>K74-'[3]Maijs'!K74</f>
        <v>9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12.75">
      <c r="A75" s="102" t="s">
        <v>173</v>
      </c>
      <c r="B75" s="131">
        <v>2500</v>
      </c>
      <c r="C75" s="131">
        <v>1300</v>
      </c>
      <c r="D75" s="131">
        <f>266</f>
        <v>266</v>
      </c>
      <c r="E75" s="19">
        <f t="shared" si="25"/>
        <v>0.1064</v>
      </c>
      <c r="F75" s="19">
        <f t="shared" si="26"/>
        <v>0.20461538461538462</v>
      </c>
      <c r="G75" s="131">
        <f>D75-'[3]Maijs'!D75</f>
        <v>170</v>
      </c>
      <c r="H75" s="102" t="s">
        <v>173</v>
      </c>
      <c r="I75" s="131">
        <f t="shared" si="27"/>
        <v>3</v>
      </c>
      <c r="J75" s="131">
        <f t="shared" si="27"/>
        <v>1</v>
      </c>
      <c r="K75" s="131">
        <f t="shared" si="27"/>
        <v>0</v>
      </c>
      <c r="L75" s="128">
        <f t="shared" si="17"/>
        <v>0</v>
      </c>
      <c r="M75" s="128">
        <f t="shared" si="18"/>
        <v>0</v>
      </c>
      <c r="N75" s="131">
        <f>K75-'[3]Maijs'!K75</f>
        <v>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13.5" customHeight="1">
      <c r="A76" s="32" t="s">
        <v>195</v>
      </c>
      <c r="B76" s="52">
        <f>SUM(B77)</f>
        <v>52453</v>
      </c>
      <c r="C76" s="52">
        <f>SUM(C77)</f>
        <v>26100</v>
      </c>
      <c r="D76" s="52">
        <f>SUM(D77)</f>
        <v>24578</v>
      </c>
      <c r="E76" s="11">
        <f t="shared" si="25"/>
        <v>0.468571864335691</v>
      </c>
      <c r="F76" s="11">
        <f t="shared" si="26"/>
        <v>0.9416858237547893</v>
      </c>
      <c r="G76" s="52">
        <f>SUM(G77)</f>
        <v>5903</v>
      </c>
      <c r="H76" s="32" t="s">
        <v>195</v>
      </c>
      <c r="I76" s="129">
        <f>SUM(I77)</f>
        <v>52</v>
      </c>
      <c r="J76" s="129">
        <f>SUM(J77)</f>
        <v>26</v>
      </c>
      <c r="K76" s="129">
        <f>SUM(K77)</f>
        <v>25</v>
      </c>
      <c r="L76" s="130">
        <f t="shared" si="17"/>
        <v>0.4807692307692308</v>
      </c>
      <c r="M76" s="130">
        <f t="shared" si="18"/>
        <v>0.9615384615384616</v>
      </c>
      <c r="N76" s="129">
        <f>SUM(N77)</f>
        <v>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2.75">
      <c r="A77" s="102" t="s">
        <v>172</v>
      </c>
      <c r="B77" s="131">
        <v>52453</v>
      </c>
      <c r="C77" s="131">
        <v>26100</v>
      </c>
      <c r="D77" s="131">
        <v>24578</v>
      </c>
      <c r="E77" s="19">
        <f t="shared" si="25"/>
        <v>0.468571864335691</v>
      </c>
      <c r="F77" s="19">
        <f t="shared" si="26"/>
        <v>0.9416858237547893</v>
      </c>
      <c r="G77" s="131">
        <f>D77-'[3]Maijs'!D77</f>
        <v>5903</v>
      </c>
      <c r="H77" s="102" t="s">
        <v>172</v>
      </c>
      <c r="I77" s="131">
        <f>ROUND(B77/1000,0)</f>
        <v>52</v>
      </c>
      <c r="J77" s="131">
        <f>ROUND(C77/1000,0)</f>
        <v>26</v>
      </c>
      <c r="K77" s="131">
        <f>ROUND(D77/1000,0)</f>
        <v>25</v>
      </c>
      <c r="L77" s="128">
        <f t="shared" si="17"/>
        <v>0.4807692307692308</v>
      </c>
      <c r="M77" s="128">
        <f t="shared" si="18"/>
        <v>0.9615384615384616</v>
      </c>
      <c r="N77" s="131">
        <f>K77-'[3]Maijs'!K77</f>
        <v>6</v>
      </c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16.5" customHeight="1">
      <c r="A78" s="32" t="s">
        <v>196</v>
      </c>
      <c r="B78" s="52">
        <f>SUM(B79)</f>
        <v>789573</v>
      </c>
      <c r="C78" s="52">
        <f>SUM(C79)</f>
        <v>395094</v>
      </c>
      <c r="D78" s="52">
        <f>SUM(D79)</f>
        <v>395094</v>
      </c>
      <c r="E78" s="11">
        <f t="shared" si="25"/>
        <v>0.5003894510070633</v>
      </c>
      <c r="F78" s="11">
        <f t="shared" si="26"/>
        <v>1</v>
      </c>
      <c r="G78" s="52">
        <f>SUM(G79)</f>
        <v>66600</v>
      </c>
      <c r="H78" s="32" t="s">
        <v>196</v>
      </c>
      <c r="I78" s="129">
        <f>SUM(I79)</f>
        <v>790</v>
      </c>
      <c r="J78" s="129">
        <f>SUM(J79)</f>
        <v>395</v>
      </c>
      <c r="K78" s="129">
        <f>SUM(K79)</f>
        <v>395</v>
      </c>
      <c r="L78" s="130">
        <f t="shared" si="17"/>
        <v>0.5</v>
      </c>
      <c r="M78" s="130">
        <f t="shared" si="18"/>
        <v>1</v>
      </c>
      <c r="N78" s="129">
        <f>SUM(N79)</f>
        <v>67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12.75">
      <c r="A79" s="102" t="s">
        <v>172</v>
      </c>
      <c r="B79" s="131">
        <v>789573</v>
      </c>
      <c r="C79" s="131">
        <v>395094</v>
      </c>
      <c r="D79" s="131">
        <v>395094</v>
      </c>
      <c r="E79" s="19">
        <f t="shared" si="25"/>
        <v>0.5003894510070633</v>
      </c>
      <c r="F79" s="19">
        <f t="shared" si="26"/>
        <v>1</v>
      </c>
      <c r="G79" s="131">
        <f>D79-'[3]Maijs'!D79</f>
        <v>66600</v>
      </c>
      <c r="H79" s="102" t="s">
        <v>172</v>
      </c>
      <c r="I79" s="131">
        <f>ROUND(B79/1000,0)</f>
        <v>790</v>
      </c>
      <c r="J79" s="131">
        <f>ROUND(C79/1000,0)</f>
        <v>395</v>
      </c>
      <c r="K79" s="131">
        <f>ROUND(D79/1000,0)</f>
        <v>395</v>
      </c>
      <c r="L79" s="128">
        <f t="shared" si="17"/>
        <v>0.5</v>
      </c>
      <c r="M79" s="128">
        <f t="shared" si="18"/>
        <v>1</v>
      </c>
      <c r="N79" s="131">
        <f>K79-'[3]Maijs'!K79</f>
        <v>67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12.75">
      <c r="A80" s="132" t="s">
        <v>197</v>
      </c>
      <c r="B80" s="52">
        <f>SUM(B81:B82)</f>
        <v>6551838</v>
      </c>
      <c r="C80" s="52">
        <f>SUM(C81:C82)</f>
        <v>3255713</v>
      </c>
      <c r="D80" s="52">
        <f>SUM(D81:D82)</f>
        <v>3252228</v>
      </c>
      <c r="E80" s="11">
        <f t="shared" si="25"/>
        <v>0.496384068104248</v>
      </c>
      <c r="F80" s="11">
        <f t="shared" si="26"/>
        <v>0.9989295739520038</v>
      </c>
      <c r="G80" s="52">
        <f>SUM(G81:G82)</f>
        <v>544076</v>
      </c>
      <c r="H80" s="132" t="s">
        <v>197</v>
      </c>
      <c r="I80" s="129">
        <f>SUM(I81:I82)</f>
        <v>6552</v>
      </c>
      <c r="J80" s="129">
        <f>SUM(J81:J82)</f>
        <v>3256</v>
      </c>
      <c r="K80" s="129">
        <f>SUM(K81:K82)</f>
        <v>3253</v>
      </c>
      <c r="L80" s="130">
        <f t="shared" si="17"/>
        <v>0.4964896214896215</v>
      </c>
      <c r="M80" s="130">
        <f t="shared" si="18"/>
        <v>0.9990786240786241</v>
      </c>
      <c r="N80" s="129">
        <f>SUM(N81:N82)</f>
        <v>545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12.75">
      <c r="A81" s="102" t="s">
        <v>172</v>
      </c>
      <c r="B81" s="131">
        <v>6543838</v>
      </c>
      <c r="C81" s="131">
        <v>3250213</v>
      </c>
      <c r="D81" s="131">
        <f>3252228-4338</f>
        <v>3247890</v>
      </c>
      <c r="E81" s="19">
        <f t="shared" si="25"/>
        <v>0.4963279958947639</v>
      </c>
      <c r="F81" s="19">
        <f t="shared" si="26"/>
        <v>0.9992852776110366</v>
      </c>
      <c r="G81" s="131">
        <f>D81-'[3]Maijs'!D81</f>
        <v>544076</v>
      </c>
      <c r="H81" s="102" t="s">
        <v>172</v>
      </c>
      <c r="I81" s="131">
        <f aca="true" t="shared" si="28" ref="I81:K82">ROUND(B81/1000,0)</f>
        <v>6544</v>
      </c>
      <c r="J81" s="131">
        <f t="shared" si="28"/>
        <v>3250</v>
      </c>
      <c r="K81" s="131">
        <f t="shared" si="28"/>
        <v>3248</v>
      </c>
      <c r="L81" s="128">
        <f t="shared" si="17"/>
        <v>0.4963325183374083</v>
      </c>
      <c r="M81" s="128">
        <f t="shared" si="18"/>
        <v>0.9993846153846154</v>
      </c>
      <c r="N81" s="131">
        <f>K81-'[3]Maijs'!K81</f>
        <v>544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2.75">
      <c r="A82" s="102" t="s">
        <v>173</v>
      </c>
      <c r="B82" s="131">
        <v>8000</v>
      </c>
      <c r="C82" s="131">
        <v>5500</v>
      </c>
      <c r="D82" s="131">
        <v>4338</v>
      </c>
      <c r="E82" s="19">
        <f t="shared" si="25"/>
        <v>0.54225</v>
      </c>
      <c r="F82" s="19">
        <f t="shared" si="26"/>
        <v>0.7887272727272727</v>
      </c>
      <c r="G82" s="131">
        <f>D82-'[3]Maijs'!D82</f>
        <v>0</v>
      </c>
      <c r="H82" s="102" t="s">
        <v>173</v>
      </c>
      <c r="I82" s="131">
        <f t="shared" si="28"/>
        <v>8</v>
      </c>
      <c r="J82" s="131">
        <f t="shared" si="28"/>
        <v>6</v>
      </c>
      <c r="K82" s="131">
        <f>ROUND(D82/1000,0)+1</f>
        <v>5</v>
      </c>
      <c r="L82" s="128">
        <f t="shared" si="17"/>
        <v>0.625</v>
      </c>
      <c r="M82" s="128">
        <f t="shared" si="18"/>
        <v>0.8333333333333334</v>
      </c>
      <c r="N82" s="131">
        <f>K82-'[3]Maijs'!K82</f>
        <v>1</v>
      </c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13.5" customHeight="1">
      <c r="A83" s="32" t="s">
        <v>198</v>
      </c>
      <c r="B83" s="52">
        <f>SUM(B84)</f>
        <v>97907</v>
      </c>
      <c r="C83" s="52">
        <f>SUM(C84)</f>
        <v>40789</v>
      </c>
      <c r="D83" s="52">
        <f>SUM(D84)</f>
        <v>40789</v>
      </c>
      <c r="E83" s="11">
        <f t="shared" si="25"/>
        <v>0.41660963976018056</v>
      </c>
      <c r="F83" s="11">
        <f t="shared" si="26"/>
        <v>1</v>
      </c>
      <c r="G83" s="52">
        <f>SUM(G84)</f>
        <v>8382</v>
      </c>
      <c r="H83" s="32" t="s">
        <v>198</v>
      </c>
      <c r="I83" s="129">
        <f>SUM(I84)</f>
        <v>98</v>
      </c>
      <c r="J83" s="129">
        <f>SUM(J84)</f>
        <v>41</v>
      </c>
      <c r="K83" s="129">
        <f>SUM(K84)</f>
        <v>41</v>
      </c>
      <c r="L83" s="130">
        <f t="shared" si="17"/>
        <v>0.41836734693877553</v>
      </c>
      <c r="M83" s="130">
        <f t="shared" si="18"/>
        <v>1</v>
      </c>
      <c r="N83" s="129">
        <f>SUM(N84)</f>
        <v>9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ht="12.75">
      <c r="A84" s="102" t="s">
        <v>172</v>
      </c>
      <c r="B84" s="131">
        <v>97907</v>
      </c>
      <c r="C84" s="131">
        <v>40789</v>
      </c>
      <c r="D84" s="131">
        <v>40789</v>
      </c>
      <c r="E84" s="19">
        <f t="shared" si="25"/>
        <v>0.41660963976018056</v>
      </c>
      <c r="F84" s="19">
        <f t="shared" si="26"/>
        <v>1</v>
      </c>
      <c r="G84" s="131">
        <f>D84-'[3]Maijs'!D84</f>
        <v>8382</v>
      </c>
      <c r="H84" s="102" t="s">
        <v>172</v>
      </c>
      <c r="I84" s="131">
        <f>ROUND(B84/1000,0)</f>
        <v>98</v>
      </c>
      <c r="J84" s="131">
        <f>ROUND(C84/1000,0)</f>
        <v>41</v>
      </c>
      <c r="K84" s="131">
        <f>ROUND(D84/1000,0)</f>
        <v>41</v>
      </c>
      <c r="L84" s="128">
        <f t="shared" si="17"/>
        <v>0.41836734693877553</v>
      </c>
      <c r="M84" s="128">
        <f t="shared" si="18"/>
        <v>1</v>
      </c>
      <c r="N84" s="131">
        <f>K84-'[3]Maijs'!K84</f>
        <v>9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ht="39.75" customHeight="1">
      <c r="A85" s="109" t="s">
        <v>199</v>
      </c>
      <c r="B85" s="52">
        <f>SUM(B86:B87)</f>
        <v>651209</v>
      </c>
      <c r="C85" s="52">
        <f>SUM(C86:C87)</f>
        <v>246769</v>
      </c>
      <c r="D85" s="52">
        <f>SUM(D86:D87)</f>
        <v>233806</v>
      </c>
      <c r="E85" s="11">
        <f>IF(ISERROR(D85/B85)," ",(D85/B85))</f>
        <v>0.3590337357131121</v>
      </c>
      <c r="F85" s="11">
        <f t="shared" si="26"/>
        <v>0.9474690905259575</v>
      </c>
      <c r="G85" s="52">
        <f>SUM(G86:G87)</f>
        <v>74274</v>
      </c>
      <c r="H85" s="109" t="s">
        <v>199</v>
      </c>
      <c r="I85" s="129">
        <f>SUM(I86:I87)</f>
        <v>651</v>
      </c>
      <c r="J85" s="129">
        <f>SUM(J86:J87)</f>
        <v>246</v>
      </c>
      <c r="K85" s="129">
        <f>SUM(K86:K87)</f>
        <v>233</v>
      </c>
      <c r="L85" s="130">
        <f>IF(ISERROR(ROUND(K85,0)/ROUND(I85,0))," ",(ROUND(K85,)/ROUND(I85,)))</f>
        <v>0.3579109062980031</v>
      </c>
      <c r="M85" s="130">
        <f>IF(ISERROR(ROUND(K85,0)/ROUND(J85,0))," ",(ROUND(K85,)/ROUND(J85,)))</f>
        <v>0.9471544715447154</v>
      </c>
      <c r="N85" s="129">
        <f>SUM(N86:N87)</f>
        <v>74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ht="12.75">
      <c r="A86" s="102" t="s">
        <v>172</v>
      </c>
      <c r="B86" s="131">
        <v>641109</v>
      </c>
      <c r="C86" s="131">
        <v>239469</v>
      </c>
      <c r="D86" s="131">
        <f>233806-5439</f>
        <v>228367</v>
      </c>
      <c r="E86" s="19"/>
      <c r="F86" s="19"/>
      <c r="G86" s="131">
        <f>D86-'[3]Maijs'!D86</f>
        <v>73027</v>
      </c>
      <c r="H86" s="102" t="s">
        <v>172</v>
      </c>
      <c r="I86" s="131">
        <f aca="true" t="shared" si="29" ref="I86:K87">ROUND(B86/1000,0)</f>
        <v>641</v>
      </c>
      <c r="J86" s="131">
        <f t="shared" si="29"/>
        <v>239</v>
      </c>
      <c r="K86" s="131">
        <f t="shared" si="29"/>
        <v>228</v>
      </c>
      <c r="L86" s="128">
        <f>IF(ISERROR(ROUND(K86,0)/ROUND(I86,0))," ",(ROUND(K86,)/ROUND(I86,)))</f>
        <v>0.35569422776911075</v>
      </c>
      <c r="M86" s="128">
        <f>IF(ISERROR(ROUND(K86,0)/ROUND(J86,0))," ",(ROUND(K86,)/ROUND(J86,)))</f>
        <v>0.9539748953974896</v>
      </c>
      <c r="N86" s="131">
        <f>K86-'[3]Maijs'!K86</f>
        <v>73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12.75">
      <c r="A87" s="102" t="s">
        <v>173</v>
      </c>
      <c r="B87" s="131">
        <v>10100</v>
      </c>
      <c r="C87" s="131">
        <v>7300</v>
      </c>
      <c r="D87" s="131">
        <f>5439</f>
        <v>5439</v>
      </c>
      <c r="E87" s="19"/>
      <c r="F87" s="19"/>
      <c r="G87" s="131">
        <f>D87-'[3]Maijs'!D87</f>
        <v>1247</v>
      </c>
      <c r="H87" s="102" t="s">
        <v>173</v>
      </c>
      <c r="I87" s="131">
        <f t="shared" si="29"/>
        <v>10</v>
      </c>
      <c r="J87" s="131">
        <f t="shared" si="29"/>
        <v>7</v>
      </c>
      <c r="K87" s="131">
        <f t="shared" si="29"/>
        <v>5</v>
      </c>
      <c r="L87" s="128">
        <f>IF(ISERROR(ROUND(K87,0)/ROUND(I87,0))," ",(ROUND(K87,)/ROUND(I87,)))</f>
        <v>0.5</v>
      </c>
      <c r="M87" s="128">
        <f>IF(ISERROR(ROUND(K87,0)/ROUND(J87,0))," ",(ROUND(K87,)/ROUND(J87,)))</f>
        <v>0.7142857142857143</v>
      </c>
      <c r="N87" s="131">
        <f>K87-'[3]Maijs'!K87</f>
        <v>1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12.75" customHeight="1">
      <c r="A88" s="32" t="s">
        <v>200</v>
      </c>
      <c r="B88" s="52">
        <f>SUM(B89:B90)</f>
        <v>93876258</v>
      </c>
      <c r="C88" s="52">
        <f>SUM(C89:C90)</f>
        <v>52828012</v>
      </c>
      <c r="D88" s="52">
        <f>SUM(D89:D90)</f>
        <v>52348012</v>
      </c>
      <c r="E88" s="11">
        <f t="shared" si="25"/>
        <v>0.5576278083005822</v>
      </c>
      <c r="F88" s="11">
        <f>IF(ISERROR(D88/C88)," ",(D88/C88))</f>
        <v>0.9909139113544534</v>
      </c>
      <c r="G88" s="52">
        <f>SUM(G89:G90)</f>
        <v>15542361</v>
      </c>
      <c r="H88" s="32" t="s">
        <v>200</v>
      </c>
      <c r="I88" s="129">
        <f>SUM(I89:I90)</f>
        <v>93876</v>
      </c>
      <c r="J88" s="129">
        <f>SUM(J89:J90)</f>
        <v>52828</v>
      </c>
      <c r="K88" s="129">
        <f>SUM(K89:K90)</f>
        <v>52348</v>
      </c>
      <c r="L88" s="130">
        <f t="shared" si="17"/>
        <v>0.5576292130043887</v>
      </c>
      <c r="M88" s="130">
        <f t="shared" si="18"/>
        <v>0.9909139092905278</v>
      </c>
      <c r="N88" s="129">
        <f>SUM(N89:N90)</f>
        <v>15542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12.75">
      <c r="A89" s="102" t="s">
        <v>172</v>
      </c>
      <c r="B89" s="131">
        <v>84753258</v>
      </c>
      <c r="C89" s="131">
        <v>49783012</v>
      </c>
      <c r="D89" s="131">
        <v>49303012</v>
      </c>
      <c r="E89" s="19">
        <f t="shared" si="25"/>
        <v>0.5817240913617739</v>
      </c>
      <c r="F89" s="19">
        <f>IF(ISERROR(D89/C89)," ",(D89/C89))</f>
        <v>0.9903581567141819</v>
      </c>
      <c r="G89" s="131">
        <f>D89-'[3]Maijs'!D89</f>
        <v>14492361</v>
      </c>
      <c r="H89" s="102" t="s">
        <v>172</v>
      </c>
      <c r="I89" s="131">
        <f aca="true" t="shared" si="30" ref="I89:K90">ROUND(B89/1000,0)</f>
        <v>84753</v>
      </c>
      <c r="J89" s="131">
        <f t="shared" si="30"/>
        <v>49783</v>
      </c>
      <c r="K89" s="131">
        <f t="shared" si="30"/>
        <v>49303</v>
      </c>
      <c r="L89" s="128">
        <f t="shared" si="17"/>
        <v>0.5817257206234587</v>
      </c>
      <c r="M89" s="128">
        <f t="shared" si="18"/>
        <v>0.9903581543900528</v>
      </c>
      <c r="N89" s="131">
        <f>K89-'[3]Maijs'!K89</f>
        <v>14492</v>
      </c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12.75">
      <c r="A90" s="102" t="s">
        <v>173</v>
      </c>
      <c r="B90" s="131">
        <v>9123000</v>
      </c>
      <c r="C90" s="131">
        <v>3045000</v>
      </c>
      <c r="D90" s="131">
        <v>3045000</v>
      </c>
      <c r="E90" s="19">
        <f t="shared" si="25"/>
        <v>0.3337717855968431</v>
      </c>
      <c r="F90" s="19">
        <f>IF(ISERROR(D90/C90)," ",(D90/C90))</f>
        <v>1</v>
      </c>
      <c r="G90" s="131">
        <f>D90-'[3]Maijs'!D90</f>
        <v>1050000</v>
      </c>
      <c r="H90" s="102" t="s">
        <v>173</v>
      </c>
      <c r="I90" s="131">
        <f t="shared" si="30"/>
        <v>9123</v>
      </c>
      <c r="J90" s="131">
        <f t="shared" si="30"/>
        <v>3045</v>
      </c>
      <c r="K90" s="131">
        <f t="shared" si="30"/>
        <v>3045</v>
      </c>
      <c r="L90" s="128">
        <f t="shared" si="17"/>
        <v>0.3337717855968431</v>
      </c>
      <c r="M90" s="128">
        <f t="shared" si="18"/>
        <v>1</v>
      </c>
      <c r="N90" s="131">
        <f>K90-'[3]Maijs'!K90</f>
        <v>1050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12.75" customHeight="1">
      <c r="A91" s="32" t="s">
        <v>201</v>
      </c>
      <c r="B91" s="52">
        <f>SUM(B92)</f>
        <v>6903010</v>
      </c>
      <c r="C91" s="52">
        <f>SUM(C92)</f>
        <v>3051506</v>
      </c>
      <c r="D91" s="52">
        <f>SUM(D92)</f>
        <v>3051506</v>
      </c>
      <c r="E91" s="11">
        <f t="shared" si="25"/>
        <v>0.44205440814948843</v>
      </c>
      <c r="F91" s="11">
        <f>IF(ISERROR(D91/C91)," ",(D91/C91))</f>
        <v>1</v>
      </c>
      <c r="G91" s="52">
        <f>SUM(G92)</f>
        <v>508584</v>
      </c>
      <c r="H91" s="32" t="s">
        <v>201</v>
      </c>
      <c r="I91" s="129">
        <f>SUM(I92)</f>
        <v>6903</v>
      </c>
      <c r="J91" s="129">
        <f>SUM(J92)</f>
        <v>3052</v>
      </c>
      <c r="K91" s="129">
        <f>SUM(K92)</f>
        <v>3052</v>
      </c>
      <c r="L91" s="130">
        <f t="shared" si="17"/>
        <v>0.44212661161813704</v>
      </c>
      <c r="M91" s="130">
        <f t="shared" si="18"/>
        <v>1</v>
      </c>
      <c r="N91" s="129">
        <f>SUM(N92)</f>
        <v>509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2.75">
      <c r="A92" s="63" t="s">
        <v>172</v>
      </c>
      <c r="B92" s="131">
        <v>6903010</v>
      </c>
      <c r="C92" s="131">
        <v>3051506</v>
      </c>
      <c r="D92" s="131">
        <v>3051506</v>
      </c>
      <c r="E92" s="19">
        <f t="shared" si="25"/>
        <v>0.44205440814948843</v>
      </c>
      <c r="F92" s="19">
        <f>IF(ISERROR(D92/C92)," ",(D92/C92))</f>
        <v>1</v>
      </c>
      <c r="G92" s="131">
        <f>D92-'[3]Maijs'!D92</f>
        <v>508584</v>
      </c>
      <c r="H92" s="63" t="s">
        <v>172</v>
      </c>
      <c r="I92" s="131">
        <f>ROUND(B92/1000,0)</f>
        <v>6903</v>
      </c>
      <c r="J92" s="131">
        <f>ROUND(C92/1000,0)</f>
        <v>3052</v>
      </c>
      <c r="K92" s="131">
        <f>ROUND(D92/1000,0)</f>
        <v>3052</v>
      </c>
      <c r="L92" s="128">
        <f t="shared" si="17"/>
        <v>0.44212661161813704</v>
      </c>
      <c r="M92" s="128">
        <f t="shared" si="18"/>
        <v>1</v>
      </c>
      <c r="N92" s="131">
        <f>K92-'[3]Maijs'!K92</f>
        <v>509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ht="12.75">
      <c r="A93" s="135"/>
      <c r="B93" s="136"/>
      <c r="C93" s="136"/>
      <c r="D93" s="136"/>
      <c r="E93" s="137"/>
      <c r="F93" s="137"/>
      <c r="G93" s="29"/>
      <c r="H93" s="135"/>
      <c r="I93" s="136"/>
      <c r="J93" s="136"/>
      <c r="K93" s="136"/>
      <c r="L93" s="137"/>
      <c r="M93" s="137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0.75" customHeight="1">
      <c r="A94" s="135"/>
      <c r="B94" s="136"/>
      <c r="C94" s="136"/>
      <c r="D94" s="136"/>
      <c r="E94" s="137"/>
      <c r="F94" s="137"/>
      <c r="G94" s="29"/>
      <c r="H94" s="135"/>
      <c r="I94" s="136"/>
      <c r="J94" s="136"/>
      <c r="K94" s="136"/>
      <c r="L94" s="137"/>
      <c r="M94" s="137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12.75" hidden="1">
      <c r="A95" s="135"/>
      <c r="B95" s="136"/>
      <c r="C95" s="136"/>
      <c r="D95" s="136"/>
      <c r="E95" s="137"/>
      <c r="F95" s="137"/>
      <c r="G95" s="29"/>
      <c r="H95" s="135"/>
      <c r="I95" s="136"/>
      <c r="J95" s="136"/>
      <c r="K95" s="136"/>
      <c r="L95" s="137"/>
      <c r="M95" s="137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12.75" hidden="1">
      <c r="A96" s="135"/>
      <c r="B96" s="136"/>
      <c r="C96" s="136"/>
      <c r="D96" s="136"/>
      <c r="E96" s="137"/>
      <c r="F96" s="137"/>
      <c r="G96" s="29"/>
      <c r="H96" s="135"/>
      <c r="I96" s="136"/>
      <c r="J96" s="136"/>
      <c r="K96" s="136"/>
      <c r="L96" s="137"/>
      <c r="M96" s="137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14.25">
      <c r="A97" s="138"/>
      <c r="B97" s="139"/>
      <c r="C97" s="139"/>
      <c r="D97" s="139"/>
      <c r="E97" s="140"/>
      <c r="F97" s="141"/>
      <c r="G97" s="29"/>
      <c r="H97" s="138"/>
      <c r="I97" s="139"/>
      <c r="J97" s="139"/>
      <c r="K97" s="139"/>
      <c r="L97" s="140"/>
      <c r="M97" s="141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12.75">
      <c r="A98" s="74" t="s">
        <v>202</v>
      </c>
      <c r="B98" s="142"/>
      <c r="C98" s="117"/>
      <c r="D98" s="143"/>
      <c r="E98" s="143"/>
      <c r="F98" s="144"/>
      <c r="G98" s="29"/>
      <c r="H98" s="74" t="s">
        <v>202</v>
      </c>
      <c r="I98" s="142"/>
      <c r="J98" s="117"/>
      <c r="K98" s="143"/>
      <c r="L98" s="143"/>
      <c r="M98" s="144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12.75">
      <c r="A99" s="6"/>
      <c r="B99" s="145"/>
      <c r="C99" s="69" t="s">
        <v>203</v>
      </c>
      <c r="D99" s="146"/>
      <c r="E99" s="114"/>
      <c r="F99" s="147"/>
      <c r="G99" s="29"/>
      <c r="H99" s="6"/>
      <c r="I99" s="145"/>
      <c r="J99" s="69"/>
      <c r="K99" s="146"/>
      <c r="L99" s="114"/>
      <c r="M99" s="147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12.75">
      <c r="A100" s="29"/>
      <c r="B100" s="148"/>
      <c r="C100" s="69"/>
      <c r="D100" s="69"/>
      <c r="E100" s="149"/>
      <c r="F100" s="150"/>
      <c r="G100" s="29"/>
      <c r="H100" s="29"/>
      <c r="I100" s="148"/>
      <c r="J100" s="69"/>
      <c r="K100" s="69"/>
      <c r="L100" s="149"/>
      <c r="M100" s="150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12.75">
      <c r="A101" s="29"/>
      <c r="B101" s="148"/>
      <c r="C101" s="69"/>
      <c r="D101" s="69"/>
      <c r="E101" s="149"/>
      <c r="F101" s="150"/>
      <c r="G101" s="29"/>
      <c r="H101" s="29"/>
      <c r="I101" s="148"/>
      <c r="J101" s="69"/>
      <c r="K101" s="69"/>
      <c r="L101" s="149"/>
      <c r="M101" s="150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ht="12.75">
      <c r="A102" s="29" t="s">
        <v>91</v>
      </c>
      <c r="B102" s="148"/>
      <c r="C102" s="69"/>
      <c r="D102" s="69"/>
      <c r="E102" s="149"/>
      <c r="F102" s="150"/>
      <c r="G102" s="29"/>
      <c r="H102" s="29" t="s">
        <v>91</v>
      </c>
      <c r="I102" s="148"/>
      <c r="J102" s="69"/>
      <c r="K102" s="69"/>
      <c r="L102" s="149"/>
      <c r="M102" s="150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ht="12.75">
      <c r="A103" s="29" t="s">
        <v>204</v>
      </c>
      <c r="B103" s="145"/>
      <c r="C103" s="69"/>
      <c r="D103" s="146"/>
      <c r="E103" s="114"/>
      <c r="F103" s="147"/>
      <c r="G103" s="29"/>
      <c r="H103" s="29" t="s">
        <v>93</v>
      </c>
      <c r="I103" s="145"/>
      <c r="J103" s="69"/>
      <c r="K103" s="146"/>
      <c r="L103" s="114"/>
      <c r="M103" s="147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ht="12.75">
      <c r="A104" s="29"/>
      <c r="B104" s="6"/>
      <c r="C104" s="146"/>
      <c r="D104" s="146"/>
      <c r="E104" s="6"/>
      <c r="F104" s="6"/>
      <c r="G104" s="29"/>
      <c r="H104" s="29"/>
      <c r="I104" s="6"/>
      <c r="J104" s="146"/>
      <c r="K104" s="146"/>
      <c r="L104" s="6"/>
      <c r="M104" s="6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7:24" ht="12.75">
      <c r="G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7:24" ht="12.75"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7:24" ht="12.75"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7:24" ht="12.75"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7:24" ht="12.75"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7:24" ht="12.75"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7:25" ht="12.75"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7:25" ht="12.75"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12.75">
      <c r="A113" s="29" t="s">
        <v>91</v>
      </c>
      <c r="B113" s="6"/>
      <c r="C113" s="146"/>
      <c r="D113" s="146"/>
      <c r="E113" s="6"/>
      <c r="F113" s="6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12.75">
      <c r="A114" s="29" t="s">
        <v>205</v>
      </c>
      <c r="B114" s="6"/>
      <c r="C114" s="146"/>
      <c r="D114" s="146"/>
      <c r="E114" s="6"/>
      <c r="F114" s="6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7:25" ht="12.75"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7:25" ht="12.75"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7:25" ht="12.75"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7:25" ht="12.75"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7:25" ht="12.75"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7:25" ht="12.75"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7:25" ht="12.75"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7:25" ht="12.75"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7:25" ht="12.75"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7:25" ht="12.75"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7:25" ht="12.75"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7:25" ht="12.75"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7:25" ht="12.75"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7:25" ht="12.75"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7:25" ht="12.75"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7:25" ht="12.75"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7:25" ht="12.75"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7:25" ht="12.75"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7:25" ht="12.75"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7:25" ht="12.75"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7:25" ht="12.75"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7:25" ht="12.75"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7:25" ht="12.75"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7:25" ht="12.75"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7:25" ht="12.75"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7:25" ht="12.75"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7:25" ht="12.75"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7:25" ht="12.75"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7:25" ht="12.75"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7:25" ht="12.75"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7:25" ht="12.75"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7:25" ht="12.75"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7:25" ht="12.75"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7:25" ht="12.75"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7:25" ht="12.75"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7:25" ht="12.75"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7:25" ht="12.75"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7:25" ht="12.75"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7:25" ht="12.75"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7:25" ht="12.75"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7:25" ht="12.75"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7:25" ht="12.75"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7:25" ht="12.75"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7:25" ht="12.75"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7:25" ht="12.75"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7:25" ht="12.75"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7:25" ht="12.75"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7:25" ht="12.75"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7:25" ht="12.75"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7:25" ht="12.75"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7:25" ht="12.75"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7:25" ht="12.75"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7:25" ht="12.75"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7:25" ht="12.75"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7:25" ht="12.75"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7:25" ht="12.75"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7:25" ht="12.75"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7:25" ht="12.75"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7:25" ht="12.75"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7:25" ht="12.75"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7:25" ht="12.75"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7:25" ht="12.75"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7:25" ht="12.75"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7:25" ht="12.75"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7:25" ht="12.75"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7:25" ht="12.75"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7:25" ht="12.75"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7:25" ht="12.75"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7:25" ht="12.75"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7:25" ht="12.75"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7:25" ht="12.75"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7:25" ht="12.75"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7:25" ht="12.75"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7:25" ht="12.75"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7:25" ht="12.75"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7:25" ht="12.75"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7:25" ht="12.75"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7:25" ht="12.75"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7:25" ht="12.75"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7:25" ht="12.75"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7:25" ht="12.75"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7:25" ht="12.75"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 spans="7:25" ht="12.75"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 spans="7:25" ht="12.75"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 spans="1:25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 spans="1:25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1:25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 spans="1:25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 spans="1:25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 spans="1:25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 spans="1:25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 spans="1:25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 spans="1:25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 spans="1:25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 spans="1:25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 spans="1:25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 spans="1:25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 spans="1:25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 spans="1:25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5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5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5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 spans="1:25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 spans="1:25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25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25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25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5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 spans="1:25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 spans="1:25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5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 spans="1:25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5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 spans="1:25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 spans="1:25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 spans="1:25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 spans="1:25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 spans="1:25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6"/>
  <sheetViews>
    <sheetView workbookViewId="0" topLeftCell="A1">
      <selection activeCell="B9" sqref="B9"/>
    </sheetView>
  </sheetViews>
  <sheetFormatPr defaultColWidth="9.140625" defaultRowHeight="12.75"/>
  <cols>
    <col min="1" max="1" width="0.13671875" style="1" customWidth="1"/>
    <col min="2" max="2" width="12.140625" style="1" hidden="1" customWidth="1"/>
    <col min="3" max="3" width="12.421875" style="1" hidden="1" customWidth="1"/>
    <col min="4" max="4" width="12.28125" style="1" hidden="1" customWidth="1"/>
    <col min="5" max="5" width="10.00390625" style="1" hidden="1" customWidth="1"/>
    <col min="6" max="6" width="9.28125" style="1" hidden="1" customWidth="1"/>
    <col min="7" max="7" width="10.28125" style="1" hidden="1" customWidth="1"/>
    <col min="8" max="8" width="38.140625" style="1" customWidth="1"/>
    <col min="9" max="9" width="10.00390625" style="1" customWidth="1"/>
    <col min="10" max="10" width="10.7109375" style="1" customWidth="1"/>
    <col min="11" max="11" width="9.28125" style="1" customWidth="1"/>
    <col min="12" max="12" width="6.8515625" style="1" customWidth="1"/>
    <col min="13" max="13" width="10.421875" style="1" customWidth="1"/>
    <col min="14" max="14" width="8.8515625" style="1" customWidth="1"/>
    <col min="15" max="16384" width="9.140625" style="1" customWidth="1"/>
  </cols>
  <sheetData>
    <row r="1" spans="7:14" ht="12.75">
      <c r="G1" s="1" t="s">
        <v>206</v>
      </c>
      <c r="N1" s="1" t="s">
        <v>206</v>
      </c>
    </row>
    <row r="2" spans="1:14" ht="16.5" customHeight="1">
      <c r="A2" s="3" t="s">
        <v>207</v>
      </c>
      <c r="B2" s="3"/>
      <c r="C2" s="74"/>
      <c r="D2" s="74"/>
      <c r="E2" s="3"/>
      <c r="F2" s="74"/>
      <c r="G2" s="29"/>
      <c r="H2" s="3" t="s">
        <v>207</v>
      </c>
      <c r="I2" s="3"/>
      <c r="J2" s="74"/>
      <c r="K2" s="74"/>
      <c r="L2" s="3"/>
      <c r="M2" s="74"/>
      <c r="N2" s="29"/>
    </row>
    <row r="3" spans="1:14" ht="4.5" customHeight="1" hidden="1">
      <c r="A3" s="151"/>
      <c r="B3" s="29"/>
      <c r="C3" s="29"/>
      <c r="D3" s="29"/>
      <c r="E3" s="29"/>
      <c r="F3" s="29"/>
      <c r="G3" s="29"/>
      <c r="H3" s="151"/>
      <c r="I3" s="29"/>
      <c r="J3" s="29"/>
      <c r="K3" s="29"/>
      <c r="L3" s="29"/>
      <c r="M3" s="29"/>
      <c r="N3" s="29"/>
    </row>
    <row r="4" spans="1:14" ht="12" customHeight="1">
      <c r="A4" s="151"/>
      <c r="B4" s="29"/>
      <c r="C4" s="29"/>
      <c r="D4" s="29"/>
      <c r="E4" s="29"/>
      <c r="F4" s="29"/>
      <c r="G4" s="29"/>
      <c r="H4" s="151"/>
      <c r="I4" s="29"/>
      <c r="J4" s="29"/>
      <c r="K4" s="29"/>
      <c r="L4" s="29"/>
      <c r="M4" s="29"/>
      <c r="N4" s="29"/>
    </row>
    <row r="5" spans="1:14" ht="15.75">
      <c r="A5" s="78" t="s">
        <v>208</v>
      </c>
      <c r="B5" s="74"/>
      <c r="C5" s="74"/>
      <c r="D5" s="74"/>
      <c r="E5" s="74"/>
      <c r="F5" s="74"/>
      <c r="G5" s="29"/>
      <c r="H5" s="78" t="s">
        <v>208</v>
      </c>
      <c r="I5" s="74"/>
      <c r="J5" s="74"/>
      <c r="K5" s="74"/>
      <c r="L5" s="74"/>
      <c r="M5" s="74"/>
      <c r="N5" s="29"/>
    </row>
    <row r="6" spans="1:14" ht="15.75">
      <c r="A6" s="78" t="s">
        <v>209</v>
      </c>
      <c r="B6" s="74"/>
      <c r="C6" s="74"/>
      <c r="D6" s="74"/>
      <c r="E6" s="74"/>
      <c r="F6" s="74"/>
      <c r="G6" s="29"/>
      <c r="H6" s="78" t="s">
        <v>209</v>
      </c>
      <c r="I6" s="74"/>
      <c r="J6" s="74"/>
      <c r="K6" s="74"/>
      <c r="L6" s="74"/>
      <c r="M6" s="74"/>
      <c r="N6" s="29"/>
    </row>
    <row r="7" spans="1:14" ht="19.5" customHeight="1">
      <c r="A7" s="78" t="s">
        <v>210</v>
      </c>
      <c r="B7" s="74"/>
      <c r="C7" s="74"/>
      <c r="D7" s="74"/>
      <c r="E7" s="74"/>
      <c r="F7" s="74"/>
      <c r="G7" s="29"/>
      <c r="H7" s="78" t="s">
        <v>211</v>
      </c>
      <c r="I7" s="74"/>
      <c r="J7" s="74"/>
      <c r="K7" s="74"/>
      <c r="L7" s="74"/>
      <c r="M7" s="74"/>
      <c r="N7" s="29"/>
    </row>
    <row r="8" spans="1:14" s="125" customFormat="1" ht="18.75" customHeight="1">
      <c r="A8" s="29"/>
      <c r="B8" s="29"/>
      <c r="C8" s="29"/>
      <c r="D8" s="29"/>
      <c r="E8" s="1"/>
      <c r="F8" s="29"/>
      <c r="G8" s="6" t="s">
        <v>100</v>
      </c>
      <c r="H8" s="29"/>
      <c r="I8" s="29"/>
      <c r="J8" s="29"/>
      <c r="K8" s="29"/>
      <c r="L8" s="1"/>
      <c r="M8" s="29"/>
      <c r="N8" s="6" t="s">
        <v>100</v>
      </c>
    </row>
    <row r="9" spans="1:14" s="17" customFormat="1" ht="77.25" customHeight="1">
      <c r="A9" s="7" t="s">
        <v>7</v>
      </c>
      <c r="B9" s="7" t="s">
        <v>8</v>
      </c>
      <c r="C9" s="7" t="s">
        <v>212</v>
      </c>
      <c r="D9" s="7" t="s">
        <v>9</v>
      </c>
      <c r="E9" s="7" t="s">
        <v>213</v>
      </c>
      <c r="F9" s="7" t="s">
        <v>214</v>
      </c>
      <c r="G9" s="7" t="s">
        <v>170</v>
      </c>
      <c r="H9" s="7" t="s">
        <v>7</v>
      </c>
      <c r="I9" s="7" t="s">
        <v>8</v>
      </c>
      <c r="J9" s="7" t="s">
        <v>212</v>
      </c>
      <c r="K9" s="7" t="s">
        <v>9</v>
      </c>
      <c r="L9" s="7" t="s">
        <v>213</v>
      </c>
      <c r="M9" s="7" t="s">
        <v>214</v>
      </c>
      <c r="N9" s="7" t="s">
        <v>170</v>
      </c>
    </row>
    <row r="10" spans="1:14" s="17" customFormat="1" ht="9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7">
        <v>6</v>
      </c>
      <c r="N10" s="7">
        <v>7</v>
      </c>
    </row>
    <row r="11" spans="1:14" s="17" customFormat="1" ht="21.75" customHeight="1">
      <c r="A11" s="32" t="s">
        <v>215</v>
      </c>
      <c r="B11" s="9">
        <f>SUM(B12:B14)</f>
        <v>720918773</v>
      </c>
      <c r="C11" s="9">
        <f>SUM(C12:C14)</f>
        <v>349351047</v>
      </c>
      <c r="D11" s="9">
        <f>SUM(D12:D14)</f>
        <v>343024588</v>
      </c>
      <c r="E11" s="11">
        <f>IF(ISERROR(D11/B11)," ",(D11/B11))</f>
        <v>0.4758158628225929</v>
      </c>
      <c r="F11" s="11">
        <f>IF(ISERROR(D11/C11)," ",(D11/C11))</f>
        <v>0.9818908257057549</v>
      </c>
      <c r="G11" s="9">
        <f>SUM(G12:G14)</f>
        <v>67067106</v>
      </c>
      <c r="H11" s="32" t="s">
        <v>215</v>
      </c>
      <c r="I11" s="152">
        <f>SUM(I12:I14)</f>
        <v>720919</v>
      </c>
      <c r="J11" s="152">
        <f>SUM(J12:J14)</f>
        <v>349351</v>
      </c>
      <c r="K11" s="152">
        <f>SUM(K12:K14)</f>
        <v>343024</v>
      </c>
      <c r="L11" s="130">
        <f>IF(ISERROR(ROUND(K11,0)/ROUND(I11,0))," ",(ROUND(K11,)/ROUND(I11,)))</f>
        <v>0.4758148973740462</v>
      </c>
      <c r="M11" s="130">
        <f aca="true" t="shared" si="0" ref="M11:M18">IF(ISERROR(ROUND(K11,0)/ROUND(J11,0))," ",(ROUND(K11,)/ROUND(J11,)))</f>
        <v>0.9818892746836276</v>
      </c>
      <c r="N11" s="153">
        <f>SUM(N12:N14)</f>
        <v>67067</v>
      </c>
    </row>
    <row r="12" spans="1:14" s="17" customFormat="1" ht="23.25" customHeight="1">
      <c r="A12" s="63" t="s">
        <v>216</v>
      </c>
      <c r="B12" s="60">
        <v>656600030</v>
      </c>
      <c r="C12" s="60">
        <f>315078517</f>
        <v>315078517</v>
      </c>
      <c r="D12" s="60">
        <v>315078517</v>
      </c>
      <c r="E12" s="11">
        <f aca="true" t="shared" si="1" ref="E12:E18">IF(ISERROR(D12/B12)," ",(D12/B12))</f>
        <v>0.47986369571137544</v>
      </c>
      <c r="F12" s="11">
        <f aca="true" t="shared" si="2" ref="F12:F18">IF(ISERROR(D12/C12)," ",(D12/C12))</f>
        <v>1</v>
      </c>
      <c r="G12" s="131">
        <f>D12-'[4]Maijs'!D12</f>
        <v>62405205</v>
      </c>
      <c r="H12" s="63" t="s">
        <v>216</v>
      </c>
      <c r="I12" s="154">
        <f aca="true" t="shared" si="3" ref="I12:K14">ROUND(B12/1000,0)</f>
        <v>656600</v>
      </c>
      <c r="J12" s="154">
        <f>ROUND(C12/1000,0)-1</f>
        <v>315078</v>
      </c>
      <c r="K12" s="154">
        <f>ROUND(D12/1000,0)-1</f>
        <v>315078</v>
      </c>
      <c r="L12" s="128">
        <f aca="true" t="shared" si="4" ref="L12:L18">IF(ISERROR(ROUND(K12,0)/ROUND(I12,0))," ",(ROUND(K12,)/ROUND(I12,)))</f>
        <v>0.47986293024672555</v>
      </c>
      <c r="M12" s="128">
        <f t="shared" si="0"/>
        <v>1</v>
      </c>
      <c r="N12" s="131">
        <f>K12-'[4]Maijs'!K12</f>
        <v>62405</v>
      </c>
    </row>
    <row r="13" spans="1:14" s="17" customFormat="1" ht="19.5" customHeight="1">
      <c r="A13" s="63" t="s">
        <v>217</v>
      </c>
      <c r="B13" s="60">
        <v>1092020</v>
      </c>
      <c r="C13" s="60">
        <v>212845</v>
      </c>
      <c r="D13" s="60">
        <v>121481</v>
      </c>
      <c r="E13" s="11">
        <f t="shared" si="1"/>
        <v>0.1112442995549532</v>
      </c>
      <c r="F13" s="11">
        <f t="shared" si="2"/>
        <v>0.5707486668702577</v>
      </c>
      <c r="G13" s="131">
        <f>D13-'[4]Maijs'!D13</f>
        <v>121481</v>
      </c>
      <c r="H13" s="63" t="s">
        <v>217</v>
      </c>
      <c r="I13" s="154">
        <f t="shared" si="3"/>
        <v>1092</v>
      </c>
      <c r="J13" s="154">
        <f t="shared" si="3"/>
        <v>213</v>
      </c>
      <c r="K13" s="154">
        <f t="shared" si="3"/>
        <v>121</v>
      </c>
      <c r="L13" s="128">
        <f t="shared" si="4"/>
        <v>0.1108058608058608</v>
      </c>
      <c r="M13" s="128">
        <f t="shared" si="0"/>
        <v>0.568075117370892</v>
      </c>
      <c r="N13" s="131">
        <f>K13-'[4]Maijs'!K13</f>
        <v>121</v>
      </c>
    </row>
    <row r="14" spans="1:14" s="17" customFormat="1" ht="18.75" customHeight="1">
      <c r="A14" s="63" t="s">
        <v>218</v>
      </c>
      <c r="B14" s="60">
        <v>63226723</v>
      </c>
      <c r="C14" s="60">
        <v>34059685</v>
      </c>
      <c r="D14" s="60">
        <v>27824590</v>
      </c>
      <c r="E14" s="11">
        <f t="shared" si="1"/>
        <v>0.44007642148399817</v>
      </c>
      <c r="F14" s="11">
        <f t="shared" si="2"/>
        <v>0.8169362106549136</v>
      </c>
      <c r="G14" s="131">
        <f>D14-'[4]Maijs'!D14</f>
        <v>4540420</v>
      </c>
      <c r="H14" s="63" t="s">
        <v>218</v>
      </c>
      <c r="I14" s="154">
        <f t="shared" si="3"/>
        <v>63227</v>
      </c>
      <c r="J14" s="154">
        <f t="shared" si="3"/>
        <v>34060</v>
      </c>
      <c r="K14" s="154">
        <f>ROUND(D14/1000,0)</f>
        <v>27825</v>
      </c>
      <c r="L14" s="128">
        <f t="shared" si="4"/>
        <v>0.4400809780631692</v>
      </c>
      <c r="M14" s="128">
        <f t="shared" si="0"/>
        <v>0.8169406928948914</v>
      </c>
      <c r="N14" s="131">
        <f>K14-'[4]Maijs'!K14</f>
        <v>4541</v>
      </c>
    </row>
    <row r="15" spans="1:14" s="17" customFormat="1" ht="24" customHeight="1">
      <c r="A15" s="32" t="s">
        <v>219</v>
      </c>
      <c r="B15" s="86">
        <f>SUM(B16,B41)</f>
        <v>720918773</v>
      </c>
      <c r="C15" s="86">
        <f>SUM(C16,C41)</f>
        <v>351605307</v>
      </c>
      <c r="D15" s="86">
        <f>SUM(D16,D41)</f>
        <v>329701758</v>
      </c>
      <c r="E15" s="11">
        <f t="shared" si="1"/>
        <v>0.4573355145517899</v>
      </c>
      <c r="F15" s="11">
        <f t="shared" si="2"/>
        <v>0.9377041570080739</v>
      </c>
      <c r="G15" s="86">
        <f>SUM(G16,G41)</f>
        <v>58724580</v>
      </c>
      <c r="H15" s="32" t="s">
        <v>219</v>
      </c>
      <c r="I15" s="153">
        <f>SUM(I16,I41)</f>
        <v>720919</v>
      </c>
      <c r="J15" s="153">
        <f>SUM(J16,J41)</f>
        <v>351605</v>
      </c>
      <c r="K15" s="153">
        <f>SUM(K16,K41)</f>
        <v>329701</v>
      </c>
      <c r="L15" s="130">
        <f t="shared" si="4"/>
        <v>0.45733431911213324</v>
      </c>
      <c r="M15" s="130">
        <f t="shared" si="0"/>
        <v>0.937702819925769</v>
      </c>
      <c r="N15" s="153">
        <f>SUM(N16,N41)</f>
        <v>58724</v>
      </c>
    </row>
    <row r="16" spans="1:14" s="17" customFormat="1" ht="18.75" customHeight="1">
      <c r="A16" s="51" t="s">
        <v>220</v>
      </c>
      <c r="B16" s="52">
        <v>653325305</v>
      </c>
      <c r="C16" s="52">
        <v>323845117</v>
      </c>
      <c r="D16" s="52">
        <f>SUM(D17,D24,D28)</f>
        <v>307343334</v>
      </c>
      <c r="E16" s="11">
        <f t="shared" si="1"/>
        <v>0.47042925116760936</v>
      </c>
      <c r="F16" s="11">
        <f t="shared" si="2"/>
        <v>0.9490442123911969</v>
      </c>
      <c r="G16" s="52">
        <f>SUM(G17,G24,G28)</f>
        <v>52561363</v>
      </c>
      <c r="H16" s="51" t="s">
        <v>220</v>
      </c>
      <c r="I16" s="152">
        <f>ROUND(B16/1000,0)+1</f>
        <v>653326</v>
      </c>
      <c r="J16" s="152">
        <f aca="true" t="shared" si="5" ref="I16:J18">ROUND(C16/1000,0)</f>
        <v>323845</v>
      </c>
      <c r="K16" s="12">
        <f>SUM(K17,K24,K28)</f>
        <v>307341</v>
      </c>
      <c r="L16" s="130">
        <f t="shared" si="4"/>
        <v>0.4704251782417966</v>
      </c>
      <c r="M16" s="130">
        <f t="shared" si="0"/>
        <v>0.9490373481140669</v>
      </c>
      <c r="N16" s="12">
        <f>SUM(N17,N24,N28)</f>
        <v>52559</v>
      </c>
    </row>
    <row r="17" spans="1:14" s="17" customFormat="1" ht="22.5" customHeight="1">
      <c r="A17" s="94" t="s">
        <v>221</v>
      </c>
      <c r="B17" s="155">
        <v>322671779</v>
      </c>
      <c r="C17" s="155">
        <v>158635697</v>
      </c>
      <c r="D17" s="155">
        <f>SUM(D18,D19,D20,D23)</f>
        <v>149054697</v>
      </c>
      <c r="E17" s="11">
        <f t="shared" si="1"/>
        <v>0.46193905603377855</v>
      </c>
      <c r="F17" s="11">
        <f t="shared" si="2"/>
        <v>0.9396037576586561</v>
      </c>
      <c r="G17" s="155">
        <f>SUM(G18,G19,G20,G23)</f>
        <v>23823052</v>
      </c>
      <c r="H17" s="94" t="s">
        <v>221</v>
      </c>
      <c r="I17" s="156">
        <f t="shared" si="5"/>
        <v>322672</v>
      </c>
      <c r="J17" s="156">
        <f t="shared" si="5"/>
        <v>158636</v>
      </c>
      <c r="K17" s="15">
        <f>SUM(K18,K19,K20,K23)</f>
        <v>149053</v>
      </c>
      <c r="L17" s="157">
        <f t="shared" si="4"/>
        <v>0.46193348043833987</v>
      </c>
      <c r="M17" s="157">
        <f t="shared" si="0"/>
        <v>0.9395912655387175</v>
      </c>
      <c r="N17" s="15">
        <f>SUM(N18,N19,N20,N23)</f>
        <v>23821</v>
      </c>
    </row>
    <row r="18" spans="1:14" s="17" customFormat="1" ht="18" customHeight="1">
      <c r="A18" s="21" t="s">
        <v>222</v>
      </c>
      <c r="B18" s="131">
        <v>151014228</v>
      </c>
      <c r="C18" s="131">
        <v>73069503</v>
      </c>
      <c r="D18" s="131">
        <v>70299784</v>
      </c>
      <c r="E18" s="19">
        <f t="shared" si="1"/>
        <v>0.46551761996889457</v>
      </c>
      <c r="F18" s="19">
        <f t="shared" si="2"/>
        <v>0.9620947332842814</v>
      </c>
      <c r="G18" s="131">
        <f>D18-'[4]Maijs'!D18</f>
        <v>12145786</v>
      </c>
      <c r="H18" s="21" t="s">
        <v>222</v>
      </c>
      <c r="I18" s="154">
        <f t="shared" si="5"/>
        <v>151014</v>
      </c>
      <c r="J18" s="154">
        <f t="shared" si="5"/>
        <v>73070</v>
      </c>
      <c r="K18" s="154">
        <f>ROUND(D18/1000,0)-1</f>
        <v>70299</v>
      </c>
      <c r="L18" s="128">
        <f t="shared" si="4"/>
        <v>0.4655131312328658</v>
      </c>
      <c r="M18" s="128">
        <f t="shared" si="0"/>
        <v>0.9620774599698919</v>
      </c>
      <c r="N18" s="131">
        <f>K18-'[4]Maijs'!K18</f>
        <v>12145</v>
      </c>
    </row>
    <row r="19" spans="1:14" s="17" customFormat="1" ht="24" customHeight="1">
      <c r="A19" s="63" t="s">
        <v>223</v>
      </c>
      <c r="B19" s="158" t="s">
        <v>224</v>
      </c>
      <c r="C19" s="158" t="s">
        <v>224</v>
      </c>
      <c r="D19" s="131">
        <v>18660198</v>
      </c>
      <c r="E19" s="159" t="s">
        <v>224</v>
      </c>
      <c r="F19" s="160" t="s">
        <v>224</v>
      </c>
      <c r="G19" s="131">
        <f>D19-'[4]Maijs'!D19</f>
        <v>2943339</v>
      </c>
      <c r="H19" s="63" t="s">
        <v>223</v>
      </c>
      <c r="I19" s="161" t="s">
        <v>224</v>
      </c>
      <c r="J19" s="161" t="s">
        <v>224</v>
      </c>
      <c r="K19" s="154">
        <f>ROUND(D19/1000,0)</f>
        <v>18660</v>
      </c>
      <c r="L19" s="159" t="s">
        <v>224</v>
      </c>
      <c r="M19" s="160" t="s">
        <v>224</v>
      </c>
      <c r="N19" s="131">
        <f>K19-'[4]Maijs'!K19</f>
        <v>2943</v>
      </c>
    </row>
    <row r="20" spans="1:14" s="17" customFormat="1" ht="19.5" customHeight="1">
      <c r="A20" s="63" t="s">
        <v>225</v>
      </c>
      <c r="B20" s="158" t="s">
        <v>224</v>
      </c>
      <c r="C20" s="158" t="s">
        <v>224</v>
      </c>
      <c r="D20" s="131">
        <f>SUM(D21:D22)</f>
        <v>60010991</v>
      </c>
      <c r="E20" s="159" t="s">
        <v>224</v>
      </c>
      <c r="F20" s="160" t="s">
        <v>224</v>
      </c>
      <c r="G20" s="131">
        <f>SUM(G21:G22)</f>
        <v>8702082</v>
      </c>
      <c r="H20" s="63" t="s">
        <v>225</v>
      </c>
      <c r="I20" s="161" t="s">
        <v>224</v>
      </c>
      <c r="J20" s="161" t="s">
        <v>224</v>
      </c>
      <c r="K20" s="18">
        <f>SUM(K21:K22)</f>
        <v>60011</v>
      </c>
      <c r="L20" s="159" t="s">
        <v>224</v>
      </c>
      <c r="M20" s="160" t="s">
        <v>224</v>
      </c>
      <c r="N20" s="131">
        <f>K20-'[4]Maijs'!K20</f>
        <v>8702</v>
      </c>
    </row>
    <row r="21" spans="1:14" s="168" customFormat="1" ht="17.25" customHeight="1">
      <c r="A21" s="104" t="s">
        <v>226</v>
      </c>
      <c r="B21" s="162" t="s">
        <v>224</v>
      </c>
      <c r="C21" s="162" t="s">
        <v>224</v>
      </c>
      <c r="D21" s="163">
        <f>23992883+29561808+10015+504</f>
        <v>53565210</v>
      </c>
      <c r="E21" s="164" t="s">
        <v>224</v>
      </c>
      <c r="F21" s="165" t="s">
        <v>224</v>
      </c>
      <c r="G21" s="131">
        <f>D21-'[4]Maijs'!D21</f>
        <v>7159353</v>
      </c>
      <c r="H21" s="104" t="s">
        <v>227</v>
      </c>
      <c r="I21" s="166" t="s">
        <v>224</v>
      </c>
      <c r="J21" s="166" t="s">
        <v>224</v>
      </c>
      <c r="K21" s="167">
        <f>ROUND(D21/1000,0)</f>
        <v>53565</v>
      </c>
      <c r="L21" s="164" t="s">
        <v>224</v>
      </c>
      <c r="M21" s="165" t="s">
        <v>224</v>
      </c>
      <c r="N21" s="131">
        <f>K21-'[4]Maijs'!K21</f>
        <v>7159</v>
      </c>
    </row>
    <row r="22" spans="1:14" s="168" customFormat="1" ht="17.25" customHeight="1">
      <c r="A22" s="104" t="s">
        <v>228</v>
      </c>
      <c r="B22" s="162" t="s">
        <v>224</v>
      </c>
      <c r="C22" s="162" t="s">
        <v>224</v>
      </c>
      <c r="D22" s="163">
        <f>3310654+639311-27559+32128+955+2490292</f>
        <v>6445781</v>
      </c>
      <c r="E22" s="164" t="s">
        <v>224</v>
      </c>
      <c r="F22" s="165" t="s">
        <v>224</v>
      </c>
      <c r="G22" s="131">
        <f>D22-'[4]Maijs'!D22</f>
        <v>1542729</v>
      </c>
      <c r="H22" s="169" t="s">
        <v>229</v>
      </c>
      <c r="I22" s="166" t="s">
        <v>224</v>
      </c>
      <c r="J22" s="166" t="s">
        <v>224</v>
      </c>
      <c r="K22" s="167">
        <f>ROUND(D22/1000,0)</f>
        <v>6446</v>
      </c>
      <c r="L22" s="164" t="s">
        <v>224</v>
      </c>
      <c r="M22" s="165" t="s">
        <v>224</v>
      </c>
      <c r="N22" s="131">
        <f>K22-'[4]Maijs'!K22</f>
        <v>1543</v>
      </c>
    </row>
    <row r="23" spans="1:14" s="17" customFormat="1" ht="20.25" customHeight="1">
      <c r="A23" s="63" t="s">
        <v>230</v>
      </c>
      <c r="B23" s="158" t="s">
        <v>224</v>
      </c>
      <c r="C23" s="158" t="s">
        <v>224</v>
      </c>
      <c r="D23" s="131">
        <v>83724</v>
      </c>
      <c r="E23" s="159" t="s">
        <v>224</v>
      </c>
      <c r="F23" s="160" t="s">
        <v>224</v>
      </c>
      <c r="G23" s="131">
        <f>D23-'[4]Maijs'!D23</f>
        <v>31845</v>
      </c>
      <c r="H23" s="63" t="s">
        <v>230</v>
      </c>
      <c r="I23" s="161" t="s">
        <v>224</v>
      </c>
      <c r="J23" s="161" t="s">
        <v>224</v>
      </c>
      <c r="K23" s="154">
        <f>ROUND(D23/1000,0)-1</f>
        <v>83</v>
      </c>
      <c r="L23" s="159" t="s">
        <v>224</v>
      </c>
      <c r="M23" s="160" t="s">
        <v>224</v>
      </c>
      <c r="N23" s="131">
        <f>K23-'[4]Maijs'!K23</f>
        <v>31</v>
      </c>
    </row>
    <row r="24" spans="1:14" s="17" customFormat="1" ht="26.25" customHeight="1">
      <c r="A24" s="103" t="s">
        <v>231</v>
      </c>
      <c r="B24" s="155">
        <v>41515750</v>
      </c>
      <c r="C24" s="155">
        <v>15938928</v>
      </c>
      <c r="D24" s="155">
        <f>SUM(D25,D26,D27)</f>
        <v>12310259</v>
      </c>
      <c r="E24" s="11">
        <f>IF(ISERROR(D24/B24)," ",(D24/B24))</f>
        <v>0.2965202122086196</v>
      </c>
      <c r="F24" s="11">
        <f>IF(ISERROR(D24/C24)," ",(D24/C24))</f>
        <v>0.7723392062502572</v>
      </c>
      <c r="G24" s="155">
        <f>SUM(G25,G26,G27)</f>
        <v>849947</v>
      </c>
      <c r="H24" s="103" t="s">
        <v>231</v>
      </c>
      <c r="I24" s="170">
        <f>ROUND(B24/1000,0)</f>
        <v>41516</v>
      </c>
      <c r="J24" s="170">
        <f>ROUND(C24/1000,0)</f>
        <v>15939</v>
      </c>
      <c r="K24" s="15">
        <f>SUM(K25,K26,K27)</f>
        <v>12310</v>
      </c>
      <c r="L24" s="157">
        <f>IF(ISERROR(ROUND(K24,0)/ROUND(I24,0))," ",(ROUND(K24,)/ROUND(I24,)))</f>
        <v>0.2965121880720686</v>
      </c>
      <c r="M24" s="157">
        <f>IF(ISERROR(ROUND(K24,0)/ROUND(J24,0))," ",(ROUND(K24,)/ROUND(J24,)))</f>
        <v>0.7723194679716419</v>
      </c>
      <c r="N24" s="15">
        <f>SUM(N25,N26,N27)</f>
        <v>850</v>
      </c>
    </row>
    <row r="25" spans="1:14" s="17" customFormat="1" ht="16.5" customHeight="1">
      <c r="A25" s="63" t="s">
        <v>232</v>
      </c>
      <c r="B25" s="158" t="s">
        <v>224</v>
      </c>
      <c r="C25" s="158" t="s">
        <v>224</v>
      </c>
      <c r="D25" s="131">
        <v>6596145</v>
      </c>
      <c r="E25" s="159" t="s">
        <v>224</v>
      </c>
      <c r="F25" s="160" t="s">
        <v>224</v>
      </c>
      <c r="G25" s="131">
        <f>D25-'[4]Maijs'!D25</f>
        <v>753186</v>
      </c>
      <c r="H25" s="63" t="s">
        <v>232</v>
      </c>
      <c r="I25" s="161" t="s">
        <v>224</v>
      </c>
      <c r="J25" s="161" t="s">
        <v>224</v>
      </c>
      <c r="K25" s="154">
        <f>ROUND(D25/1000,0)</f>
        <v>6596</v>
      </c>
      <c r="L25" s="159" t="s">
        <v>224</v>
      </c>
      <c r="M25" s="160" t="s">
        <v>224</v>
      </c>
      <c r="N25" s="131">
        <f>K25-'[4]Maijs'!K25</f>
        <v>753</v>
      </c>
    </row>
    <row r="26" spans="1:14" s="17" customFormat="1" ht="17.25" customHeight="1">
      <c r="A26" s="63" t="s">
        <v>233</v>
      </c>
      <c r="B26" s="158" t="s">
        <v>224</v>
      </c>
      <c r="C26" s="158" t="s">
        <v>224</v>
      </c>
      <c r="D26" s="131">
        <v>5640335</v>
      </c>
      <c r="E26" s="159" t="s">
        <v>224</v>
      </c>
      <c r="F26" s="160" t="s">
        <v>224</v>
      </c>
      <c r="G26" s="131">
        <f>D26-'[4]Maijs'!D26</f>
        <v>86828</v>
      </c>
      <c r="H26" s="63" t="s">
        <v>233</v>
      </c>
      <c r="I26" s="161" t="s">
        <v>224</v>
      </c>
      <c r="J26" s="161" t="s">
        <v>224</v>
      </c>
      <c r="K26" s="154">
        <f>ROUND(D26/1000,0)</f>
        <v>5640</v>
      </c>
      <c r="L26" s="159" t="s">
        <v>224</v>
      </c>
      <c r="M26" s="160" t="s">
        <v>224</v>
      </c>
      <c r="N26" s="131">
        <f>K26-'[4]Maijs'!K26</f>
        <v>87</v>
      </c>
    </row>
    <row r="27" spans="1:14" s="17" customFormat="1" ht="24" customHeight="1">
      <c r="A27" s="63" t="s">
        <v>234</v>
      </c>
      <c r="B27" s="158" t="s">
        <v>224</v>
      </c>
      <c r="C27" s="158" t="s">
        <v>224</v>
      </c>
      <c r="D27" s="131">
        <v>73779</v>
      </c>
      <c r="E27" s="159" t="s">
        <v>224</v>
      </c>
      <c r="F27" s="160" t="s">
        <v>224</v>
      </c>
      <c r="G27" s="131">
        <f>D27-'[4]Maijs'!D27</f>
        <v>9933</v>
      </c>
      <c r="H27" s="63" t="s">
        <v>234</v>
      </c>
      <c r="I27" s="161" t="s">
        <v>224</v>
      </c>
      <c r="J27" s="161" t="s">
        <v>224</v>
      </c>
      <c r="K27" s="154">
        <f>ROUND(D27/1000,0)</f>
        <v>74</v>
      </c>
      <c r="L27" s="159" t="s">
        <v>224</v>
      </c>
      <c r="M27" s="160" t="s">
        <v>224</v>
      </c>
      <c r="N27" s="131">
        <f>K27-'[4]Maijs'!K27</f>
        <v>10</v>
      </c>
    </row>
    <row r="28" spans="1:14" s="17" customFormat="1" ht="23.25" customHeight="1">
      <c r="A28" s="171" t="s">
        <v>235</v>
      </c>
      <c r="B28" s="155">
        <v>289137776</v>
      </c>
      <c r="C28" s="155">
        <v>149270492</v>
      </c>
      <c r="D28" s="155">
        <f>SUM(D29,D30,D31,D32,D35,D40)</f>
        <v>145978378</v>
      </c>
      <c r="E28" s="11">
        <f>IF(ISERROR(D28/B28)," ",(D28/B28))</f>
        <v>0.5048748040449754</v>
      </c>
      <c r="F28" s="11">
        <f>IF(ISERROR(D28/C28)," ",(D28/C28))</f>
        <v>0.9779453128619687</v>
      </c>
      <c r="G28" s="155">
        <f>SUM(G29,G30,G31,G32,G35,G40)</f>
        <v>27888364</v>
      </c>
      <c r="H28" s="171" t="s">
        <v>235</v>
      </c>
      <c r="I28" s="170">
        <f>ROUND(B28/1000,0)</f>
        <v>289138</v>
      </c>
      <c r="J28" s="170">
        <f>ROUND(C28/1000,0)</f>
        <v>149270</v>
      </c>
      <c r="K28" s="15">
        <f>SUM(K29,K30,K31,K32,K35,K40)</f>
        <v>145978</v>
      </c>
      <c r="L28" s="157">
        <f>IF(ISERROR(ROUND(K28,0)/ROUND(I28,0))," ",(ROUND(K28,)/ROUND(I28,)))</f>
        <v>0.5048731055758842</v>
      </c>
      <c r="M28" s="157">
        <f>IF(ISERROR(ROUND(K28,0)/ROUND(J28,0))," ",(ROUND(K28,)/ROUND(J28,)))</f>
        <v>0.9779460038855765</v>
      </c>
      <c r="N28" s="15">
        <f>SUM(N29,N30,N31,N32,N35,N40)</f>
        <v>27888</v>
      </c>
    </row>
    <row r="29" spans="1:14" s="17" customFormat="1" ht="12.75">
      <c r="A29" s="21" t="s">
        <v>236</v>
      </c>
      <c r="B29" s="158" t="s">
        <v>224</v>
      </c>
      <c r="C29" s="158" t="s">
        <v>224</v>
      </c>
      <c r="D29" s="131">
        <f>8099565+9817</f>
        <v>8109382</v>
      </c>
      <c r="E29" s="159" t="s">
        <v>224</v>
      </c>
      <c r="F29" s="160" t="s">
        <v>224</v>
      </c>
      <c r="G29" s="131">
        <f>D29-'[4]Maijs'!D29</f>
        <v>1476563</v>
      </c>
      <c r="H29" s="21" t="s">
        <v>236</v>
      </c>
      <c r="I29" s="161" t="s">
        <v>224</v>
      </c>
      <c r="J29" s="161" t="s">
        <v>224</v>
      </c>
      <c r="K29" s="172">
        <f>ROUND(D29/1000,0)</f>
        <v>8109</v>
      </c>
      <c r="L29" s="159" t="s">
        <v>224</v>
      </c>
      <c r="M29" s="160" t="s">
        <v>224</v>
      </c>
      <c r="N29" s="131">
        <f>K29-'[4]Maijs'!K29</f>
        <v>1476</v>
      </c>
    </row>
    <row r="30" spans="1:14" s="17" customFormat="1" ht="15.75" customHeight="1">
      <c r="A30" s="63" t="s">
        <v>237</v>
      </c>
      <c r="B30" s="158" t="s">
        <v>224</v>
      </c>
      <c r="C30" s="158" t="s">
        <v>224</v>
      </c>
      <c r="D30" s="131">
        <v>49303012</v>
      </c>
      <c r="E30" s="159" t="s">
        <v>224</v>
      </c>
      <c r="F30" s="160" t="s">
        <v>224</v>
      </c>
      <c r="G30" s="131">
        <f>D30-'[4]Maijs'!D30</f>
        <v>14492361</v>
      </c>
      <c r="H30" s="63" t="s">
        <v>237</v>
      </c>
      <c r="I30" s="161" t="s">
        <v>224</v>
      </c>
      <c r="J30" s="161" t="s">
        <v>224</v>
      </c>
      <c r="K30" s="154">
        <f>ROUND(D30/1000,0)</f>
        <v>49303</v>
      </c>
      <c r="L30" s="159" t="s">
        <v>224</v>
      </c>
      <c r="M30" s="160" t="s">
        <v>224</v>
      </c>
      <c r="N30" s="131">
        <f>K30-'[4]Maijs'!K30</f>
        <v>14492</v>
      </c>
    </row>
    <row r="31" spans="1:14" s="17" customFormat="1" ht="16.5" customHeight="1">
      <c r="A31" s="63" t="s">
        <v>238</v>
      </c>
      <c r="B31" s="158" t="s">
        <v>224</v>
      </c>
      <c r="C31" s="158" t="s">
        <v>224</v>
      </c>
      <c r="D31" s="131">
        <v>3051506</v>
      </c>
      <c r="E31" s="159" t="s">
        <v>224</v>
      </c>
      <c r="F31" s="160" t="s">
        <v>224</v>
      </c>
      <c r="G31" s="131">
        <f>D31-'[4]Maijs'!D31</f>
        <v>508584</v>
      </c>
      <c r="H31" s="63" t="s">
        <v>238</v>
      </c>
      <c r="I31" s="161" t="s">
        <v>224</v>
      </c>
      <c r="J31" s="161" t="s">
        <v>224</v>
      </c>
      <c r="K31" s="154">
        <f>ROUND(D31/1000,0)</f>
        <v>3052</v>
      </c>
      <c r="L31" s="159" t="s">
        <v>224</v>
      </c>
      <c r="M31" s="160" t="s">
        <v>224</v>
      </c>
      <c r="N31" s="131">
        <f>K31-'[4]Maijs'!K31</f>
        <v>509</v>
      </c>
    </row>
    <row r="32" spans="1:14" s="17" customFormat="1" ht="15" customHeight="1">
      <c r="A32" s="63" t="s">
        <v>239</v>
      </c>
      <c r="B32" s="158" t="s">
        <v>224</v>
      </c>
      <c r="C32" s="158" t="s">
        <v>224</v>
      </c>
      <c r="D32" s="131">
        <f>44420731+434</f>
        <v>44421165</v>
      </c>
      <c r="E32" s="159" t="s">
        <v>224</v>
      </c>
      <c r="F32" s="160" t="s">
        <v>224</v>
      </c>
      <c r="G32" s="131">
        <f>SUM(G33,G34)</f>
        <v>4158863</v>
      </c>
      <c r="H32" s="63" t="s">
        <v>239</v>
      </c>
      <c r="I32" s="161" t="s">
        <v>224</v>
      </c>
      <c r="J32" s="161" t="s">
        <v>224</v>
      </c>
      <c r="K32" s="154">
        <f>ROUND(D32/1000,0)</f>
        <v>44421</v>
      </c>
      <c r="L32" s="159" t="s">
        <v>224</v>
      </c>
      <c r="M32" s="160" t="s">
        <v>224</v>
      </c>
      <c r="N32" s="18">
        <f>SUM(N33,N34)</f>
        <v>4159</v>
      </c>
    </row>
    <row r="33" spans="1:14" s="173" customFormat="1" ht="16.5" customHeight="1">
      <c r="A33" s="104" t="s">
        <v>240</v>
      </c>
      <c r="B33" s="162" t="s">
        <v>224</v>
      </c>
      <c r="C33" s="162" t="s">
        <v>224</v>
      </c>
      <c r="D33" s="163">
        <f>434+29952482-74262</f>
        <v>29878654</v>
      </c>
      <c r="E33" s="164" t="s">
        <v>224</v>
      </c>
      <c r="F33" s="165" t="s">
        <v>224</v>
      </c>
      <c r="G33" s="131">
        <f>D33-'[4]Maijs'!D33</f>
        <v>4841171</v>
      </c>
      <c r="H33" s="169" t="s">
        <v>241</v>
      </c>
      <c r="I33" s="166" t="s">
        <v>224</v>
      </c>
      <c r="J33" s="166" t="s">
        <v>224</v>
      </c>
      <c r="K33" s="167">
        <f>ROUND(D33/1000,0)</f>
        <v>29879</v>
      </c>
      <c r="L33" s="164" t="s">
        <v>224</v>
      </c>
      <c r="M33" s="165" t="s">
        <v>224</v>
      </c>
      <c r="N33" s="131">
        <f>K33-'[4]Maijs'!K33</f>
        <v>4842</v>
      </c>
    </row>
    <row r="34" spans="1:14" s="173" customFormat="1" ht="15" customHeight="1">
      <c r="A34" s="104" t="s">
        <v>242</v>
      </c>
      <c r="B34" s="162" t="s">
        <v>224</v>
      </c>
      <c r="C34" s="162" t="s">
        <v>224</v>
      </c>
      <c r="D34" s="163">
        <f>14468249+74262</f>
        <v>14542511</v>
      </c>
      <c r="E34" s="164" t="s">
        <v>224</v>
      </c>
      <c r="F34" s="165" t="s">
        <v>224</v>
      </c>
      <c r="G34" s="131">
        <f>D34-'[4]Maijs'!D34</f>
        <v>-682308</v>
      </c>
      <c r="H34" s="104" t="s">
        <v>243</v>
      </c>
      <c r="I34" s="166" t="s">
        <v>224</v>
      </c>
      <c r="J34" s="166" t="s">
        <v>224</v>
      </c>
      <c r="K34" s="167">
        <f>ROUND(D34/1000,0)-1</f>
        <v>14542</v>
      </c>
      <c r="L34" s="164" t="s">
        <v>224</v>
      </c>
      <c r="M34" s="165" t="s">
        <v>224</v>
      </c>
      <c r="N34" s="131">
        <f>K34-'[4]Maijs'!K34</f>
        <v>-683</v>
      </c>
    </row>
    <row r="35" spans="1:14" ht="15" customHeight="1">
      <c r="A35" s="63" t="s">
        <v>244</v>
      </c>
      <c r="B35" s="158" t="s">
        <v>224</v>
      </c>
      <c r="C35" s="158" t="s">
        <v>224</v>
      </c>
      <c r="D35" s="131">
        <f>SUM(D36,D37,D38,D39)</f>
        <v>39227312</v>
      </c>
      <c r="E35" s="159" t="s">
        <v>224</v>
      </c>
      <c r="F35" s="160" t="s">
        <v>224</v>
      </c>
      <c r="G35" s="131">
        <f>SUM(G36,G37,G38,G39)</f>
        <v>6820743</v>
      </c>
      <c r="H35" s="63" t="s">
        <v>244</v>
      </c>
      <c r="I35" s="161" t="s">
        <v>224</v>
      </c>
      <c r="J35" s="161" t="s">
        <v>224</v>
      </c>
      <c r="K35" s="174">
        <f>SUM(K36,K37,K38,K39)</f>
        <v>39227</v>
      </c>
      <c r="L35" s="159" t="s">
        <v>224</v>
      </c>
      <c r="M35" s="160" t="s">
        <v>224</v>
      </c>
      <c r="N35" s="18">
        <f>SUM(N36,N37,N38,N39)</f>
        <v>6821</v>
      </c>
    </row>
    <row r="36" spans="1:14" s="175" customFormat="1" ht="15" customHeight="1">
      <c r="A36" s="169" t="s">
        <v>245</v>
      </c>
      <c r="B36" s="162" t="s">
        <v>224</v>
      </c>
      <c r="C36" s="162" t="s">
        <v>224</v>
      </c>
      <c r="D36" s="163">
        <f>107322+14964+125775</f>
        <v>248061</v>
      </c>
      <c r="E36" s="164" t="s">
        <v>224</v>
      </c>
      <c r="F36" s="165" t="s">
        <v>224</v>
      </c>
      <c r="G36" s="131">
        <f>D36-'[4]Maijs'!D36</f>
        <v>52493</v>
      </c>
      <c r="H36" s="169" t="s">
        <v>246</v>
      </c>
      <c r="I36" s="166" t="s">
        <v>224</v>
      </c>
      <c r="J36" s="166" t="s">
        <v>224</v>
      </c>
      <c r="K36" s="167">
        <f>ROUND(D36/1000,0)</f>
        <v>248</v>
      </c>
      <c r="L36" s="164" t="s">
        <v>224</v>
      </c>
      <c r="M36" s="165" t="s">
        <v>224</v>
      </c>
      <c r="N36" s="131">
        <f>K36-'[4]Maijs'!K36</f>
        <v>53</v>
      </c>
    </row>
    <row r="37" spans="1:14" s="175" customFormat="1" ht="15" customHeight="1">
      <c r="A37" s="104" t="s">
        <v>247</v>
      </c>
      <c r="B37" s="162" t="s">
        <v>224</v>
      </c>
      <c r="C37" s="162" t="s">
        <v>224</v>
      </c>
      <c r="D37" s="163">
        <f>5080993+15479000+1600563+1670490+2221275+26+2089857+4310646</f>
        <v>32452850</v>
      </c>
      <c r="E37" s="164" t="s">
        <v>224</v>
      </c>
      <c r="F37" s="165" t="s">
        <v>224</v>
      </c>
      <c r="G37" s="131">
        <f>D37-'[4]Maijs'!D37</f>
        <v>5326162</v>
      </c>
      <c r="H37" s="104" t="s">
        <v>248</v>
      </c>
      <c r="I37" s="166" t="s">
        <v>224</v>
      </c>
      <c r="J37" s="166" t="s">
        <v>224</v>
      </c>
      <c r="K37" s="167">
        <f>ROUND(D37/1000,0)</f>
        <v>32453</v>
      </c>
      <c r="L37" s="164" t="s">
        <v>224</v>
      </c>
      <c r="M37" s="165" t="s">
        <v>224</v>
      </c>
      <c r="N37" s="131">
        <f>K37-'[4]Maijs'!K37</f>
        <v>5326</v>
      </c>
    </row>
    <row r="38" spans="1:14" s="175" customFormat="1" ht="15" customHeight="1">
      <c r="A38" s="104" t="s">
        <v>249</v>
      </c>
      <c r="B38" s="162" t="s">
        <v>224</v>
      </c>
      <c r="C38" s="162" t="s">
        <v>224</v>
      </c>
      <c r="D38" s="163">
        <f>3827209+8-213</f>
        <v>3827004</v>
      </c>
      <c r="E38" s="164" t="s">
        <v>224</v>
      </c>
      <c r="F38" s="165" t="s">
        <v>224</v>
      </c>
      <c r="G38" s="131">
        <f>D38-'[4]Maijs'!D38</f>
        <v>920873</v>
      </c>
      <c r="H38" s="104" t="s">
        <v>250</v>
      </c>
      <c r="I38" s="166" t="s">
        <v>224</v>
      </c>
      <c r="J38" s="166" t="s">
        <v>224</v>
      </c>
      <c r="K38" s="167">
        <f>ROUND(D38/1000,0)</f>
        <v>3827</v>
      </c>
      <c r="L38" s="164" t="s">
        <v>224</v>
      </c>
      <c r="M38" s="165" t="s">
        <v>224</v>
      </c>
      <c r="N38" s="131">
        <f>K38-'[4]Maijs'!K38</f>
        <v>921</v>
      </c>
    </row>
    <row r="39" spans="1:14" s="175" customFormat="1" ht="15" customHeight="1">
      <c r="A39" s="104" t="s">
        <v>251</v>
      </c>
      <c r="B39" s="162" t="s">
        <v>224</v>
      </c>
      <c r="C39" s="162" t="s">
        <v>224</v>
      </c>
      <c r="D39" s="163">
        <f>39227312-36527915</f>
        <v>2699397</v>
      </c>
      <c r="E39" s="164" t="s">
        <v>224</v>
      </c>
      <c r="F39" s="165" t="s">
        <v>224</v>
      </c>
      <c r="G39" s="131">
        <f>D39-'[4]Maijs'!D39</f>
        <v>521215</v>
      </c>
      <c r="H39" s="104" t="s">
        <v>252</v>
      </c>
      <c r="I39" s="166" t="s">
        <v>224</v>
      </c>
      <c r="J39" s="166" t="s">
        <v>224</v>
      </c>
      <c r="K39" s="167">
        <f>ROUND(D39/1000,0)</f>
        <v>2699</v>
      </c>
      <c r="L39" s="164" t="s">
        <v>224</v>
      </c>
      <c r="M39" s="165" t="s">
        <v>224</v>
      </c>
      <c r="N39" s="131">
        <f>K39-'[4]Maijs'!K39</f>
        <v>521</v>
      </c>
    </row>
    <row r="40" spans="1:14" ht="18.75" customHeight="1">
      <c r="A40" s="63" t="s">
        <v>253</v>
      </c>
      <c r="B40" s="131">
        <v>4684688</v>
      </c>
      <c r="C40" s="131">
        <v>3182875</v>
      </c>
      <c r="D40" s="131">
        <v>1866001</v>
      </c>
      <c r="E40" s="11">
        <f>IF(ISERROR(D40/B40)," ",(D40/B40))</f>
        <v>0.398319162343362</v>
      </c>
      <c r="F40" s="11">
        <f>IF(ISERROR(D40/C40)," ",(D40/C40))</f>
        <v>0.5862627341632958</v>
      </c>
      <c r="G40" s="131">
        <f>D40-'[4]Maijs'!D40</f>
        <v>431250</v>
      </c>
      <c r="H40" s="63" t="s">
        <v>253</v>
      </c>
      <c r="I40" s="62">
        <f>ROUND(B40/1000,0)</f>
        <v>4685</v>
      </c>
      <c r="J40" s="62">
        <f>ROUND(C40/1000,0)</f>
        <v>3183</v>
      </c>
      <c r="K40" s="154">
        <f>ROUND(D40/1000,0)</f>
        <v>1866</v>
      </c>
      <c r="L40" s="128">
        <f>IF(ISERROR(ROUND(K40,0)/ROUND(I40,0))," ",(ROUND(K40,)/ROUND(I40,)))</f>
        <v>0.3982924226254002</v>
      </c>
      <c r="M40" s="128">
        <f>IF(ISERROR(ROUND(K40,0)/ROUND(J40,0))," ",(ROUND(K40,)/ROUND(J40,)))</f>
        <v>0.586239396795476</v>
      </c>
      <c r="N40" s="131">
        <f>K40-'[4]Maijs'!K40</f>
        <v>431</v>
      </c>
    </row>
    <row r="41" spans="1:14" ht="27" customHeight="1">
      <c r="A41" s="176" t="s">
        <v>254</v>
      </c>
      <c r="B41" s="52">
        <f>SUM(B42:B43)</f>
        <v>67593468</v>
      </c>
      <c r="C41" s="52">
        <f>SUM(C42:C43)</f>
        <v>27760190</v>
      </c>
      <c r="D41" s="52">
        <f>SUM(D42:D43)</f>
        <v>22358424</v>
      </c>
      <c r="E41" s="11">
        <f>IF(ISERROR(D41/B41)," ",(D41/B41))</f>
        <v>0.33077787930632585</v>
      </c>
      <c r="F41" s="11">
        <f>IF(ISERROR(D41/C41)," ",(D41/C41))</f>
        <v>0.8054132194340169</v>
      </c>
      <c r="G41" s="52">
        <f>SUM(G42:G43)</f>
        <v>6163217</v>
      </c>
      <c r="H41" s="176" t="s">
        <v>254</v>
      </c>
      <c r="I41" s="12">
        <f>SUM(I42:I43)</f>
        <v>67593</v>
      </c>
      <c r="J41" s="12">
        <f>SUM(J42:J43)</f>
        <v>27760</v>
      </c>
      <c r="K41" s="12">
        <f>SUM(K42:K43)</f>
        <v>22360</v>
      </c>
      <c r="L41" s="130">
        <f>IF(ISERROR(ROUND(K41,0)/ROUND(I41,0))," ",(ROUND(K41,)/ROUND(I41,)))</f>
        <v>0.3308034855680322</v>
      </c>
      <c r="M41" s="130">
        <f>IF(ISERROR(ROUND(K41,0)/ROUND(J41,0))," ",(ROUND(K41,)/ROUND(J41,)))</f>
        <v>0.8054755043227666</v>
      </c>
      <c r="N41" s="12">
        <f>SUM(N42:N43)</f>
        <v>6165</v>
      </c>
    </row>
    <row r="42" spans="1:14" ht="24" customHeight="1">
      <c r="A42" s="177" t="s">
        <v>255</v>
      </c>
      <c r="B42" s="131">
        <v>14847167</v>
      </c>
      <c r="C42" s="131">
        <v>7084350</v>
      </c>
      <c r="D42" s="131">
        <f>3558296+25662+220850+1345183+38571</f>
        <v>5188562</v>
      </c>
      <c r="E42" s="11">
        <f>IF(ISERROR(D42/B42)," ",(D42/B42))</f>
        <v>0.34946478341625714</v>
      </c>
      <c r="F42" s="11">
        <f>IF(ISERROR(D42/C42)," ",(D42/C42))</f>
        <v>0.7323977499700043</v>
      </c>
      <c r="G42" s="131">
        <f>D42-'[4]Maijs'!D42</f>
        <v>1574997</v>
      </c>
      <c r="H42" s="177" t="s">
        <v>255</v>
      </c>
      <c r="I42" s="178">
        <f>ROUND(B42/1000,0)</f>
        <v>14847</v>
      </c>
      <c r="J42" s="178">
        <f>ROUND(C42/1000,0)</f>
        <v>7084</v>
      </c>
      <c r="K42" s="154">
        <f>ROUND(D42/1000,0)+1</f>
        <v>5190</v>
      </c>
      <c r="L42" s="128">
        <f>IF(ISERROR(ROUND(K42,0)/ROUND(I42,0))," ",(ROUND(K42,)/ROUND(I42,)))</f>
        <v>0.34956556880177814</v>
      </c>
      <c r="M42" s="128">
        <f>IF(ISERROR(ROUND(K42,0)/ROUND(J42,0))," ",(ROUND(K42,)/ROUND(J42,)))</f>
        <v>0.7326369282891022</v>
      </c>
      <c r="N42" s="131">
        <f>K42-'[4]Maijs'!K42</f>
        <v>1577</v>
      </c>
    </row>
    <row r="43" spans="1:14" ht="19.5" customHeight="1">
      <c r="A43" s="63" t="s">
        <v>256</v>
      </c>
      <c r="B43" s="131">
        <v>52746301</v>
      </c>
      <c r="C43" s="131">
        <v>20675840</v>
      </c>
      <c r="D43" s="163">
        <f>17048381+121481</f>
        <v>17169862</v>
      </c>
      <c r="E43" s="11">
        <f>IF(ISERROR(D43/B43)," ",(D43/B43))</f>
        <v>0.32551784057805305</v>
      </c>
      <c r="F43" s="11">
        <f>IF(ISERROR(D43/C43)," ",(D43/C43))</f>
        <v>0.8304311699065189</v>
      </c>
      <c r="G43" s="131">
        <f>D43-'[4]Maijs'!D43</f>
        <v>4588220</v>
      </c>
      <c r="H43" s="63" t="s">
        <v>256</v>
      </c>
      <c r="I43" s="178">
        <f>ROUND(B43/1000,0)</f>
        <v>52746</v>
      </c>
      <c r="J43" s="178">
        <f>ROUND(C43/1000,0)</f>
        <v>20676</v>
      </c>
      <c r="K43" s="154">
        <f>ROUND(D43/1000,0)</f>
        <v>17170</v>
      </c>
      <c r="L43" s="128">
        <f>IF(ISERROR(ROUND(K43,0)/ROUND(I43,0))," ",(ROUND(K43,)/ROUND(I43,)))</f>
        <v>0.32552231448830243</v>
      </c>
      <c r="M43" s="128">
        <f>IF(ISERROR(ROUND(K43,0)/ROUND(J43,0))," ",(ROUND(K43,)/ROUND(J43,)))</f>
        <v>0.830431418069259</v>
      </c>
      <c r="N43" s="131">
        <f>K43-'[4]Maijs'!K43</f>
        <v>4588</v>
      </c>
    </row>
    <row r="44" spans="1:14" ht="30" customHeight="1">
      <c r="A44" s="32" t="s">
        <v>257</v>
      </c>
      <c r="B44" s="158" t="s">
        <v>224</v>
      </c>
      <c r="C44" s="158" t="s">
        <v>224</v>
      </c>
      <c r="D44" s="52">
        <f>SUM(D45-D46)</f>
        <v>33227330</v>
      </c>
      <c r="E44" s="159" t="s">
        <v>224</v>
      </c>
      <c r="F44" s="160" t="s">
        <v>224</v>
      </c>
      <c r="G44" s="52">
        <f>SUM(G45-G46)</f>
        <v>11854210</v>
      </c>
      <c r="H44" s="32" t="s">
        <v>257</v>
      </c>
      <c r="I44" s="161" t="s">
        <v>224</v>
      </c>
      <c r="J44" s="161" t="s">
        <v>224</v>
      </c>
      <c r="K44" s="12">
        <f>SUM(K45-K46)</f>
        <v>33227</v>
      </c>
      <c r="L44" s="159" t="s">
        <v>224</v>
      </c>
      <c r="M44" s="160" t="s">
        <v>224</v>
      </c>
      <c r="N44" s="12">
        <f>SUM(N45-N46)</f>
        <v>11854</v>
      </c>
    </row>
    <row r="45" spans="1:14" ht="18.75" customHeight="1">
      <c r="A45" s="21" t="s">
        <v>258</v>
      </c>
      <c r="B45" s="131">
        <v>115425226</v>
      </c>
      <c r="C45" s="158" t="s">
        <v>224</v>
      </c>
      <c r="D45" s="179">
        <v>60939608</v>
      </c>
      <c r="E45" s="11"/>
      <c r="F45" s="11"/>
      <c r="G45" s="131">
        <f>D45-'[4]Maijs'!D45</f>
        <v>13212037</v>
      </c>
      <c r="H45" s="21" t="s">
        <v>258</v>
      </c>
      <c r="I45" s="178">
        <f aca="true" t="shared" si="6" ref="I45:K46">ROUND(B45/1000,0)</f>
        <v>115425</v>
      </c>
      <c r="J45" s="180" t="s">
        <v>224</v>
      </c>
      <c r="K45" s="154">
        <f>ROUND(D45/1000,0)-1</f>
        <v>60939</v>
      </c>
      <c r="L45" s="159" t="s">
        <v>224</v>
      </c>
      <c r="M45" s="159" t="s">
        <v>224</v>
      </c>
      <c r="N45" s="131">
        <f>K45-'[4]Maijs'!K45</f>
        <v>13212</v>
      </c>
    </row>
    <row r="46" spans="1:14" ht="22.5" customHeight="1">
      <c r="A46" s="133" t="s">
        <v>259</v>
      </c>
      <c r="B46" s="131">
        <v>19133003</v>
      </c>
      <c r="C46" s="158" t="s">
        <v>224</v>
      </c>
      <c r="D46" s="131">
        <v>27712278</v>
      </c>
      <c r="E46" s="11"/>
      <c r="F46" s="11"/>
      <c r="G46" s="131">
        <f>D46-'[4]Maijs'!D46</f>
        <v>1357827</v>
      </c>
      <c r="H46" s="133" t="s">
        <v>259</v>
      </c>
      <c r="I46" s="178">
        <f t="shared" si="6"/>
        <v>19133</v>
      </c>
      <c r="J46" s="180" t="s">
        <v>224</v>
      </c>
      <c r="K46" s="154">
        <f t="shared" si="6"/>
        <v>27712</v>
      </c>
      <c r="L46" s="159" t="s">
        <v>224</v>
      </c>
      <c r="M46" s="159" t="s">
        <v>224</v>
      </c>
      <c r="N46" s="131">
        <f>K46-'[4]Maijs'!K46</f>
        <v>1358</v>
      </c>
    </row>
    <row r="47" spans="1:14" s="17" customFormat="1" ht="19.5" customHeight="1" hidden="1">
      <c r="A47" s="109" t="s">
        <v>260</v>
      </c>
      <c r="B47" s="131">
        <v>-96292223</v>
      </c>
      <c r="C47" s="158" t="s">
        <v>224</v>
      </c>
      <c r="D47" s="52">
        <f>SUM(D11-D15-D44)</f>
        <v>-19904500</v>
      </c>
      <c r="E47" s="11">
        <f>IF(ISERROR(D47/B47)," ",(D47/B47))</f>
        <v>0.20670932064783673</v>
      </c>
      <c r="F47" s="160" t="s">
        <v>224</v>
      </c>
      <c r="G47" s="52">
        <f>SUM(G11-G15-G44)</f>
        <v>-3511684</v>
      </c>
      <c r="H47" s="109" t="s">
        <v>260</v>
      </c>
      <c r="I47" s="152">
        <f>ROUND(B47/1000,0)</f>
        <v>-96292</v>
      </c>
      <c r="J47" s="161" t="s">
        <v>224</v>
      </c>
      <c r="K47" s="12">
        <f>SUM(K11-K15-K44)</f>
        <v>-19904</v>
      </c>
      <c r="L47" s="130">
        <f>IF(ISERROR(ROUND(K47,0)/ROUND(I47,0))," ",(ROUND(K47,)/ROUND(I47,)))</f>
        <v>0.2067046068209197</v>
      </c>
      <c r="M47" s="160" t="s">
        <v>224</v>
      </c>
      <c r="N47" s="12">
        <f>SUM(N11-N15-N44)</f>
        <v>-3511</v>
      </c>
    </row>
    <row r="48" spans="1:14" ht="12.75" customHeight="1">
      <c r="A48" s="67"/>
      <c r="B48" s="65"/>
      <c r="C48" s="65"/>
      <c r="D48" s="65"/>
      <c r="E48" s="181"/>
      <c r="F48" s="150"/>
      <c r="G48" s="29"/>
      <c r="H48" s="67"/>
      <c r="I48" s="65"/>
      <c r="J48" s="65"/>
      <c r="K48" s="65"/>
      <c r="L48" s="181"/>
      <c r="M48" s="150"/>
      <c r="N48" s="29"/>
    </row>
    <row r="49" spans="1:14" ht="0.75" customHeight="1" hidden="1">
      <c r="A49" s="74"/>
      <c r="B49" s="117"/>
      <c r="C49" s="117"/>
      <c r="D49" s="117"/>
      <c r="E49" s="143"/>
      <c r="F49" s="182"/>
      <c r="G49" s="29"/>
      <c r="H49" s="74"/>
      <c r="I49" s="117"/>
      <c r="J49" s="117"/>
      <c r="K49" s="117"/>
      <c r="L49" s="143"/>
      <c r="M49" s="182"/>
      <c r="N49" s="29"/>
    </row>
    <row r="50" spans="1:14" ht="12.75">
      <c r="A50" s="6"/>
      <c r="B50" s="69"/>
      <c r="C50" s="148"/>
      <c r="D50" s="146"/>
      <c r="E50" s="6"/>
      <c r="F50" s="147"/>
      <c r="G50" s="29"/>
      <c r="H50" s="6"/>
      <c r="I50" s="69"/>
      <c r="J50" s="148"/>
      <c r="K50" s="146"/>
      <c r="L50" s="6"/>
      <c r="M50" s="147"/>
      <c r="N50" s="29"/>
    </row>
    <row r="51" spans="1:14" ht="12.75">
      <c r="A51" s="39" t="s">
        <v>261</v>
      </c>
      <c r="B51" s="6"/>
      <c r="C51" s="6"/>
      <c r="D51" s="6"/>
      <c r="E51" s="6"/>
      <c r="F51" s="6"/>
      <c r="G51" s="29"/>
      <c r="I51" s="6"/>
      <c r="J51" s="6"/>
      <c r="K51" s="6"/>
      <c r="L51" s="6"/>
      <c r="M51" s="6"/>
      <c r="N51" s="29"/>
    </row>
    <row r="52" spans="1:14" ht="12.75">
      <c r="A52" s="6"/>
      <c r="B52" s="29"/>
      <c r="C52" s="29"/>
      <c r="D52" s="29"/>
      <c r="E52" s="29"/>
      <c r="F52" s="29"/>
      <c r="G52" s="29"/>
      <c r="I52" s="29"/>
      <c r="J52" s="29"/>
      <c r="K52" s="29"/>
      <c r="L52" s="29"/>
      <c r="M52" s="29"/>
      <c r="N52" s="29"/>
    </row>
    <row r="53" spans="1:14" ht="12.75">
      <c r="A53" s="29"/>
      <c r="B53" s="29"/>
      <c r="C53" s="29"/>
      <c r="D53" s="29"/>
      <c r="E53" s="29"/>
      <c r="F53" s="29"/>
      <c r="G53" s="29"/>
      <c r="I53" s="29"/>
      <c r="J53" s="29"/>
      <c r="K53" s="29"/>
      <c r="L53" s="29"/>
      <c r="M53" s="29"/>
      <c r="N53" s="29"/>
    </row>
    <row r="54" spans="1:14" ht="12.75">
      <c r="A54" s="29" t="s">
        <v>91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.75">
      <c r="A55" s="29" t="s">
        <v>262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7:14" ht="12.75">
      <c r="G58" s="29"/>
      <c r="N58" s="29"/>
    </row>
    <row r="59" ht="12.75">
      <c r="G59" s="29"/>
    </row>
    <row r="60" ht="12.75">
      <c r="G60" s="29"/>
    </row>
    <row r="61" ht="12.75">
      <c r="G61" s="29"/>
    </row>
    <row r="62" ht="12.75">
      <c r="G62" s="29"/>
    </row>
    <row r="63" ht="12.75">
      <c r="G63" s="29"/>
    </row>
    <row r="64" ht="12.75">
      <c r="G64" s="29"/>
    </row>
    <row r="65" spans="1:7" ht="12.75">
      <c r="A65" s="29"/>
      <c r="B65" s="29"/>
      <c r="C65" s="29"/>
      <c r="D65" s="29"/>
      <c r="E65" s="29"/>
      <c r="F65" s="29"/>
      <c r="G65" s="29"/>
    </row>
    <row r="66" spans="1:7" ht="12.75">
      <c r="A66" s="29"/>
      <c r="B66" s="29"/>
      <c r="C66" s="29"/>
      <c r="D66" s="29"/>
      <c r="E66" s="29"/>
      <c r="F66" s="29"/>
      <c r="G66" s="29"/>
    </row>
    <row r="67" spans="1:7" ht="12.75">
      <c r="A67" s="29"/>
      <c r="B67" s="29"/>
      <c r="C67" s="29"/>
      <c r="D67" s="29"/>
      <c r="E67" s="29"/>
      <c r="F67" s="29"/>
      <c r="G67" s="29"/>
    </row>
    <row r="68" spans="1:8" ht="12.75">
      <c r="A68" s="29"/>
      <c r="B68" s="29"/>
      <c r="C68" s="29"/>
      <c r="D68" s="29"/>
      <c r="E68" s="29"/>
      <c r="F68" s="29"/>
      <c r="G68" s="29"/>
      <c r="H68" s="39" t="s">
        <v>263</v>
      </c>
    </row>
    <row r="69" spans="1:8" ht="12.75">
      <c r="A69" s="29"/>
      <c r="B69" s="29"/>
      <c r="C69" s="29"/>
      <c r="D69" s="29"/>
      <c r="E69" s="29"/>
      <c r="F69" s="29"/>
      <c r="G69" s="29"/>
      <c r="H69" s="6"/>
    </row>
    <row r="70" spans="1:8" ht="12.75">
      <c r="A70" s="29"/>
      <c r="B70" s="29"/>
      <c r="C70" s="29"/>
      <c r="D70" s="29"/>
      <c r="E70" s="29"/>
      <c r="F70" s="29"/>
      <c r="G70" s="29"/>
      <c r="H70" s="29"/>
    </row>
    <row r="71" spans="1:8" ht="12.75">
      <c r="A71" s="29"/>
      <c r="B71" s="29"/>
      <c r="C71" s="29"/>
      <c r="D71" s="29"/>
      <c r="E71" s="29"/>
      <c r="F71" s="29"/>
      <c r="G71" s="29"/>
      <c r="H71" s="29" t="s">
        <v>91</v>
      </c>
    </row>
    <row r="72" spans="1:8" ht="12.75">
      <c r="A72" s="29"/>
      <c r="B72" s="29"/>
      <c r="C72" s="29"/>
      <c r="D72" s="29"/>
      <c r="E72" s="29"/>
      <c r="F72" s="29"/>
      <c r="G72" s="29"/>
      <c r="H72" s="29" t="s">
        <v>93</v>
      </c>
    </row>
    <row r="73" spans="1:7" ht="12.75">
      <c r="A73" s="29"/>
      <c r="B73" s="29"/>
      <c r="C73" s="29"/>
      <c r="D73" s="29"/>
      <c r="E73" s="29"/>
      <c r="F73" s="29"/>
      <c r="G73" s="29"/>
    </row>
    <row r="74" spans="1:7" ht="12.75">
      <c r="A74" s="29"/>
      <c r="B74" s="29"/>
      <c r="C74" s="29"/>
      <c r="D74" s="29"/>
      <c r="E74" s="29"/>
      <c r="F74" s="29"/>
      <c r="G74" s="29"/>
    </row>
    <row r="75" spans="1:7" ht="12.75">
      <c r="A75" s="29"/>
      <c r="B75" s="29"/>
      <c r="C75" s="29"/>
      <c r="D75" s="29"/>
      <c r="E75" s="29"/>
      <c r="F75" s="29"/>
      <c r="G75" s="29"/>
    </row>
    <row r="76" spans="1:7" ht="12.75">
      <c r="A76" s="29"/>
      <c r="B76" s="29"/>
      <c r="C76" s="29"/>
      <c r="D76" s="29"/>
      <c r="E76" s="29"/>
      <c r="F76" s="29"/>
      <c r="G76" s="29"/>
    </row>
    <row r="77" spans="1:7" ht="12.75">
      <c r="A77" s="29"/>
      <c r="B77" s="29"/>
      <c r="C77" s="29"/>
      <c r="D77" s="29"/>
      <c r="E77" s="29"/>
      <c r="F77" s="29"/>
      <c r="G77" s="29"/>
    </row>
    <row r="78" spans="1:7" ht="12.75">
      <c r="A78" s="29"/>
      <c r="B78" s="29"/>
      <c r="C78" s="29"/>
      <c r="D78" s="29"/>
      <c r="E78" s="29"/>
      <c r="F78" s="29"/>
      <c r="G78" s="29"/>
    </row>
    <row r="79" spans="1:7" ht="12.75">
      <c r="A79" s="29"/>
      <c r="B79" s="29"/>
      <c r="C79" s="29"/>
      <c r="D79" s="29"/>
      <c r="E79" s="29"/>
      <c r="F79" s="29"/>
      <c r="G79" s="29"/>
    </row>
    <row r="80" spans="1:7" ht="12.75">
      <c r="A80" s="29"/>
      <c r="B80" s="29"/>
      <c r="C80" s="29"/>
      <c r="D80" s="29"/>
      <c r="E80" s="29"/>
      <c r="F80" s="29"/>
      <c r="G80" s="29"/>
    </row>
    <row r="81" spans="1:7" ht="12.75">
      <c r="A81" s="29"/>
      <c r="B81" s="29"/>
      <c r="C81" s="29"/>
      <c r="D81" s="29"/>
      <c r="E81" s="29"/>
      <c r="F81" s="29"/>
      <c r="G81" s="29"/>
    </row>
    <row r="82" spans="1:7" ht="12.75">
      <c r="A82" s="29"/>
      <c r="B82" s="29"/>
      <c r="C82" s="29"/>
      <c r="D82" s="29"/>
      <c r="E82" s="29"/>
      <c r="F82" s="29"/>
      <c r="G82" s="29"/>
    </row>
    <row r="83" spans="1:7" ht="12.75">
      <c r="A83" s="29"/>
      <c r="B83" s="29"/>
      <c r="C83" s="29"/>
      <c r="D83" s="29"/>
      <c r="E83" s="29"/>
      <c r="F83" s="29"/>
      <c r="G83" s="29"/>
    </row>
    <row r="84" spans="1:7" ht="12.75">
      <c r="A84" s="29"/>
      <c r="B84" s="29"/>
      <c r="C84" s="29"/>
      <c r="D84" s="29"/>
      <c r="E84" s="29"/>
      <c r="F84" s="29"/>
      <c r="G84" s="29"/>
    </row>
    <row r="85" spans="1:7" ht="12.75">
      <c r="A85" s="29"/>
      <c r="B85" s="29"/>
      <c r="C85" s="29"/>
      <c r="D85" s="29"/>
      <c r="E85" s="29"/>
      <c r="F85" s="29"/>
      <c r="G85" s="29"/>
    </row>
    <row r="86" spans="1:7" ht="12.75">
      <c r="A86" s="29"/>
      <c r="B86" s="29"/>
      <c r="C86" s="29"/>
      <c r="D86" s="29"/>
      <c r="E86" s="29"/>
      <c r="F86" s="29"/>
      <c r="G86" s="29"/>
    </row>
    <row r="87" spans="1:7" ht="12.75">
      <c r="A87" s="29"/>
      <c r="B87" s="29"/>
      <c r="C87" s="29"/>
      <c r="D87" s="29"/>
      <c r="E87" s="29"/>
      <c r="F87" s="29"/>
      <c r="G87" s="29"/>
    </row>
    <row r="88" spans="1:7" ht="12.75">
      <c r="A88" s="29"/>
      <c r="B88" s="29"/>
      <c r="C88" s="29"/>
      <c r="D88" s="29"/>
      <c r="E88" s="29"/>
      <c r="F88" s="29"/>
      <c r="G88" s="29"/>
    </row>
    <row r="89" spans="1:7" ht="12.75">
      <c r="A89" s="29"/>
      <c r="B89" s="29"/>
      <c r="C89" s="29"/>
      <c r="D89" s="29"/>
      <c r="E89" s="29"/>
      <c r="F89" s="29"/>
      <c r="G89" s="29"/>
    </row>
    <row r="90" spans="1:7" ht="12.75">
      <c r="A90" s="29"/>
      <c r="B90" s="29"/>
      <c r="C90" s="29"/>
      <c r="D90" s="29"/>
      <c r="E90" s="29"/>
      <c r="F90" s="29"/>
      <c r="G90" s="29"/>
    </row>
    <row r="91" spans="1:7" ht="12.75">
      <c r="A91" s="29"/>
      <c r="B91" s="29"/>
      <c r="C91" s="29"/>
      <c r="D91" s="29"/>
      <c r="E91" s="29"/>
      <c r="F91" s="29"/>
      <c r="G91" s="29"/>
    </row>
    <row r="92" spans="1:7" ht="12.75">
      <c r="A92" s="29"/>
      <c r="B92" s="29"/>
      <c r="C92" s="29"/>
      <c r="D92" s="29"/>
      <c r="E92" s="29"/>
      <c r="F92" s="29"/>
      <c r="G92" s="29"/>
    </row>
    <row r="93" spans="1:7" ht="12.75">
      <c r="A93" s="29"/>
      <c r="B93" s="29"/>
      <c r="C93" s="29"/>
      <c r="D93" s="29"/>
      <c r="E93" s="29"/>
      <c r="F93" s="29"/>
      <c r="G93" s="29"/>
    </row>
    <row r="94" spans="1:7" ht="12.75">
      <c r="A94" s="29"/>
      <c r="B94" s="29"/>
      <c r="C94" s="29"/>
      <c r="D94" s="29"/>
      <c r="E94" s="29"/>
      <c r="F94" s="29"/>
      <c r="G94" s="29"/>
    </row>
    <row r="95" spans="1:7" ht="12.75">
      <c r="A95" s="29"/>
      <c r="B95" s="29"/>
      <c r="C95" s="29"/>
      <c r="D95" s="29"/>
      <c r="E95" s="29"/>
      <c r="F95" s="29"/>
      <c r="G95" s="29"/>
    </row>
    <row r="96" spans="1:7" ht="12.75">
      <c r="A96" s="29"/>
      <c r="B96" s="29"/>
      <c r="C96" s="29"/>
      <c r="D96" s="29"/>
      <c r="E96" s="29"/>
      <c r="F96" s="29"/>
      <c r="G96" s="29"/>
    </row>
    <row r="97" spans="1:7" ht="12.75">
      <c r="A97" s="29"/>
      <c r="B97" s="29"/>
      <c r="C97" s="29"/>
      <c r="D97" s="29"/>
      <c r="E97" s="29"/>
      <c r="F97" s="29"/>
      <c r="G97" s="29"/>
    </row>
    <row r="98" spans="1:7" ht="12.75">
      <c r="A98" s="29"/>
      <c r="B98" s="29"/>
      <c r="C98" s="29"/>
      <c r="D98" s="29"/>
      <c r="E98" s="29"/>
      <c r="F98" s="29"/>
      <c r="G98" s="29"/>
    </row>
    <row r="99" spans="1:7" ht="12.75">
      <c r="A99" s="29"/>
      <c r="B99" s="29"/>
      <c r="C99" s="29"/>
      <c r="D99" s="29"/>
      <c r="E99" s="29"/>
      <c r="F99" s="29"/>
      <c r="G99" s="29"/>
    </row>
    <row r="100" spans="1:7" ht="12.75">
      <c r="A100" s="29"/>
      <c r="B100" s="29"/>
      <c r="C100" s="29"/>
      <c r="D100" s="29"/>
      <c r="E100" s="29"/>
      <c r="F100" s="29"/>
      <c r="G100" s="29"/>
    </row>
    <row r="101" spans="1:7" ht="12.75">
      <c r="A101" s="29"/>
      <c r="B101" s="29"/>
      <c r="C101" s="29"/>
      <c r="D101" s="29"/>
      <c r="E101" s="29"/>
      <c r="F101" s="29"/>
      <c r="G101" s="29"/>
    </row>
    <row r="102" spans="1:7" ht="12.75">
      <c r="A102" s="29"/>
      <c r="B102" s="29"/>
      <c r="C102" s="29"/>
      <c r="D102" s="29"/>
      <c r="E102" s="29"/>
      <c r="F102" s="29"/>
      <c r="G102" s="29"/>
    </row>
    <row r="103" spans="1:7" ht="12.75">
      <c r="A103" s="29"/>
      <c r="B103" s="29"/>
      <c r="C103" s="29"/>
      <c r="D103" s="29"/>
      <c r="E103" s="29"/>
      <c r="F103" s="29"/>
      <c r="G103" s="29"/>
    </row>
    <row r="104" spans="1:7" ht="12.75">
      <c r="A104" s="29"/>
      <c r="B104" s="29"/>
      <c r="C104" s="29"/>
      <c r="D104" s="29"/>
      <c r="E104" s="29"/>
      <c r="F104" s="29"/>
      <c r="G104" s="29"/>
    </row>
    <row r="105" spans="1:7" ht="12.75">
      <c r="A105" s="29"/>
      <c r="B105" s="29"/>
      <c r="C105" s="29"/>
      <c r="D105" s="29"/>
      <c r="E105" s="29"/>
      <c r="F105" s="29"/>
      <c r="G105" s="29"/>
    </row>
    <row r="106" spans="1:7" ht="12.75">
      <c r="A106" s="29"/>
      <c r="B106" s="29"/>
      <c r="C106" s="29"/>
      <c r="D106" s="29"/>
      <c r="E106" s="29"/>
      <c r="F106" s="29"/>
      <c r="G106" s="29"/>
    </row>
    <row r="107" spans="1:7" ht="12.75">
      <c r="A107" s="29"/>
      <c r="B107" s="29"/>
      <c r="C107" s="29"/>
      <c r="D107" s="29"/>
      <c r="E107" s="29"/>
      <c r="F107" s="29"/>
      <c r="G107" s="29"/>
    </row>
    <row r="108" spans="1:7" ht="12.75">
      <c r="A108" s="29"/>
      <c r="B108" s="29"/>
      <c r="C108" s="29"/>
      <c r="D108" s="29"/>
      <c r="E108" s="29"/>
      <c r="F108" s="29"/>
      <c r="G108" s="29"/>
    </row>
    <row r="109" spans="1:7" ht="12.75">
      <c r="A109" s="29"/>
      <c r="B109" s="29"/>
      <c r="C109" s="29"/>
      <c r="D109" s="29"/>
      <c r="E109" s="29"/>
      <c r="F109" s="29"/>
      <c r="G109" s="29"/>
    </row>
    <row r="110" spans="1:7" ht="12.75">
      <c r="A110" s="29"/>
      <c r="B110" s="29"/>
      <c r="C110" s="29"/>
      <c r="D110" s="29"/>
      <c r="E110" s="29"/>
      <c r="F110" s="29"/>
      <c r="G110" s="29"/>
    </row>
    <row r="111" spans="1:7" ht="12.75">
      <c r="A111" s="29"/>
      <c r="B111" s="29"/>
      <c r="C111" s="29"/>
      <c r="D111" s="29"/>
      <c r="E111" s="29"/>
      <c r="F111" s="29"/>
      <c r="G111" s="29"/>
    </row>
    <row r="112" spans="1:7" ht="12.75">
      <c r="A112" s="29"/>
      <c r="B112" s="29"/>
      <c r="C112" s="29"/>
      <c r="D112" s="29"/>
      <c r="E112" s="29"/>
      <c r="F112" s="29"/>
      <c r="G112" s="29"/>
    </row>
    <row r="113" spans="1:7" ht="12.75">
      <c r="A113" s="29"/>
      <c r="B113" s="29"/>
      <c r="C113" s="29"/>
      <c r="D113" s="29"/>
      <c r="E113" s="29"/>
      <c r="F113" s="29"/>
      <c r="G113" s="29"/>
    </row>
    <row r="114" spans="1:7" ht="12.75">
      <c r="A114" s="29"/>
      <c r="B114" s="29"/>
      <c r="C114" s="29"/>
      <c r="D114" s="29"/>
      <c r="E114" s="29"/>
      <c r="F114" s="29"/>
      <c r="G114" s="29"/>
    </row>
    <row r="115" spans="1:7" ht="12.75">
      <c r="A115" s="29"/>
      <c r="B115" s="29"/>
      <c r="C115" s="29"/>
      <c r="D115" s="29"/>
      <c r="E115" s="29"/>
      <c r="F115" s="29"/>
      <c r="G115" s="29"/>
    </row>
    <row r="116" spans="1:7" ht="12.75">
      <c r="A116" s="29"/>
      <c r="B116" s="29"/>
      <c r="C116" s="29"/>
      <c r="D116" s="29"/>
      <c r="E116" s="29"/>
      <c r="F116" s="29"/>
      <c r="G116" s="29"/>
    </row>
    <row r="117" spans="1:7" ht="12.75">
      <c r="A117" s="29"/>
      <c r="B117" s="29"/>
      <c r="C117" s="29"/>
      <c r="D117" s="29"/>
      <c r="E117" s="29"/>
      <c r="F117" s="29"/>
      <c r="G117" s="29"/>
    </row>
    <row r="118" spans="1:7" ht="12.75">
      <c r="A118" s="29"/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  <row r="120" spans="1:7" ht="12.75">
      <c r="A120" s="29"/>
      <c r="B120" s="29"/>
      <c r="C120" s="29"/>
      <c r="D120" s="29"/>
      <c r="E120" s="29"/>
      <c r="F120" s="29"/>
      <c r="G120" s="29"/>
    </row>
    <row r="121" spans="1:7" ht="12.75">
      <c r="A121" s="29"/>
      <c r="B121" s="29"/>
      <c r="C121" s="29"/>
      <c r="D121" s="29"/>
      <c r="E121" s="29"/>
      <c r="F121" s="29"/>
      <c r="G121" s="29"/>
    </row>
    <row r="122" spans="1:7" ht="12.75">
      <c r="A122" s="29"/>
      <c r="B122" s="29"/>
      <c r="C122" s="29"/>
      <c r="D122" s="29"/>
      <c r="E122" s="29"/>
      <c r="F122" s="29"/>
      <c r="G122" s="29"/>
    </row>
    <row r="123" spans="1:7" ht="12.75">
      <c r="A123" s="29"/>
      <c r="B123" s="29"/>
      <c r="C123" s="29"/>
      <c r="D123" s="29"/>
      <c r="E123" s="29"/>
      <c r="F123" s="29"/>
      <c r="G123" s="29"/>
    </row>
    <row r="124" spans="1:7" ht="12.75">
      <c r="A124" s="29"/>
      <c r="B124" s="29"/>
      <c r="C124" s="29"/>
      <c r="D124" s="29"/>
      <c r="E124" s="29"/>
      <c r="F124" s="29"/>
      <c r="G124" s="29"/>
    </row>
    <row r="125" spans="1:7" ht="12.75">
      <c r="A125" s="29"/>
      <c r="B125" s="29"/>
      <c r="C125" s="29"/>
      <c r="D125" s="29"/>
      <c r="E125" s="29"/>
      <c r="F125" s="29"/>
      <c r="G125" s="29"/>
    </row>
    <row r="126" spans="1:7" ht="12.75">
      <c r="A126" s="29"/>
      <c r="B126" s="29"/>
      <c r="C126" s="29"/>
      <c r="D126" s="29"/>
      <c r="E126" s="29"/>
      <c r="F126" s="29"/>
      <c r="G126" s="29"/>
    </row>
    <row r="127" spans="1:7" ht="12.75">
      <c r="A127" s="29"/>
      <c r="B127" s="29"/>
      <c r="C127" s="29"/>
      <c r="D127" s="29"/>
      <c r="E127" s="29"/>
      <c r="F127" s="29"/>
      <c r="G127" s="29"/>
    </row>
    <row r="128" spans="1:7" ht="12.75">
      <c r="A128" s="29"/>
      <c r="B128" s="29"/>
      <c r="C128" s="29"/>
      <c r="D128" s="29"/>
      <c r="E128" s="29"/>
      <c r="F128" s="29"/>
      <c r="G128" s="29"/>
    </row>
    <row r="129" spans="1:7" ht="12.75">
      <c r="A129" s="29"/>
      <c r="B129" s="29"/>
      <c r="C129" s="29"/>
      <c r="D129" s="29"/>
      <c r="E129" s="29"/>
      <c r="F129" s="29"/>
      <c r="G129" s="29"/>
    </row>
    <row r="130" spans="1:7" ht="12.75">
      <c r="A130" s="29"/>
      <c r="B130" s="29"/>
      <c r="C130" s="29"/>
      <c r="D130" s="29"/>
      <c r="E130" s="29"/>
      <c r="F130" s="29"/>
      <c r="G130" s="29"/>
    </row>
    <row r="131" spans="1:7" ht="12.75">
      <c r="A131" s="29"/>
      <c r="B131" s="29"/>
      <c r="C131" s="29"/>
      <c r="D131" s="29"/>
      <c r="E131" s="29"/>
      <c r="F131" s="29"/>
      <c r="G131" s="29"/>
    </row>
    <row r="132" spans="1:7" ht="12.75">
      <c r="A132" s="29"/>
      <c r="B132" s="29"/>
      <c r="C132" s="29"/>
      <c r="D132" s="29"/>
      <c r="E132" s="29"/>
      <c r="F132" s="29"/>
      <c r="G132" s="29"/>
    </row>
    <row r="133" spans="1:7" ht="12.75">
      <c r="A133" s="29"/>
      <c r="B133" s="29"/>
      <c r="C133" s="29"/>
      <c r="D133" s="29"/>
      <c r="E133" s="29"/>
      <c r="F133" s="29"/>
      <c r="G133" s="29"/>
    </row>
    <row r="134" spans="1:7" ht="12.75">
      <c r="A134" s="29"/>
      <c r="B134" s="29"/>
      <c r="C134" s="29"/>
      <c r="D134" s="29"/>
      <c r="E134" s="29"/>
      <c r="F134" s="29"/>
      <c r="G134" s="29"/>
    </row>
    <row r="135" spans="1:7" ht="12.75">
      <c r="A135" s="29"/>
      <c r="B135" s="29"/>
      <c r="C135" s="29"/>
      <c r="D135" s="29"/>
      <c r="E135" s="29"/>
      <c r="F135" s="29"/>
      <c r="G135" s="29"/>
    </row>
    <row r="136" spans="1:7" ht="12.75">
      <c r="A136" s="29"/>
      <c r="B136" s="29"/>
      <c r="C136" s="29"/>
      <c r="D136" s="29"/>
      <c r="E136" s="29"/>
      <c r="F136" s="29"/>
      <c r="G136" s="29"/>
    </row>
    <row r="137" spans="1:7" ht="12.75">
      <c r="A137" s="29"/>
      <c r="B137" s="29"/>
      <c r="C137" s="29"/>
      <c r="D137" s="29"/>
      <c r="E137" s="29"/>
      <c r="F137" s="29"/>
      <c r="G137" s="29"/>
    </row>
    <row r="138" spans="1:7" ht="12.75">
      <c r="A138" s="29"/>
      <c r="B138" s="29"/>
      <c r="C138" s="29"/>
      <c r="D138" s="29"/>
      <c r="E138" s="29"/>
      <c r="F138" s="29"/>
      <c r="G138" s="29"/>
    </row>
    <row r="139" spans="1:7" ht="12.75">
      <c r="A139" s="29"/>
      <c r="B139" s="29"/>
      <c r="C139" s="29"/>
      <c r="D139" s="29"/>
      <c r="E139" s="29"/>
      <c r="F139" s="29"/>
      <c r="G139" s="29"/>
    </row>
    <row r="140" spans="1:7" ht="12.75">
      <c r="A140" s="29"/>
      <c r="B140" s="29"/>
      <c r="C140" s="29"/>
      <c r="D140" s="29"/>
      <c r="E140" s="29"/>
      <c r="F140" s="29"/>
      <c r="G140" s="29"/>
    </row>
    <row r="141" spans="1:7" ht="12.75">
      <c r="A141" s="29"/>
      <c r="B141" s="29"/>
      <c r="C141" s="29"/>
      <c r="D141" s="29"/>
      <c r="E141" s="29"/>
      <c r="F141" s="29"/>
      <c r="G141" s="29"/>
    </row>
    <row r="142" spans="1:7" ht="12.75">
      <c r="A142" s="29"/>
      <c r="B142" s="29"/>
      <c r="C142" s="29"/>
      <c r="D142" s="29"/>
      <c r="E142" s="29"/>
      <c r="F142" s="29"/>
      <c r="G142" s="29"/>
    </row>
    <row r="143" spans="1:7" ht="12.75">
      <c r="A143" s="29"/>
      <c r="B143" s="29"/>
      <c r="C143" s="29"/>
      <c r="D143" s="29"/>
      <c r="E143" s="29"/>
      <c r="F143" s="29"/>
      <c r="G143" s="29"/>
    </row>
    <row r="144" spans="1:7" ht="12.75">
      <c r="A144" s="29"/>
      <c r="B144" s="29"/>
      <c r="C144" s="29"/>
      <c r="D144" s="29"/>
      <c r="E144" s="29"/>
      <c r="F144" s="29"/>
      <c r="G144" s="29"/>
    </row>
    <row r="145" spans="1:7" ht="12.75">
      <c r="A145" s="29"/>
      <c r="B145" s="29"/>
      <c r="C145" s="29"/>
      <c r="D145" s="29"/>
      <c r="E145" s="29"/>
      <c r="F145" s="29"/>
      <c r="G145" s="29"/>
    </row>
    <row r="146" spans="1:7" ht="12.75">
      <c r="A146" s="29"/>
      <c r="B146" s="29"/>
      <c r="C146" s="29"/>
      <c r="D146" s="29"/>
      <c r="E146" s="29"/>
      <c r="F146" s="29"/>
      <c r="G146" s="29"/>
    </row>
    <row r="147" spans="1:7" ht="12.75">
      <c r="A147" s="29"/>
      <c r="B147" s="29"/>
      <c r="C147" s="29"/>
      <c r="D147" s="29"/>
      <c r="E147" s="29"/>
      <c r="F147" s="29"/>
      <c r="G147" s="29"/>
    </row>
    <row r="148" spans="1:7" ht="12.75">
      <c r="A148" s="29"/>
      <c r="B148" s="29"/>
      <c r="C148" s="29"/>
      <c r="D148" s="29"/>
      <c r="E148" s="29"/>
      <c r="F148" s="29"/>
      <c r="G148" s="29"/>
    </row>
    <row r="149" spans="1:7" ht="12.75">
      <c r="A149" s="29"/>
      <c r="B149" s="29"/>
      <c r="C149" s="29"/>
      <c r="D149" s="29"/>
      <c r="E149" s="29"/>
      <c r="F149" s="29"/>
      <c r="G149" s="29"/>
    </row>
    <row r="150" spans="1:7" ht="12.75">
      <c r="A150" s="29"/>
      <c r="B150" s="29"/>
      <c r="C150" s="29"/>
      <c r="D150" s="29"/>
      <c r="E150" s="29"/>
      <c r="F150" s="29"/>
      <c r="G150" s="29"/>
    </row>
    <row r="151" spans="1:7" ht="12.75">
      <c r="A151" s="29"/>
      <c r="B151" s="29"/>
      <c r="C151" s="29"/>
      <c r="D151" s="29"/>
      <c r="E151" s="29"/>
      <c r="F151" s="29"/>
      <c r="G151" s="29"/>
    </row>
    <row r="152" spans="1:7" ht="12.75">
      <c r="A152" s="29"/>
      <c r="B152" s="29"/>
      <c r="C152" s="29"/>
      <c r="D152" s="29"/>
      <c r="E152" s="29"/>
      <c r="F152" s="29"/>
      <c r="G152" s="29"/>
    </row>
    <row r="153" spans="1:7" ht="12.75">
      <c r="A153" s="29"/>
      <c r="B153" s="29"/>
      <c r="C153" s="29"/>
      <c r="D153" s="29"/>
      <c r="E153" s="29"/>
      <c r="F153" s="29"/>
      <c r="G153" s="29"/>
    </row>
    <row r="154" spans="1:7" ht="12.75">
      <c r="A154" s="29"/>
      <c r="B154" s="29"/>
      <c r="C154" s="29"/>
      <c r="D154" s="29"/>
      <c r="E154" s="29"/>
      <c r="F154" s="29"/>
      <c r="G154" s="29"/>
    </row>
    <row r="155" spans="1:7" ht="12.75">
      <c r="A155" s="29"/>
      <c r="B155" s="29"/>
      <c r="C155" s="29"/>
      <c r="D155" s="29"/>
      <c r="E155" s="29"/>
      <c r="F155" s="29"/>
      <c r="G155" s="29"/>
    </row>
    <row r="156" spans="1:7" ht="12.75">
      <c r="A156" s="29"/>
      <c r="B156" s="29"/>
      <c r="C156" s="29"/>
      <c r="D156" s="29"/>
      <c r="E156" s="29"/>
      <c r="F156" s="29"/>
      <c r="G156" s="29"/>
    </row>
    <row r="157" spans="1:7" ht="12.75">
      <c r="A157" s="29"/>
      <c r="B157" s="29"/>
      <c r="C157" s="29"/>
      <c r="D157" s="29"/>
      <c r="E157" s="29"/>
      <c r="F157" s="29"/>
      <c r="G157" s="29"/>
    </row>
    <row r="158" spans="1:7" ht="12.75">
      <c r="A158" s="29"/>
      <c r="B158" s="29"/>
      <c r="C158" s="29"/>
      <c r="D158" s="29"/>
      <c r="E158" s="29"/>
      <c r="F158" s="29"/>
      <c r="G158" s="29"/>
    </row>
    <row r="159" spans="1:7" ht="12.75">
      <c r="A159" s="29"/>
      <c r="B159" s="29"/>
      <c r="C159" s="29"/>
      <c r="D159" s="29"/>
      <c r="E159" s="29"/>
      <c r="F159" s="29"/>
      <c r="G159" s="29"/>
    </row>
    <row r="160" spans="1:7" ht="12.75">
      <c r="A160" s="29"/>
      <c r="B160" s="29"/>
      <c r="C160" s="29"/>
      <c r="D160" s="29"/>
      <c r="E160" s="29"/>
      <c r="F160" s="29"/>
      <c r="G160" s="29"/>
    </row>
    <row r="161" spans="1:7" ht="12.75">
      <c r="A161" s="29"/>
      <c r="B161" s="29"/>
      <c r="C161" s="29"/>
      <c r="D161" s="29"/>
      <c r="E161" s="29"/>
      <c r="F161" s="29"/>
      <c r="G161" s="29"/>
    </row>
    <row r="162" spans="1:7" ht="12.75">
      <c r="A162" s="29"/>
      <c r="B162" s="29"/>
      <c r="C162" s="29"/>
      <c r="D162" s="29"/>
      <c r="E162" s="29"/>
      <c r="F162" s="29"/>
      <c r="G162" s="29"/>
    </row>
    <row r="163" spans="1:7" ht="12.75">
      <c r="A163" s="29"/>
      <c r="B163" s="29"/>
      <c r="C163" s="29"/>
      <c r="D163" s="29"/>
      <c r="E163" s="29"/>
      <c r="F163" s="29"/>
      <c r="G163" s="29"/>
    </row>
    <row r="164" spans="1:7" ht="12.75">
      <c r="A164" s="29"/>
      <c r="B164" s="29"/>
      <c r="C164" s="29"/>
      <c r="D164" s="29"/>
      <c r="E164" s="29"/>
      <c r="F164" s="29"/>
      <c r="G164" s="29"/>
    </row>
    <row r="165" spans="1:7" ht="12.75">
      <c r="A165" s="29"/>
      <c r="B165" s="29"/>
      <c r="C165" s="29"/>
      <c r="D165" s="29"/>
      <c r="E165" s="29"/>
      <c r="F165" s="29"/>
      <c r="G165" s="29"/>
    </row>
    <row r="166" spans="1:7" ht="12.75">
      <c r="A166" s="29"/>
      <c r="B166" s="29"/>
      <c r="C166" s="29"/>
      <c r="D166" s="29"/>
      <c r="E166" s="29"/>
      <c r="F166" s="29"/>
      <c r="G166" s="29"/>
    </row>
    <row r="167" spans="1:7" ht="12.75">
      <c r="A167" s="29"/>
      <c r="B167" s="29"/>
      <c r="C167" s="29"/>
      <c r="D167" s="29"/>
      <c r="E167" s="29"/>
      <c r="F167" s="29"/>
      <c r="G167" s="29"/>
    </row>
    <row r="168" spans="1:7" ht="12.75">
      <c r="A168" s="29"/>
      <c r="B168" s="29"/>
      <c r="C168" s="29"/>
      <c r="D168" s="29"/>
      <c r="E168" s="29"/>
      <c r="F168" s="29"/>
      <c r="G168" s="29"/>
    </row>
    <row r="169" spans="1:7" ht="12.75">
      <c r="A169" s="29"/>
      <c r="B169" s="29"/>
      <c r="C169" s="29"/>
      <c r="D169" s="29"/>
      <c r="E169" s="29"/>
      <c r="F169" s="29"/>
      <c r="G169" s="29"/>
    </row>
    <row r="170" spans="1:7" ht="12.75">
      <c r="A170" s="29"/>
      <c r="B170" s="29"/>
      <c r="C170" s="29"/>
      <c r="D170" s="29"/>
      <c r="E170" s="29"/>
      <c r="F170" s="29"/>
      <c r="G170" s="29"/>
    </row>
    <row r="171" spans="1:7" ht="12.75">
      <c r="A171" s="29"/>
      <c r="B171" s="29"/>
      <c r="C171" s="29"/>
      <c r="D171" s="29"/>
      <c r="E171" s="29"/>
      <c r="F171" s="29"/>
      <c r="G171" s="29"/>
    </row>
    <row r="172" spans="1:7" ht="12.75">
      <c r="A172" s="29"/>
      <c r="B172" s="29"/>
      <c r="C172" s="29"/>
      <c r="D172" s="29"/>
      <c r="E172" s="29"/>
      <c r="F172" s="29"/>
      <c r="G172" s="29"/>
    </row>
    <row r="173" spans="1:7" ht="12.75">
      <c r="A173" s="29"/>
      <c r="B173" s="29"/>
      <c r="C173" s="29"/>
      <c r="D173" s="29"/>
      <c r="E173" s="29"/>
      <c r="F173" s="29"/>
      <c r="G173" s="29"/>
    </row>
    <row r="174" spans="1:7" ht="12.75">
      <c r="A174" s="29"/>
      <c r="B174" s="29"/>
      <c r="C174" s="29"/>
      <c r="D174" s="29"/>
      <c r="E174" s="29"/>
      <c r="F174" s="29"/>
      <c r="G174" s="29"/>
    </row>
    <row r="175" spans="1:7" ht="12.75">
      <c r="A175" s="29"/>
      <c r="B175" s="29"/>
      <c r="C175" s="29"/>
      <c r="D175" s="29"/>
      <c r="E175" s="29"/>
      <c r="F175" s="29"/>
      <c r="G175" s="29"/>
    </row>
    <row r="176" spans="1:7" ht="12.75">
      <c r="A176" s="29"/>
      <c r="B176" s="29"/>
      <c r="C176" s="29"/>
      <c r="D176" s="29"/>
      <c r="E176" s="29"/>
      <c r="F176" s="29"/>
      <c r="G176" s="29"/>
    </row>
    <row r="177" spans="1:7" ht="12.75">
      <c r="A177" s="29"/>
      <c r="B177" s="29"/>
      <c r="C177" s="29"/>
      <c r="D177" s="29"/>
      <c r="E177" s="29"/>
      <c r="F177" s="29"/>
      <c r="G177" s="29"/>
    </row>
    <row r="178" spans="1:7" ht="12.75">
      <c r="A178" s="29"/>
      <c r="B178" s="29"/>
      <c r="C178" s="29"/>
      <c r="D178" s="29"/>
      <c r="E178" s="29"/>
      <c r="F178" s="29"/>
      <c r="G178" s="29"/>
    </row>
    <row r="179" spans="1:7" ht="12.75">
      <c r="A179" s="29"/>
      <c r="B179" s="29"/>
      <c r="C179" s="29"/>
      <c r="D179" s="29"/>
      <c r="E179" s="29"/>
      <c r="F179" s="29"/>
      <c r="G179" s="29"/>
    </row>
    <row r="180" spans="1:7" ht="12.75">
      <c r="A180" s="29"/>
      <c r="B180" s="29"/>
      <c r="C180" s="29"/>
      <c r="D180" s="29"/>
      <c r="E180" s="29"/>
      <c r="F180" s="29"/>
      <c r="G180" s="29"/>
    </row>
    <row r="181" spans="1:7" ht="12.75">
      <c r="A181" s="29"/>
      <c r="B181" s="29"/>
      <c r="C181" s="29"/>
      <c r="D181" s="29"/>
      <c r="E181" s="29"/>
      <c r="F181" s="29"/>
      <c r="G181" s="29"/>
    </row>
    <row r="182" spans="1:7" ht="12.75">
      <c r="A182" s="29"/>
      <c r="B182" s="29"/>
      <c r="C182" s="29"/>
      <c r="D182" s="29"/>
      <c r="E182" s="29"/>
      <c r="F182" s="29"/>
      <c r="G182" s="29"/>
    </row>
    <row r="183" spans="1:7" ht="12.75">
      <c r="A183" s="29"/>
      <c r="B183" s="29"/>
      <c r="C183" s="29"/>
      <c r="D183" s="29"/>
      <c r="E183" s="29"/>
      <c r="F183" s="29"/>
      <c r="G183" s="29"/>
    </row>
    <row r="184" spans="1:7" ht="12.75">
      <c r="A184" s="29"/>
      <c r="B184" s="29"/>
      <c r="C184" s="29"/>
      <c r="D184" s="29"/>
      <c r="E184" s="29"/>
      <c r="F184" s="29"/>
      <c r="G184" s="29"/>
    </row>
    <row r="185" spans="1:7" ht="12.75">
      <c r="A185" s="29"/>
      <c r="B185" s="29"/>
      <c r="C185" s="29"/>
      <c r="D185" s="29"/>
      <c r="E185" s="29"/>
      <c r="F185" s="29"/>
      <c r="G185" s="29"/>
    </row>
    <row r="186" spans="1:7" ht="12.75">
      <c r="A186" s="29"/>
      <c r="B186" s="29"/>
      <c r="C186" s="29"/>
      <c r="D186" s="29"/>
      <c r="E186" s="29"/>
      <c r="F186" s="29"/>
      <c r="G186" s="29"/>
    </row>
    <row r="187" spans="1:7" ht="12.75">
      <c r="A187" s="29"/>
      <c r="B187" s="29"/>
      <c r="C187" s="29"/>
      <c r="D187" s="29"/>
      <c r="E187" s="29"/>
      <c r="F187" s="29"/>
      <c r="G187" s="29"/>
    </row>
    <row r="188" spans="1:7" ht="12.75">
      <c r="A188" s="29"/>
      <c r="B188" s="29"/>
      <c r="C188" s="29"/>
      <c r="D188" s="29"/>
      <c r="E188" s="29"/>
      <c r="F188" s="29"/>
      <c r="G188" s="29"/>
    </row>
    <row r="189" spans="1:7" ht="12.75">
      <c r="A189" s="29"/>
      <c r="B189" s="29"/>
      <c r="C189" s="29"/>
      <c r="D189" s="29"/>
      <c r="E189" s="29"/>
      <c r="F189" s="29"/>
      <c r="G189" s="29"/>
    </row>
    <row r="190" spans="1:7" ht="12.75">
      <c r="A190" s="29"/>
      <c r="B190" s="29"/>
      <c r="C190" s="29"/>
      <c r="D190" s="29"/>
      <c r="E190" s="29"/>
      <c r="F190" s="29"/>
      <c r="G190" s="29"/>
    </row>
    <row r="191" spans="1:7" ht="12.75">
      <c r="A191" s="29"/>
      <c r="B191" s="29"/>
      <c r="C191" s="29"/>
      <c r="D191" s="29"/>
      <c r="E191" s="29"/>
      <c r="F191" s="29"/>
      <c r="G191" s="29"/>
    </row>
    <row r="192" spans="1:7" ht="12.75">
      <c r="A192" s="29"/>
      <c r="B192" s="29"/>
      <c r="C192" s="29"/>
      <c r="D192" s="29"/>
      <c r="E192" s="29"/>
      <c r="F192" s="29"/>
      <c r="G192" s="29"/>
    </row>
    <row r="193" spans="1:7" ht="12.75">
      <c r="A193" s="29"/>
      <c r="B193" s="29"/>
      <c r="C193" s="29"/>
      <c r="D193" s="29"/>
      <c r="E193" s="29"/>
      <c r="F193" s="29"/>
      <c r="G193" s="29"/>
    </row>
    <row r="194" spans="1:7" ht="12.75">
      <c r="A194" s="29"/>
      <c r="B194" s="29"/>
      <c r="C194" s="29"/>
      <c r="D194" s="29"/>
      <c r="E194" s="29"/>
      <c r="F194" s="29"/>
      <c r="G194" s="29"/>
    </row>
    <row r="195" spans="1:7" ht="12.75">
      <c r="A195" s="29"/>
      <c r="B195" s="29"/>
      <c r="C195" s="29"/>
      <c r="D195" s="29"/>
      <c r="E195" s="29"/>
      <c r="F195" s="29"/>
      <c r="G195" s="29"/>
    </row>
    <row r="196" spans="1:7" ht="12.75">
      <c r="A196" s="29"/>
      <c r="B196" s="29"/>
      <c r="C196" s="29"/>
      <c r="D196" s="29"/>
      <c r="E196" s="29"/>
      <c r="F196" s="29"/>
      <c r="G196" s="29"/>
    </row>
    <row r="197" spans="1:7" ht="12.75">
      <c r="A197" s="29"/>
      <c r="B197" s="29"/>
      <c r="C197" s="29"/>
      <c r="D197" s="29"/>
      <c r="E197" s="29"/>
      <c r="F197" s="29"/>
      <c r="G197" s="29"/>
    </row>
    <row r="198" spans="1:7" ht="12.75">
      <c r="A198" s="29"/>
      <c r="B198" s="29"/>
      <c r="C198" s="29"/>
      <c r="D198" s="29"/>
      <c r="E198" s="29"/>
      <c r="F198" s="29"/>
      <c r="G198" s="29"/>
    </row>
    <row r="199" spans="1:7" ht="12.75">
      <c r="A199" s="29"/>
      <c r="B199" s="29"/>
      <c r="C199" s="29"/>
      <c r="D199" s="29"/>
      <c r="E199" s="29"/>
      <c r="F199" s="29"/>
      <c r="G199" s="29"/>
    </row>
    <row r="200" spans="1:7" ht="12.75">
      <c r="A200" s="29"/>
      <c r="B200" s="29"/>
      <c r="C200" s="29"/>
      <c r="D200" s="29"/>
      <c r="E200" s="29"/>
      <c r="F200" s="29"/>
      <c r="G200" s="29"/>
    </row>
    <row r="201" spans="1:7" ht="12.75">
      <c r="A201" s="29"/>
      <c r="B201" s="29"/>
      <c r="C201" s="29"/>
      <c r="D201" s="29"/>
      <c r="E201" s="29"/>
      <c r="F201" s="29"/>
      <c r="G201" s="29"/>
    </row>
    <row r="202" spans="1:7" ht="12.75">
      <c r="A202" s="29"/>
      <c r="B202" s="29"/>
      <c r="C202" s="29"/>
      <c r="D202" s="29"/>
      <c r="E202" s="29"/>
      <c r="F202" s="29"/>
      <c r="G202" s="29"/>
    </row>
    <row r="203" spans="1:7" ht="12.75">
      <c r="A203" s="29"/>
      <c r="B203" s="29"/>
      <c r="C203" s="29"/>
      <c r="D203" s="29"/>
      <c r="E203" s="29"/>
      <c r="F203" s="29"/>
      <c r="G203" s="29"/>
    </row>
    <row r="204" spans="1:7" ht="12.75">
      <c r="A204" s="29"/>
      <c r="B204" s="29"/>
      <c r="C204" s="29"/>
      <c r="D204" s="29"/>
      <c r="E204" s="29"/>
      <c r="F204" s="29"/>
      <c r="G204" s="29"/>
    </row>
    <row r="205" spans="1:7" ht="12.75">
      <c r="A205" s="29"/>
      <c r="B205" s="29"/>
      <c r="C205" s="29"/>
      <c r="D205" s="29"/>
      <c r="E205" s="29"/>
      <c r="F205" s="29"/>
      <c r="G205" s="29"/>
    </row>
    <row r="206" spans="1:7" ht="12.75">
      <c r="A206" s="29"/>
      <c r="B206" s="29"/>
      <c r="C206" s="29"/>
      <c r="D206" s="29"/>
      <c r="E206" s="29"/>
      <c r="F206" s="29"/>
      <c r="G206" s="29"/>
    </row>
    <row r="207" spans="1:7" ht="12.75">
      <c r="A207" s="29"/>
      <c r="B207" s="29"/>
      <c r="C207" s="29"/>
      <c r="D207" s="29"/>
      <c r="E207" s="29"/>
      <c r="F207" s="29"/>
      <c r="G207" s="29"/>
    </row>
    <row r="208" spans="1:7" ht="12.75">
      <c r="A208" s="29"/>
      <c r="B208" s="29"/>
      <c r="C208" s="29"/>
      <c r="D208" s="29"/>
      <c r="E208" s="29"/>
      <c r="F208" s="29"/>
      <c r="G208" s="29"/>
    </row>
    <row r="209" spans="1:7" ht="12.75">
      <c r="A209" s="29"/>
      <c r="B209" s="29"/>
      <c r="C209" s="29"/>
      <c r="D209" s="29"/>
      <c r="E209" s="29"/>
      <c r="F209" s="29"/>
      <c r="G209" s="29"/>
    </row>
    <row r="210" spans="1:7" ht="12.75">
      <c r="A210" s="29"/>
      <c r="B210" s="29"/>
      <c r="C210" s="29"/>
      <c r="D210" s="29"/>
      <c r="E210" s="29"/>
      <c r="F210" s="29"/>
      <c r="G210" s="29"/>
    </row>
    <row r="211" spans="1:7" ht="12.75">
      <c r="A211" s="29"/>
      <c r="B211" s="29"/>
      <c r="C211" s="29"/>
      <c r="D211" s="29"/>
      <c r="E211" s="29"/>
      <c r="F211" s="29"/>
      <c r="G211" s="29"/>
    </row>
    <row r="212" spans="1:7" ht="12.75">
      <c r="A212" s="29"/>
      <c r="B212" s="29"/>
      <c r="C212" s="29"/>
      <c r="D212" s="29"/>
      <c r="E212" s="29"/>
      <c r="F212" s="29"/>
      <c r="G212" s="29"/>
    </row>
    <row r="213" spans="1:7" ht="12.75">
      <c r="A213" s="29"/>
      <c r="B213" s="29"/>
      <c r="C213" s="29"/>
      <c r="D213" s="29"/>
      <c r="E213" s="29"/>
      <c r="F213" s="29"/>
      <c r="G213" s="29"/>
    </row>
    <row r="214" spans="1:7" ht="12.75">
      <c r="A214" s="29"/>
      <c r="B214" s="29"/>
      <c r="C214" s="29"/>
      <c r="D214" s="29"/>
      <c r="E214" s="29"/>
      <c r="F214" s="29"/>
      <c r="G214" s="29"/>
    </row>
    <row r="215" spans="1:7" ht="12.75">
      <c r="A215" s="29"/>
      <c r="B215" s="29"/>
      <c r="C215" s="29"/>
      <c r="D215" s="29"/>
      <c r="E215" s="29"/>
      <c r="F215" s="29"/>
      <c r="G215" s="29"/>
    </row>
    <row r="216" spans="1:7" ht="12.75">
      <c r="A216" s="29"/>
      <c r="B216" s="29"/>
      <c r="C216" s="29"/>
      <c r="D216" s="29"/>
      <c r="E216" s="29"/>
      <c r="F216" s="29"/>
      <c r="G216" s="29"/>
    </row>
    <row r="217" spans="1:7" ht="12.75">
      <c r="A217" s="29"/>
      <c r="B217" s="29"/>
      <c r="C217" s="29"/>
      <c r="D217" s="29"/>
      <c r="E217" s="29"/>
      <c r="F217" s="29"/>
      <c r="G217" s="29"/>
    </row>
    <row r="218" spans="1:7" ht="12.75">
      <c r="A218" s="29"/>
      <c r="B218" s="29"/>
      <c r="C218" s="29"/>
      <c r="D218" s="29"/>
      <c r="E218" s="29"/>
      <c r="F218" s="29"/>
      <c r="G218" s="29"/>
    </row>
    <row r="219" spans="1:7" ht="12.75">
      <c r="A219" s="29"/>
      <c r="B219" s="29"/>
      <c r="C219" s="29"/>
      <c r="D219" s="29"/>
      <c r="E219" s="29"/>
      <c r="F219" s="29"/>
      <c r="G219" s="29"/>
    </row>
    <row r="220" spans="1:7" ht="12.75">
      <c r="A220" s="29"/>
      <c r="B220" s="29"/>
      <c r="C220" s="29"/>
      <c r="D220" s="29"/>
      <c r="E220" s="29"/>
      <c r="F220" s="29"/>
      <c r="G220" s="29"/>
    </row>
    <row r="221" spans="1:7" ht="12.75">
      <c r="A221" s="29"/>
      <c r="B221" s="29"/>
      <c r="C221" s="29"/>
      <c r="D221" s="29"/>
      <c r="E221" s="29"/>
      <c r="F221" s="29"/>
      <c r="G221" s="29"/>
    </row>
    <row r="222" spans="1:7" ht="12.75">
      <c r="A222" s="29"/>
      <c r="B222" s="29"/>
      <c r="C222" s="29"/>
      <c r="D222" s="29"/>
      <c r="E222" s="29"/>
      <c r="F222" s="29"/>
      <c r="G222" s="29"/>
    </row>
    <row r="223" spans="1:7" ht="12.75">
      <c r="A223" s="29"/>
      <c r="B223" s="29"/>
      <c r="C223" s="29"/>
      <c r="D223" s="29"/>
      <c r="E223" s="29"/>
      <c r="F223" s="29"/>
      <c r="G223" s="29"/>
    </row>
    <row r="224" spans="1:7" ht="12.75">
      <c r="A224" s="29"/>
      <c r="B224" s="29"/>
      <c r="C224" s="29"/>
      <c r="D224" s="29"/>
      <c r="E224" s="29"/>
      <c r="F224" s="29"/>
      <c r="G224" s="29"/>
    </row>
    <row r="225" spans="1:7" ht="12.75">
      <c r="A225" s="29"/>
      <c r="B225" s="29"/>
      <c r="C225" s="29"/>
      <c r="D225" s="29"/>
      <c r="E225" s="29"/>
      <c r="F225" s="29"/>
      <c r="G225" s="29"/>
    </row>
    <row r="226" spans="1:7" ht="12.75">
      <c r="A226" s="29"/>
      <c r="B226" s="29"/>
      <c r="C226" s="29"/>
      <c r="D226" s="29"/>
      <c r="E226" s="29"/>
      <c r="F226" s="29"/>
      <c r="G226" s="29"/>
    </row>
    <row r="227" spans="1:7" ht="12.75">
      <c r="A227" s="29"/>
      <c r="B227" s="29"/>
      <c r="C227" s="29"/>
      <c r="D227" s="29"/>
      <c r="E227" s="29"/>
      <c r="F227" s="29"/>
      <c r="G227" s="29"/>
    </row>
    <row r="228" spans="1:7" ht="12.75">
      <c r="A228" s="29"/>
      <c r="B228" s="29"/>
      <c r="C228" s="29"/>
      <c r="D228" s="29"/>
      <c r="E228" s="29"/>
      <c r="F228" s="29"/>
      <c r="G228" s="29"/>
    </row>
    <row r="229" spans="1:7" ht="12.75">
      <c r="A229" s="29"/>
      <c r="B229" s="29"/>
      <c r="C229" s="29"/>
      <c r="D229" s="29"/>
      <c r="E229" s="29"/>
      <c r="F229" s="29"/>
      <c r="G229" s="29"/>
    </row>
    <row r="230" spans="1:7" ht="12.75">
      <c r="A230" s="29"/>
      <c r="B230" s="29"/>
      <c r="C230" s="29"/>
      <c r="D230" s="29"/>
      <c r="E230" s="29"/>
      <c r="F230" s="29"/>
      <c r="G230" s="29"/>
    </row>
    <row r="231" spans="1:7" ht="12.75">
      <c r="A231" s="29"/>
      <c r="B231" s="29"/>
      <c r="C231" s="29"/>
      <c r="D231" s="29"/>
      <c r="E231" s="29"/>
      <c r="F231" s="29"/>
      <c r="G231" s="29"/>
    </row>
    <row r="232" spans="1:7" ht="12.75">
      <c r="A232" s="29"/>
      <c r="B232" s="29"/>
      <c r="C232" s="29"/>
      <c r="D232" s="29"/>
      <c r="E232" s="29"/>
      <c r="F232" s="29"/>
      <c r="G232" s="29"/>
    </row>
    <row r="233" spans="1:7" ht="12.75">
      <c r="A233" s="29"/>
      <c r="B233" s="29"/>
      <c r="C233" s="29"/>
      <c r="D233" s="29"/>
      <c r="E233" s="29"/>
      <c r="F233" s="29"/>
      <c r="G233" s="29"/>
    </row>
    <row r="234" spans="1:7" ht="12.75">
      <c r="A234" s="29"/>
      <c r="B234" s="29"/>
      <c r="C234" s="29"/>
      <c r="D234" s="29"/>
      <c r="E234" s="29"/>
      <c r="F234" s="29"/>
      <c r="G234" s="29"/>
    </row>
    <row r="235" spans="1:7" ht="12.75">
      <c r="A235" s="29"/>
      <c r="B235" s="29"/>
      <c r="C235" s="29"/>
      <c r="D235" s="29"/>
      <c r="E235" s="29"/>
      <c r="F235" s="29"/>
      <c r="G235" s="29"/>
    </row>
    <row r="236" spans="1:7" ht="12.75">
      <c r="A236" s="29"/>
      <c r="B236" s="29"/>
      <c r="C236" s="29"/>
      <c r="D236" s="29"/>
      <c r="E236" s="29"/>
      <c r="F236" s="29"/>
      <c r="G236" s="29"/>
    </row>
    <row r="237" spans="1:7" ht="12.75">
      <c r="A237" s="29"/>
      <c r="B237" s="29"/>
      <c r="C237" s="29"/>
      <c r="D237" s="29"/>
      <c r="E237" s="29"/>
      <c r="F237" s="29"/>
      <c r="G237" s="29"/>
    </row>
    <row r="238" spans="1:7" ht="12.75">
      <c r="A238" s="29"/>
      <c r="B238" s="29"/>
      <c r="C238" s="29"/>
      <c r="D238" s="29"/>
      <c r="E238" s="29"/>
      <c r="F238" s="29"/>
      <c r="G238" s="29"/>
    </row>
    <row r="239" spans="1:7" ht="12.75">
      <c r="A239" s="29"/>
      <c r="B239" s="29"/>
      <c r="C239" s="29"/>
      <c r="D239" s="29"/>
      <c r="E239" s="29"/>
      <c r="F239" s="29"/>
      <c r="G239" s="29"/>
    </row>
    <row r="240" spans="1:7" ht="12.75">
      <c r="A240" s="29"/>
      <c r="B240" s="29"/>
      <c r="C240" s="29"/>
      <c r="D240" s="29"/>
      <c r="E240" s="29"/>
      <c r="F240" s="29"/>
      <c r="G240" s="29"/>
    </row>
    <row r="241" spans="1:7" ht="12.75">
      <c r="A241" s="29"/>
      <c r="B241" s="29"/>
      <c r="C241" s="29"/>
      <c r="D241" s="29"/>
      <c r="E241" s="29"/>
      <c r="F241" s="29"/>
      <c r="G241" s="29"/>
    </row>
    <row r="242" spans="1:7" ht="12.75">
      <c r="A242" s="29"/>
      <c r="B242" s="29"/>
      <c r="C242" s="29"/>
      <c r="D242" s="29"/>
      <c r="E242" s="29"/>
      <c r="F242" s="29"/>
      <c r="G242" s="29"/>
    </row>
    <row r="243" spans="1:7" ht="12.75">
      <c r="A243" s="29"/>
      <c r="B243" s="29"/>
      <c r="C243" s="29"/>
      <c r="D243" s="29"/>
      <c r="E243" s="29"/>
      <c r="F243" s="29"/>
      <c r="G243" s="29"/>
    </row>
    <row r="244" spans="1:7" ht="12.75">
      <c r="A244" s="29"/>
      <c r="B244" s="29"/>
      <c r="C244" s="29"/>
      <c r="D244" s="29"/>
      <c r="E244" s="29"/>
      <c r="F244" s="29"/>
      <c r="G244" s="29"/>
    </row>
    <row r="245" spans="1:7" ht="12.75">
      <c r="A245" s="29"/>
      <c r="B245" s="29"/>
      <c r="C245" s="29"/>
      <c r="D245" s="29"/>
      <c r="E245" s="29"/>
      <c r="F245" s="29"/>
      <c r="G245" s="29"/>
    </row>
    <row r="246" spans="1:7" ht="12.75">
      <c r="A246" s="29"/>
      <c r="B246" s="29"/>
      <c r="C246" s="29"/>
      <c r="D246" s="29"/>
      <c r="E246" s="29"/>
      <c r="F246" s="29"/>
      <c r="G246" s="29"/>
    </row>
    <row r="247" spans="1:7" ht="12.75">
      <c r="A247" s="29"/>
      <c r="B247" s="29"/>
      <c r="C247" s="29"/>
      <c r="D247" s="29"/>
      <c r="E247" s="29"/>
      <c r="F247" s="29"/>
      <c r="G247" s="29"/>
    </row>
    <row r="248" spans="1:7" ht="12.75">
      <c r="A248" s="29"/>
      <c r="B248" s="29"/>
      <c r="C248" s="29"/>
      <c r="D248" s="29"/>
      <c r="E248" s="29"/>
      <c r="F248" s="29"/>
      <c r="G248" s="29"/>
    </row>
    <row r="249" spans="1:7" ht="12.75">
      <c r="A249" s="29"/>
      <c r="B249" s="29"/>
      <c r="C249" s="29"/>
      <c r="D249" s="29"/>
      <c r="E249" s="29"/>
      <c r="F249" s="29"/>
      <c r="G249" s="29"/>
    </row>
    <row r="250" spans="1:7" ht="12.75">
      <c r="A250" s="29"/>
      <c r="B250" s="29"/>
      <c r="C250" s="29"/>
      <c r="D250" s="29"/>
      <c r="E250" s="29"/>
      <c r="F250" s="29"/>
      <c r="G250" s="29"/>
    </row>
    <row r="251" spans="1:7" ht="12.75">
      <c r="A251" s="29"/>
      <c r="B251" s="29"/>
      <c r="C251" s="29"/>
      <c r="D251" s="29"/>
      <c r="E251" s="29"/>
      <c r="F251" s="29"/>
      <c r="G251" s="29"/>
    </row>
    <row r="252" spans="1:7" ht="12.75">
      <c r="A252" s="29"/>
      <c r="B252" s="29"/>
      <c r="C252" s="29"/>
      <c r="D252" s="29"/>
      <c r="E252" s="29"/>
      <c r="F252" s="29"/>
      <c r="G252" s="29"/>
    </row>
    <row r="253" spans="1:7" ht="12.75">
      <c r="A253" s="29"/>
      <c r="B253" s="29"/>
      <c r="C253" s="29"/>
      <c r="D253" s="29"/>
      <c r="E253" s="29"/>
      <c r="F253" s="29"/>
      <c r="G253" s="29"/>
    </row>
    <row r="254" spans="1:7" ht="12.75">
      <c r="A254" s="29"/>
      <c r="B254" s="29"/>
      <c r="C254" s="29"/>
      <c r="D254" s="29"/>
      <c r="E254" s="29"/>
      <c r="F254" s="29"/>
      <c r="G254" s="29"/>
    </row>
    <row r="255" spans="1:7" ht="12.75">
      <c r="A255" s="29"/>
      <c r="B255" s="29"/>
      <c r="C255" s="29"/>
      <c r="D255" s="29"/>
      <c r="E255" s="29"/>
      <c r="F255" s="29"/>
      <c r="G255" s="29"/>
    </row>
    <row r="256" spans="1:7" ht="12.75">
      <c r="A256" s="29"/>
      <c r="B256" s="29"/>
      <c r="C256" s="29"/>
      <c r="D256" s="29"/>
      <c r="E256" s="29"/>
      <c r="F256" s="29"/>
      <c r="G256" s="29"/>
    </row>
    <row r="257" spans="1:7" ht="12.75">
      <c r="A257" s="29"/>
      <c r="B257" s="29"/>
      <c r="C257" s="29"/>
      <c r="D257" s="29"/>
      <c r="E257" s="29"/>
      <c r="F257" s="29"/>
      <c r="G257" s="29"/>
    </row>
    <row r="258" spans="1:7" ht="12.75">
      <c r="A258" s="29"/>
      <c r="B258" s="29"/>
      <c r="C258" s="29"/>
      <c r="D258" s="29"/>
      <c r="E258" s="29"/>
      <c r="F258" s="29"/>
      <c r="G258" s="29"/>
    </row>
    <row r="259" spans="1:7" ht="12.75">
      <c r="A259" s="29"/>
      <c r="B259" s="29"/>
      <c r="C259" s="29"/>
      <c r="D259" s="29"/>
      <c r="E259" s="29"/>
      <c r="F259" s="29"/>
      <c r="G259" s="29"/>
    </row>
    <row r="260" spans="1:7" ht="12.75">
      <c r="A260" s="29"/>
      <c r="B260" s="29"/>
      <c r="C260" s="29"/>
      <c r="D260" s="29"/>
      <c r="E260" s="29"/>
      <c r="F260" s="29"/>
      <c r="G260" s="29"/>
    </row>
    <row r="261" spans="1:7" ht="12.75">
      <c r="A261" s="29"/>
      <c r="B261" s="29"/>
      <c r="C261" s="29"/>
      <c r="D261" s="29"/>
      <c r="E261" s="29"/>
      <c r="F261" s="29"/>
      <c r="G261" s="29"/>
    </row>
    <row r="262" spans="1:7" ht="12.75">
      <c r="A262" s="29"/>
      <c r="B262" s="29"/>
      <c r="C262" s="29"/>
      <c r="D262" s="29"/>
      <c r="E262" s="29"/>
      <c r="F262" s="29"/>
      <c r="G262" s="29"/>
    </row>
    <row r="263" spans="1:7" ht="12.75">
      <c r="A263" s="29"/>
      <c r="B263" s="29"/>
      <c r="C263" s="29"/>
      <c r="D263" s="29"/>
      <c r="E263" s="29"/>
      <c r="F263" s="29"/>
      <c r="G263" s="29"/>
    </row>
    <row r="264" spans="1:7" ht="12.75">
      <c r="A264" s="29"/>
      <c r="B264" s="29"/>
      <c r="C264" s="29"/>
      <c r="D264" s="29"/>
      <c r="E264" s="29"/>
      <c r="F264" s="29"/>
      <c r="G264" s="29"/>
    </row>
    <row r="265" spans="1:7" ht="12.75">
      <c r="A265" s="29"/>
      <c r="B265" s="29"/>
      <c r="C265" s="29"/>
      <c r="D265" s="29"/>
      <c r="E265" s="29"/>
      <c r="F265" s="29"/>
      <c r="G265" s="29"/>
    </row>
    <row r="266" spans="1:7" ht="12.75">
      <c r="A266" s="29"/>
      <c r="B266" s="29"/>
      <c r="C266" s="29"/>
      <c r="D266" s="29"/>
      <c r="E266" s="29"/>
      <c r="F266" s="29"/>
      <c r="G266" s="29"/>
    </row>
    <row r="267" spans="1:7" ht="12.75">
      <c r="A267" s="29"/>
      <c r="B267" s="29"/>
      <c r="C267" s="29"/>
      <c r="D267" s="29"/>
      <c r="E267" s="29"/>
      <c r="F267" s="29"/>
      <c r="G267" s="29"/>
    </row>
    <row r="268" spans="1:7" ht="12.75">
      <c r="A268" s="29"/>
      <c r="B268" s="29"/>
      <c r="C268" s="29"/>
      <c r="D268" s="29"/>
      <c r="E268" s="29"/>
      <c r="F268" s="29"/>
      <c r="G268" s="29"/>
    </row>
    <row r="269" spans="1:7" ht="12.75">
      <c r="A269" s="29"/>
      <c r="B269" s="29"/>
      <c r="C269" s="29"/>
      <c r="D269" s="29"/>
      <c r="E269" s="29"/>
      <c r="F269" s="29"/>
      <c r="G269" s="29"/>
    </row>
    <row r="270" spans="1:7" ht="12.75">
      <c r="A270" s="29"/>
      <c r="B270" s="29"/>
      <c r="C270" s="29"/>
      <c r="D270" s="29"/>
      <c r="E270" s="29"/>
      <c r="F270" s="29"/>
      <c r="G270" s="29"/>
    </row>
    <row r="271" spans="1:7" ht="12.75">
      <c r="A271" s="29"/>
      <c r="B271" s="29"/>
      <c r="C271" s="29"/>
      <c r="D271" s="29"/>
      <c r="E271" s="29"/>
      <c r="F271" s="29"/>
      <c r="G271" s="29"/>
    </row>
    <row r="272" spans="1:7" ht="12.75">
      <c r="A272" s="29"/>
      <c r="B272" s="29"/>
      <c r="C272" s="29"/>
      <c r="D272" s="29"/>
      <c r="E272" s="29"/>
      <c r="F272" s="29"/>
      <c r="G272" s="29"/>
    </row>
    <row r="273" spans="1:7" ht="12.75">
      <c r="A273" s="29"/>
      <c r="B273" s="29"/>
      <c r="C273" s="29"/>
      <c r="D273" s="29"/>
      <c r="E273" s="29"/>
      <c r="F273" s="29"/>
      <c r="G273" s="29"/>
    </row>
    <row r="274" spans="1:7" ht="12.75">
      <c r="A274" s="29"/>
      <c r="B274" s="29"/>
      <c r="C274" s="29"/>
      <c r="D274" s="29"/>
      <c r="E274" s="29"/>
      <c r="F274" s="29"/>
      <c r="G274" s="29"/>
    </row>
    <row r="275" spans="1:7" ht="12.75">
      <c r="A275" s="29"/>
      <c r="B275" s="29"/>
      <c r="C275" s="29"/>
      <c r="D275" s="29"/>
      <c r="E275" s="29"/>
      <c r="F275" s="29"/>
      <c r="G275" s="29"/>
    </row>
    <row r="276" spans="1:7" ht="12.75">
      <c r="A276" s="29"/>
      <c r="B276" s="29"/>
      <c r="C276" s="29"/>
      <c r="D276" s="29"/>
      <c r="E276" s="29"/>
      <c r="F276" s="29"/>
      <c r="G276" s="29"/>
    </row>
    <row r="277" spans="1:7" ht="12.75">
      <c r="A277" s="29"/>
      <c r="B277" s="29"/>
      <c r="C277" s="29"/>
      <c r="D277" s="29"/>
      <c r="E277" s="29"/>
      <c r="F277" s="29"/>
      <c r="G277" s="29"/>
    </row>
    <row r="278" spans="1:7" ht="12.75">
      <c r="A278" s="29"/>
      <c r="B278" s="29"/>
      <c r="C278" s="29"/>
      <c r="D278" s="29"/>
      <c r="E278" s="29"/>
      <c r="F278" s="29"/>
      <c r="G278" s="29"/>
    </row>
    <row r="279" spans="1:7" ht="12.75">
      <c r="A279" s="29"/>
      <c r="B279" s="29"/>
      <c r="C279" s="29"/>
      <c r="D279" s="29"/>
      <c r="E279" s="29"/>
      <c r="F279" s="29"/>
      <c r="G279" s="29"/>
    </row>
    <row r="280" spans="1:7" ht="12.75">
      <c r="A280" s="29"/>
      <c r="B280" s="29"/>
      <c r="C280" s="29"/>
      <c r="D280" s="29"/>
      <c r="E280" s="29"/>
      <c r="F280" s="29"/>
      <c r="G280" s="29"/>
    </row>
    <row r="281" spans="1:7" ht="12.75">
      <c r="A281" s="29"/>
      <c r="B281" s="29"/>
      <c r="C281" s="29"/>
      <c r="D281" s="29"/>
      <c r="E281" s="29"/>
      <c r="F281" s="29"/>
      <c r="G281" s="29"/>
    </row>
    <row r="282" spans="1:7" ht="12.75">
      <c r="A282" s="29"/>
      <c r="B282" s="29"/>
      <c r="C282" s="29"/>
      <c r="D282" s="29"/>
      <c r="E282" s="29"/>
      <c r="F282" s="29"/>
      <c r="G282" s="29"/>
    </row>
    <row r="283" spans="1:7" ht="12.75">
      <c r="A283" s="29"/>
      <c r="B283" s="29"/>
      <c r="C283" s="29"/>
      <c r="D283" s="29"/>
      <c r="E283" s="29"/>
      <c r="F283" s="29"/>
      <c r="G283" s="29"/>
    </row>
    <row r="284" spans="1:7" ht="12.75">
      <c r="A284" s="29"/>
      <c r="B284" s="29"/>
      <c r="C284" s="29"/>
      <c r="D284" s="29"/>
      <c r="E284" s="29"/>
      <c r="F284" s="29"/>
      <c r="G284" s="29"/>
    </row>
    <row r="285" spans="1:7" ht="12.75">
      <c r="A285" s="29"/>
      <c r="B285" s="29"/>
      <c r="C285" s="29"/>
      <c r="D285" s="29"/>
      <c r="E285" s="29"/>
      <c r="F285" s="29"/>
      <c r="G285" s="29"/>
    </row>
    <row r="286" spans="1:7" ht="12.75">
      <c r="A286" s="29"/>
      <c r="B286" s="29"/>
      <c r="C286" s="29"/>
      <c r="D286" s="29"/>
      <c r="E286" s="29"/>
      <c r="F286" s="29"/>
      <c r="G286" s="29"/>
    </row>
    <row r="287" spans="1:7" ht="12.75">
      <c r="A287" s="29"/>
      <c r="B287" s="29"/>
      <c r="C287" s="29"/>
      <c r="D287" s="29"/>
      <c r="E287" s="29"/>
      <c r="F287" s="29"/>
      <c r="G287" s="29"/>
    </row>
    <row r="288" spans="1:8" ht="12.75">
      <c r="A288" s="29"/>
      <c r="B288" s="29"/>
      <c r="C288" s="29"/>
      <c r="D288" s="29"/>
      <c r="E288" s="29"/>
      <c r="F288" s="29"/>
      <c r="G288" s="29"/>
      <c r="H288" s="29"/>
    </row>
    <row r="289" spans="1:8" ht="12.75">
      <c r="A289" s="29"/>
      <c r="B289" s="29"/>
      <c r="C289" s="29"/>
      <c r="D289" s="29"/>
      <c r="E289" s="29"/>
      <c r="F289" s="29"/>
      <c r="G289" s="29"/>
      <c r="H289" s="29"/>
    </row>
    <row r="290" spans="1:8" ht="12.75">
      <c r="A290" s="29"/>
      <c r="B290" s="29"/>
      <c r="C290" s="29"/>
      <c r="D290" s="29"/>
      <c r="E290" s="29"/>
      <c r="F290" s="29"/>
      <c r="G290" s="29"/>
      <c r="H290" s="29"/>
    </row>
    <row r="291" spans="1:8" ht="12.75">
      <c r="A291" s="29"/>
      <c r="B291" s="29"/>
      <c r="C291" s="29"/>
      <c r="D291" s="29"/>
      <c r="E291" s="29"/>
      <c r="F291" s="29"/>
      <c r="G291" s="29"/>
      <c r="H291" s="29"/>
    </row>
    <row r="292" spans="1:8" ht="12.75">
      <c r="A292" s="29"/>
      <c r="B292" s="29"/>
      <c r="C292" s="29"/>
      <c r="D292" s="29"/>
      <c r="E292" s="29"/>
      <c r="F292" s="29"/>
      <c r="G292" s="29"/>
      <c r="H292" s="29"/>
    </row>
    <row r="293" spans="1:8" ht="12.75">
      <c r="A293" s="29"/>
      <c r="B293" s="29"/>
      <c r="C293" s="29"/>
      <c r="D293" s="29"/>
      <c r="E293" s="29"/>
      <c r="F293" s="29"/>
      <c r="G293" s="29"/>
      <c r="H293" s="29"/>
    </row>
    <row r="294" spans="1:8" ht="12.75">
      <c r="A294" s="29"/>
      <c r="B294" s="29"/>
      <c r="C294" s="29"/>
      <c r="D294" s="29"/>
      <c r="E294" s="29"/>
      <c r="F294" s="29"/>
      <c r="G294" s="29"/>
      <c r="H294" s="29"/>
    </row>
    <row r="295" spans="1:8" ht="12.75">
      <c r="A295" s="29"/>
      <c r="B295" s="29"/>
      <c r="C295" s="29"/>
      <c r="D295" s="29"/>
      <c r="E295" s="29"/>
      <c r="F295" s="29"/>
      <c r="G295" s="29"/>
      <c r="H295" s="29"/>
    </row>
    <row r="296" spans="1:8" ht="12.75">
      <c r="A296" s="29"/>
      <c r="B296" s="29"/>
      <c r="C296" s="29"/>
      <c r="D296" s="29"/>
      <c r="E296" s="29"/>
      <c r="F296" s="29"/>
      <c r="G296" s="29"/>
      <c r="H296" s="29"/>
    </row>
    <row r="297" spans="1:8" ht="12.75">
      <c r="A297" s="29"/>
      <c r="B297" s="29"/>
      <c r="C297" s="29"/>
      <c r="D297" s="29"/>
      <c r="E297" s="29"/>
      <c r="F297" s="29"/>
      <c r="G297" s="29"/>
      <c r="H297" s="29"/>
    </row>
    <row r="298" spans="1:8" ht="12.75">
      <c r="A298" s="29"/>
      <c r="B298" s="29"/>
      <c r="C298" s="29"/>
      <c r="D298" s="29"/>
      <c r="E298" s="29"/>
      <c r="F298" s="29"/>
      <c r="G298" s="29"/>
      <c r="H298" s="29"/>
    </row>
    <row r="299" spans="1:8" ht="12.75">
      <c r="A299" s="29"/>
      <c r="B299" s="29"/>
      <c r="C299" s="29"/>
      <c r="D299" s="29"/>
      <c r="E299" s="29"/>
      <c r="F299" s="29"/>
      <c r="G299" s="29"/>
      <c r="H299" s="29"/>
    </row>
    <row r="300" spans="1:8" ht="12.75">
      <c r="A300" s="29"/>
      <c r="B300" s="29"/>
      <c r="C300" s="29"/>
      <c r="D300" s="29"/>
      <c r="E300" s="29"/>
      <c r="F300" s="29"/>
      <c r="G300" s="29"/>
      <c r="H300" s="29"/>
    </row>
    <row r="301" spans="1:8" ht="12.75">
      <c r="A301" s="29"/>
      <c r="B301" s="29"/>
      <c r="C301" s="29"/>
      <c r="D301" s="29"/>
      <c r="E301" s="29"/>
      <c r="F301" s="29"/>
      <c r="G301" s="29"/>
      <c r="H301" s="29"/>
    </row>
    <row r="302" spans="1:8" ht="12.75">
      <c r="A302" s="29"/>
      <c r="B302" s="29"/>
      <c r="C302" s="29"/>
      <c r="D302" s="29"/>
      <c r="E302" s="29"/>
      <c r="F302" s="29"/>
      <c r="G302" s="29"/>
      <c r="H302" s="29"/>
    </row>
    <row r="303" spans="1:8" ht="12.75">
      <c r="A303" s="29"/>
      <c r="B303" s="29"/>
      <c r="C303" s="29"/>
      <c r="D303" s="29"/>
      <c r="E303" s="29"/>
      <c r="F303" s="29"/>
      <c r="G303" s="29"/>
      <c r="H303" s="29"/>
    </row>
    <row r="304" spans="1:8" ht="12.75">
      <c r="A304" s="29"/>
      <c r="B304" s="29"/>
      <c r="C304" s="29"/>
      <c r="D304" s="29"/>
      <c r="E304" s="29"/>
      <c r="F304" s="29"/>
      <c r="G304" s="29"/>
      <c r="H304" s="29"/>
    </row>
    <row r="305" spans="1:8" ht="12.75">
      <c r="A305" s="29"/>
      <c r="B305" s="29"/>
      <c r="C305" s="29"/>
      <c r="D305" s="29"/>
      <c r="E305" s="29"/>
      <c r="F305" s="29"/>
      <c r="G305" s="29"/>
      <c r="H305" s="29"/>
    </row>
    <row r="306" spans="1:8" ht="12.75">
      <c r="A306" s="29"/>
      <c r="B306" s="29"/>
      <c r="C306" s="29"/>
      <c r="D306" s="29"/>
      <c r="E306" s="29"/>
      <c r="F306" s="29"/>
      <c r="G306" s="29"/>
      <c r="H306" s="2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7"/>
  <sheetViews>
    <sheetView workbookViewId="0" topLeftCell="G1">
      <selection activeCell="A7" sqref="A7"/>
    </sheetView>
  </sheetViews>
  <sheetFormatPr defaultColWidth="9.140625" defaultRowHeight="12.75"/>
  <cols>
    <col min="1" max="1" width="46.28125" style="184" hidden="1" customWidth="1"/>
    <col min="2" max="2" width="14.421875" style="184" hidden="1" customWidth="1"/>
    <col min="3" max="3" width="11.8515625" style="184" hidden="1" customWidth="1"/>
    <col min="4" max="4" width="14.140625" style="184" hidden="1" customWidth="1"/>
    <col min="5" max="5" width="8.57421875" style="184" hidden="1" customWidth="1"/>
    <col min="6" max="6" width="11.00390625" style="184" hidden="1" customWidth="1"/>
    <col min="7" max="7" width="45.28125" style="0" customWidth="1"/>
    <col min="8" max="8" width="11.140625" style="0" customWidth="1"/>
    <col min="9" max="9" width="11.421875" style="0" customWidth="1"/>
    <col min="10" max="10" width="10.140625" style="0" customWidth="1"/>
    <col min="11" max="11" width="10.28125" style="0" customWidth="1"/>
    <col min="12" max="12" width="9.8515625" style="0" customWidth="1"/>
    <col min="34" max="16384" width="9.140625" style="1" customWidth="1"/>
  </cols>
  <sheetData>
    <row r="1" spans="1:12" ht="12.75">
      <c r="A1" s="183"/>
      <c r="B1" s="183"/>
      <c r="C1" s="183"/>
      <c r="D1" s="183"/>
      <c r="F1" s="184" t="s">
        <v>264</v>
      </c>
      <c r="L1" s="184" t="s">
        <v>264</v>
      </c>
    </row>
    <row r="2" spans="1:12" ht="12.75">
      <c r="A2" s="3" t="s">
        <v>3</v>
      </c>
      <c r="B2" s="3"/>
      <c r="C2" s="40"/>
      <c r="D2" s="40"/>
      <c r="E2" s="3"/>
      <c r="G2" s="282" t="s">
        <v>3</v>
      </c>
      <c r="H2" s="282"/>
      <c r="I2" s="282"/>
      <c r="J2" s="282"/>
      <c r="K2" s="282"/>
      <c r="L2" s="282"/>
    </row>
    <row r="3" spans="1:5" ht="12.75">
      <c r="A3" s="3"/>
      <c r="B3" s="3"/>
      <c r="C3" s="40"/>
      <c r="D3" s="40"/>
      <c r="E3" s="3"/>
    </row>
    <row r="4" spans="1:12" ht="18" customHeight="1">
      <c r="A4" s="284" t="s">
        <v>265</v>
      </c>
      <c r="B4" s="284"/>
      <c r="C4" s="284"/>
      <c r="D4" s="284"/>
      <c r="E4" s="284"/>
      <c r="F4" s="284"/>
      <c r="G4" s="284" t="s">
        <v>265</v>
      </c>
      <c r="H4" s="284"/>
      <c r="I4" s="284"/>
      <c r="J4" s="284"/>
      <c r="K4" s="284"/>
      <c r="L4" s="284"/>
    </row>
    <row r="5" spans="1:12" ht="18" customHeight="1">
      <c r="A5" s="284" t="s">
        <v>266</v>
      </c>
      <c r="B5" s="284"/>
      <c r="C5" s="284"/>
      <c r="D5" s="284"/>
      <c r="E5" s="284"/>
      <c r="F5" s="284"/>
      <c r="G5" s="284" t="s">
        <v>266</v>
      </c>
      <c r="H5" s="284"/>
      <c r="I5" s="284"/>
      <c r="J5" s="284"/>
      <c r="K5" s="284"/>
      <c r="L5" s="284"/>
    </row>
    <row r="6" spans="1:12" ht="12.75">
      <c r="A6" s="185"/>
      <c r="B6" s="183"/>
      <c r="C6" s="183"/>
      <c r="D6" s="183"/>
      <c r="F6" s="183" t="s">
        <v>267</v>
      </c>
      <c r="L6" s="183" t="s">
        <v>267</v>
      </c>
    </row>
    <row r="7" spans="1:12" ht="45">
      <c r="A7" s="7" t="s">
        <v>7</v>
      </c>
      <c r="B7" s="7" t="s">
        <v>8</v>
      </c>
      <c r="C7" s="7" t="s">
        <v>212</v>
      </c>
      <c r="D7" s="7" t="s">
        <v>9</v>
      </c>
      <c r="E7" s="7" t="s">
        <v>268</v>
      </c>
      <c r="F7" s="7" t="s">
        <v>170</v>
      </c>
      <c r="G7" s="7" t="s">
        <v>7</v>
      </c>
      <c r="H7" s="7" t="s">
        <v>8</v>
      </c>
      <c r="I7" s="7" t="s">
        <v>269</v>
      </c>
      <c r="J7" s="7" t="s">
        <v>9</v>
      </c>
      <c r="K7" s="7" t="s">
        <v>268</v>
      </c>
      <c r="L7" s="7" t="s">
        <v>170</v>
      </c>
    </row>
    <row r="8" spans="1:12" ht="12.75">
      <c r="A8" s="48">
        <v>1</v>
      </c>
      <c r="B8" s="49">
        <v>2</v>
      </c>
      <c r="C8" s="84">
        <v>3</v>
      </c>
      <c r="D8" s="84">
        <v>4</v>
      </c>
      <c r="E8" s="84">
        <v>5</v>
      </c>
      <c r="F8" s="48">
        <v>6</v>
      </c>
      <c r="G8" s="48">
        <v>1</v>
      </c>
      <c r="H8" s="49">
        <v>2</v>
      </c>
      <c r="I8" s="84">
        <v>3</v>
      </c>
      <c r="J8" s="84">
        <v>4</v>
      </c>
      <c r="K8" s="84">
        <v>5</v>
      </c>
      <c r="L8" s="48">
        <v>6</v>
      </c>
    </row>
    <row r="9" spans="1:33" s="184" customFormat="1" ht="21" customHeight="1">
      <c r="A9" s="9" t="s">
        <v>270</v>
      </c>
      <c r="B9" s="86">
        <f>SUM(B19+B24+B30+B36+B42+B47+B55+B61+B72+B79+B87+B97+B104+B111+B116+B173+B184+B192+B198+B204+B211)-3735000</f>
        <v>810358111</v>
      </c>
      <c r="C9" s="86">
        <f>SUM(C19+C24+C30+C36+C42+C47+C55+C61+C72+C79+C87+C97+C104+C111+C116+C173+C184+C192+C198+C204+C211)</f>
        <v>359244436</v>
      </c>
      <c r="D9" s="86">
        <f>SUM(D19+D24+D30+D36+D42+D47+D55+D61+D72+D79+D87+D97+D104+D111+D116+D173+D184+D192+D198+D204+D211)</f>
        <v>331884907</v>
      </c>
      <c r="E9" s="11">
        <f>IF(ISERROR(D9/B9)," ",(D9/B9))</f>
        <v>0.409553384478927</v>
      </c>
      <c r="F9" s="86">
        <f>SUM(F19+F24+F30+F36+F42+F47+F55+F61+F72+F79+F87+F97+F104+F111+F116+F173+F184+F192+F198+F204+F211)</f>
        <v>57416204</v>
      </c>
      <c r="G9" s="9" t="s">
        <v>270</v>
      </c>
      <c r="H9" s="153">
        <f>SUM(H19+H24+H30+H36+H42+H47+H55+H61+H72+H79+H87+H97+H104+H111+H116+H173+H184+H192+H198+H204+H211)-3735</f>
        <v>810358</v>
      </c>
      <c r="I9" s="153">
        <f>SUM(I19+I24+I30+I36+I42+I47+I55+I61+I72+I79+I87+I97+I104+I111+I116+I173+I184+I192+I198+I204+I211)</f>
        <v>359244</v>
      </c>
      <c r="J9" s="153">
        <f>SUM(J19+J24+J30+J36+J42+J47+J55+J61+J72+J79+J87+J97+J104+J111+J116+J173+J184+J192+J198+J204+J211)</f>
        <v>331885</v>
      </c>
      <c r="K9" s="13">
        <f>IF(ISERROR(ROUND(J9,0)/ROUND(H9,0))," ",(ROUND(J9,)/ROUND(H9,)))</f>
        <v>0.4095535553422068</v>
      </c>
      <c r="L9" s="153">
        <f>SUM(L19+L24+L30+L36+L42+L47+L55+L61+L72+L79+L87+L97+L104+L111+L116+L173+L184+L192+L198+L204+L211)</f>
        <v>57415</v>
      </c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</row>
    <row r="10" spans="1:33" s="184" customFormat="1" ht="28.5" customHeight="1">
      <c r="A10" s="9" t="s">
        <v>104</v>
      </c>
      <c r="B10" s="86">
        <f>B11+B12</f>
        <v>870883731</v>
      </c>
      <c r="C10" s="86">
        <f>C11+C12</f>
        <v>403699892</v>
      </c>
      <c r="D10" s="86">
        <f>D11+D12</f>
        <v>380038264</v>
      </c>
      <c r="E10" s="187">
        <f aca="true" t="shared" si="0" ref="E10:E73">IF(ISERROR(D10/B10)," ",(D10/B10))</f>
        <v>0.4363823211665898</v>
      </c>
      <c r="F10" s="86">
        <f>F11+F12</f>
        <v>72227402</v>
      </c>
      <c r="G10" s="9" t="s">
        <v>104</v>
      </c>
      <c r="H10" s="153">
        <f>H11+H12</f>
        <v>870884</v>
      </c>
      <c r="I10" s="153">
        <f>I11+I12</f>
        <v>403701</v>
      </c>
      <c r="J10" s="153">
        <f>J11+J12</f>
        <v>380038</v>
      </c>
      <c r="K10" s="13">
        <f aca="true" t="shared" si="1" ref="K10:K73">IF(ISERROR(ROUND(J10,0)/ROUND(H10,0))," ",(ROUND(J10,)/ROUND(H10,)))</f>
        <v>0.43638188323588445</v>
      </c>
      <c r="L10" s="153">
        <f>L11+L12</f>
        <v>72227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</row>
    <row r="11" spans="1:12" ht="12.75">
      <c r="A11" s="55" t="s">
        <v>271</v>
      </c>
      <c r="B11" s="98">
        <f>SUM(B21+B26+B34+B40+B45+B51+B58+B64+B76+B83+B92+B101+B108+B121+B178+B189+B194+B202+B208+B214)-3735000</f>
        <v>804930855</v>
      </c>
      <c r="C11" s="98">
        <f>SUM(C21+C26+C34+C40+C45+C51+C58+C64+C76+C83+C92+C101+C108+C121+C178+C189+C194+C202+C208+C214)</f>
        <v>379381500</v>
      </c>
      <c r="D11" s="98">
        <f>SUM(D21+D26+D34+D40+D45+D51+D58+D64+D76+D83+D92+D101+D108+D121+D178+D189+D194+D202+D208+D214)</f>
        <v>363026806</v>
      </c>
      <c r="E11" s="188">
        <f t="shared" si="0"/>
        <v>0.45100371509550347</v>
      </c>
      <c r="F11" s="98">
        <f>SUM(F21+F26+F34+F40+F45+F51+F58+F64+F76+F83+F92+F101+F108+F121+F178+F189+F194+F202+F208+F214)</f>
        <v>66681784</v>
      </c>
      <c r="G11" s="55" t="s">
        <v>271</v>
      </c>
      <c r="H11" s="18">
        <f>ROUND(B11/1000,0)</f>
        <v>804931</v>
      </c>
      <c r="I11" s="98">
        <f>SUM(I21+I26+I34+I40+I45+I51+I58+I64+I76+I83+I92+I101+I108+I121+I178+I189+I194+I202+I208+I214)</f>
        <v>379382</v>
      </c>
      <c r="J11" s="98">
        <f>SUM(J21+J26+J34+J40+J45+J51+J58+J64+J76+J83+J92+J101+J108+J121+J178+J189+J194+J202+J208+J214)</f>
        <v>363027</v>
      </c>
      <c r="K11" s="20">
        <f t="shared" si="1"/>
        <v>0.4510038748662929</v>
      </c>
      <c r="L11" s="98">
        <f>SUM(L21+L26+L34+L40+L45+L51+L58+L64+L76+L83+L92+L101+L108+L121+L178+L189+L194+L202+L208+L214)</f>
        <v>66682</v>
      </c>
    </row>
    <row r="12" spans="1:12" ht="12.75">
      <c r="A12" s="55" t="s">
        <v>272</v>
      </c>
      <c r="B12" s="98">
        <f>SUM(B27+B52+B59+B65+B77+B84+B93+B102+B109+B113+B122+B179+B190+B195+B209+B215)</f>
        <v>65952876</v>
      </c>
      <c r="C12" s="98">
        <f>SUM(C27+C52+C59+C65+C77+C84+C93+C102+C109+C113+C122+C179+C190+C195+C209+C215)</f>
        <v>24318392</v>
      </c>
      <c r="D12" s="98">
        <f>SUM(D27+D52+D59+D65+D77+D84+D93+D102+D109+D113+D122+D179+D190+D195+D209+D215)</f>
        <v>17011458</v>
      </c>
      <c r="E12" s="188">
        <f t="shared" si="0"/>
        <v>0.25793352817548093</v>
      </c>
      <c r="F12" s="98">
        <f>SUM(F27+F52+F59+F65+F77+F84+F93+F102+F109+F113+F122+F179+F190+F195+F209+F215)</f>
        <v>5545618</v>
      </c>
      <c r="G12" s="55" t="s">
        <v>272</v>
      </c>
      <c r="H12" s="18">
        <f>ROUND(B12/1000,0)</f>
        <v>65953</v>
      </c>
      <c r="I12" s="98">
        <f>SUM(I27+I52+I59+I65+I77+I84+I93+I102+I109+I113+I122+I179+I190+I195+I209+I215)</f>
        <v>24319</v>
      </c>
      <c r="J12" s="98">
        <f>SUM(J27+J52+J59+J65+J77+J84+J93+J102+J109+J113+J122+J179+J190+J195+J209+J215)</f>
        <v>17011</v>
      </c>
      <c r="K12" s="20">
        <f t="shared" si="1"/>
        <v>0.25792609888860246</v>
      </c>
      <c r="L12" s="98">
        <f>SUM(L27+L52+L59+L65+L77+L84+L93+L102+L109+L113+L122+L179+L190+L195+L209+L215)</f>
        <v>5545</v>
      </c>
    </row>
    <row r="13" spans="1:33" s="151" customFormat="1" ht="18.75" customHeight="1">
      <c r="A13" s="9" t="s">
        <v>273</v>
      </c>
      <c r="B13" s="86">
        <f aca="true" t="shared" si="2" ref="B13:D14">SUM(B66)</f>
        <v>12756000</v>
      </c>
      <c r="C13" s="86">
        <f t="shared" si="2"/>
        <v>1630000</v>
      </c>
      <c r="D13" s="86">
        <f t="shared" si="2"/>
        <v>1492639</v>
      </c>
      <c r="E13" s="187">
        <f t="shared" si="0"/>
        <v>0.11701465976795233</v>
      </c>
      <c r="F13" s="86">
        <f>SUM(F66)</f>
        <v>259151</v>
      </c>
      <c r="G13" s="9" t="s">
        <v>273</v>
      </c>
      <c r="H13" s="153">
        <f aca="true" t="shared" si="3" ref="H13:J14">SUM(H66)</f>
        <v>12756</v>
      </c>
      <c r="I13" s="153">
        <f t="shared" si="3"/>
        <v>1630</v>
      </c>
      <c r="J13" s="153">
        <f t="shared" si="3"/>
        <v>1493</v>
      </c>
      <c r="K13" s="13">
        <f t="shared" si="1"/>
        <v>0.11704296017560364</v>
      </c>
      <c r="L13" s="153">
        <f>SUM(L66)</f>
        <v>260</v>
      </c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</row>
    <row r="14" spans="1:33" s="151" customFormat="1" ht="16.5" customHeight="1">
      <c r="A14" s="9" t="s">
        <v>274</v>
      </c>
      <c r="B14" s="86">
        <f t="shared" si="2"/>
        <v>5250</v>
      </c>
      <c r="C14" s="86">
        <f t="shared" si="2"/>
        <v>0</v>
      </c>
      <c r="D14" s="86">
        <f t="shared" si="2"/>
        <v>0</v>
      </c>
      <c r="E14" s="187">
        <f t="shared" si="0"/>
        <v>0</v>
      </c>
      <c r="F14" s="86">
        <f>SUM(F67)</f>
        <v>0</v>
      </c>
      <c r="G14" s="9" t="s">
        <v>274</v>
      </c>
      <c r="H14" s="153">
        <f t="shared" si="3"/>
        <v>5</v>
      </c>
      <c r="I14" s="153">
        <f t="shared" si="3"/>
        <v>0</v>
      </c>
      <c r="J14" s="153">
        <f t="shared" si="3"/>
        <v>0</v>
      </c>
      <c r="K14" s="13">
        <f t="shared" si="1"/>
        <v>0</v>
      </c>
      <c r="L14" s="153">
        <f>SUM(L67)</f>
        <v>0</v>
      </c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</row>
    <row r="15" spans="1:33" s="151" customFormat="1" ht="16.5" customHeight="1">
      <c r="A15" s="9" t="s">
        <v>275</v>
      </c>
      <c r="B15" s="86">
        <f>SUM(B68+B94+B123+B180+B216)</f>
        <v>-73276370</v>
      </c>
      <c r="C15" s="86">
        <f>SUM(C68+C94+C123+C180+C216)</f>
        <v>-43196184</v>
      </c>
      <c r="D15" s="86">
        <f>D9-D10-D13</f>
        <v>-49645996</v>
      </c>
      <c r="E15" s="187">
        <f t="shared" si="0"/>
        <v>0.677517131375367</v>
      </c>
      <c r="F15" s="86">
        <f>F9-F10</f>
        <v>-14811198</v>
      </c>
      <c r="G15" s="9" t="s">
        <v>275</v>
      </c>
      <c r="H15" s="153">
        <f aca="true" t="shared" si="4" ref="H15:J16">SUM(H68+H94+H123+H180+H216)</f>
        <v>-73275</v>
      </c>
      <c r="I15" s="91">
        <f>I9-I10-I13</f>
        <v>-46087</v>
      </c>
      <c r="J15" s="91">
        <f>J9-J10-J13</f>
        <v>-49646</v>
      </c>
      <c r="K15" s="13">
        <f t="shared" si="1"/>
        <v>0.6775298532923917</v>
      </c>
      <c r="L15" s="91">
        <f>L9-L10-L13</f>
        <v>-15072</v>
      </c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</row>
    <row r="16" spans="1:33" s="151" customFormat="1" ht="12.75">
      <c r="A16" s="190" t="s">
        <v>276</v>
      </c>
      <c r="B16" s="86">
        <f>SUM(B69+B95+B124+B181+B217)</f>
        <v>58334396</v>
      </c>
      <c r="C16" s="86">
        <f>SUM(C69+C95+C124+C181+C217)</f>
        <v>12777340</v>
      </c>
      <c r="D16" s="86">
        <f>SUM(D69+D95+D124+D181+D217)</f>
        <v>30395027</v>
      </c>
      <c r="E16" s="187">
        <f t="shared" si="0"/>
        <v>0.5210481137063628</v>
      </c>
      <c r="F16" s="86">
        <f>SUM(F69+F95+F124+F181+F217)</f>
        <v>13642722</v>
      </c>
      <c r="G16" s="190" t="s">
        <v>276</v>
      </c>
      <c r="H16" s="153">
        <f t="shared" si="4"/>
        <v>58333</v>
      </c>
      <c r="I16" s="153">
        <f t="shared" si="4"/>
        <v>13707</v>
      </c>
      <c r="J16" s="153">
        <f t="shared" si="4"/>
        <v>30395</v>
      </c>
      <c r="K16" s="13">
        <f t="shared" si="1"/>
        <v>0.5210601203435449</v>
      </c>
      <c r="L16" s="153">
        <f>SUM(L69+L95+L124+L181+L217)</f>
        <v>10886</v>
      </c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</row>
    <row r="17" spans="1:12" ht="15" customHeight="1">
      <c r="A17" s="9" t="s">
        <v>179</v>
      </c>
      <c r="B17" s="86"/>
      <c r="C17" s="86"/>
      <c r="D17" s="86"/>
      <c r="E17" s="187" t="str">
        <f t="shared" si="0"/>
        <v> </v>
      </c>
      <c r="F17" s="86"/>
      <c r="G17" s="9" t="s">
        <v>179</v>
      </c>
      <c r="H17" s="191"/>
      <c r="I17" s="191"/>
      <c r="J17" s="191"/>
      <c r="K17" s="16"/>
      <c r="L17" s="191"/>
    </row>
    <row r="18" spans="1:12" ht="12.75">
      <c r="A18" s="192" t="s">
        <v>277</v>
      </c>
      <c r="B18" s="98"/>
      <c r="C18" s="98"/>
      <c r="D18" s="98"/>
      <c r="E18" s="187" t="str">
        <f t="shared" si="0"/>
        <v> </v>
      </c>
      <c r="F18" s="98"/>
      <c r="G18" s="192" t="s">
        <v>277</v>
      </c>
      <c r="H18" s="174"/>
      <c r="I18" s="174"/>
      <c r="J18" s="174"/>
      <c r="K18" s="16"/>
      <c r="L18" s="174"/>
    </row>
    <row r="19" spans="1:12" ht="12.75">
      <c r="A19" s="60" t="s">
        <v>278</v>
      </c>
      <c r="B19" s="98">
        <v>44790000</v>
      </c>
      <c r="C19" s="98">
        <v>4269000</v>
      </c>
      <c r="D19" s="98">
        <v>3787051</v>
      </c>
      <c r="E19" s="188">
        <f t="shared" si="0"/>
        <v>0.08455126144228622</v>
      </c>
      <c r="F19" s="98">
        <f>D19-'[5]Maijs'!D19</f>
        <v>1768350</v>
      </c>
      <c r="G19" s="60" t="s">
        <v>278</v>
      </c>
      <c r="H19" s="18">
        <f>ROUND(B19/1000,0)</f>
        <v>44790</v>
      </c>
      <c r="I19" s="18">
        <f>ROUND(C19/1000,0)</f>
        <v>4269</v>
      </c>
      <c r="J19" s="18">
        <f>ROUND(D19/1000,0)</f>
        <v>3787</v>
      </c>
      <c r="K19" s="20">
        <f t="shared" si="1"/>
        <v>0.0845501227952668</v>
      </c>
      <c r="L19" s="18">
        <f>ROUND(F19/1000,0)</f>
        <v>1768</v>
      </c>
    </row>
    <row r="20" spans="1:12" ht="12.75">
      <c r="A20" s="60" t="s">
        <v>279</v>
      </c>
      <c r="B20" s="98">
        <f>B21</f>
        <v>44790000</v>
      </c>
      <c r="C20" s="98">
        <f>C22</f>
        <v>0</v>
      </c>
      <c r="D20" s="98">
        <f>D22</f>
        <v>3512000</v>
      </c>
      <c r="E20" s="188">
        <f t="shared" si="0"/>
        <v>0.07841035945523554</v>
      </c>
      <c r="F20" s="98">
        <f>F21</f>
        <v>1626991</v>
      </c>
      <c r="G20" s="60" t="s">
        <v>279</v>
      </c>
      <c r="H20" s="18">
        <f>ROUND(B20/1000,0)</f>
        <v>44790</v>
      </c>
      <c r="I20" s="98">
        <f>I22</f>
        <v>0</v>
      </c>
      <c r="J20" s="98">
        <f>J22</f>
        <v>3512</v>
      </c>
      <c r="K20" s="20">
        <f t="shared" si="1"/>
        <v>0.07841035945523554</v>
      </c>
      <c r="L20" s="174">
        <f>L21</f>
        <v>1627</v>
      </c>
    </row>
    <row r="21" spans="1:12" ht="12.75">
      <c r="A21" s="60" t="s">
        <v>271</v>
      </c>
      <c r="B21" s="98">
        <v>44790000</v>
      </c>
      <c r="C21" s="6">
        <v>4229000</v>
      </c>
      <c r="D21" s="6">
        <v>4226991</v>
      </c>
      <c r="E21" s="188">
        <f>IF(ISERROR(D20/B21)," ",(D20/B21))</f>
        <v>0.07841035945523554</v>
      </c>
      <c r="F21" s="98">
        <f>D21-'[5]Maijs'!D21</f>
        <v>1626991</v>
      </c>
      <c r="G21" s="60" t="s">
        <v>271</v>
      </c>
      <c r="H21" s="18">
        <f>ROUND(B21/1000,0)</f>
        <v>44790</v>
      </c>
      <c r="I21" s="18">
        <f>ROUND(C21/1000,0)</f>
        <v>4229</v>
      </c>
      <c r="J21" s="18">
        <f>ROUND(D21/1000,0)</f>
        <v>4227</v>
      </c>
      <c r="K21" s="20">
        <f t="shared" si="1"/>
        <v>0.09437374413931682</v>
      </c>
      <c r="L21" s="18">
        <f>J21-'[5]Maijs'!J21</f>
        <v>1627</v>
      </c>
    </row>
    <row r="22" spans="1:12" ht="12.75">
      <c r="A22" s="193" t="s">
        <v>280</v>
      </c>
      <c r="B22" s="98">
        <v>36212000</v>
      </c>
      <c r="C22" s="98"/>
      <c r="D22" s="98">
        <v>3512000</v>
      </c>
      <c r="E22" s="188">
        <f t="shared" si="0"/>
        <v>0.09698442505246879</v>
      </c>
      <c r="F22" s="98">
        <f>D22-'[5]Maijs'!D22</f>
        <v>1412000</v>
      </c>
      <c r="G22" s="193" t="s">
        <v>280</v>
      </c>
      <c r="H22" s="18">
        <f>ROUND(B22/1000,0)</f>
        <v>36212</v>
      </c>
      <c r="I22" s="18">
        <f>ROUND(C22/1000,0)</f>
        <v>0</v>
      </c>
      <c r="J22" s="18">
        <f>ROUND(D22/1000,0)</f>
        <v>3512</v>
      </c>
      <c r="K22" s="20">
        <f t="shared" si="1"/>
        <v>0.09698442505246879</v>
      </c>
      <c r="L22" s="18">
        <f>J22-'[5]Maijs'!J22</f>
        <v>1412</v>
      </c>
    </row>
    <row r="23" spans="1:12" ht="12.75">
      <c r="A23" s="192" t="s">
        <v>281</v>
      </c>
      <c r="B23" s="98"/>
      <c r="C23" s="98"/>
      <c r="D23" s="98"/>
      <c r="E23" s="188" t="str">
        <f t="shared" si="0"/>
        <v> </v>
      </c>
      <c r="F23" s="98"/>
      <c r="G23" s="192" t="s">
        <v>281</v>
      </c>
      <c r="H23" s="174"/>
      <c r="I23" s="174"/>
      <c r="J23" s="174"/>
      <c r="K23" s="20"/>
      <c r="L23" s="174"/>
    </row>
    <row r="24" spans="1:12" ht="12.75">
      <c r="A24" s="60" t="s">
        <v>278</v>
      </c>
      <c r="B24" s="98">
        <v>3307500</v>
      </c>
      <c r="C24" s="98">
        <v>1640000</v>
      </c>
      <c r="D24" s="98">
        <v>1254344</v>
      </c>
      <c r="E24" s="188">
        <f t="shared" si="0"/>
        <v>0.37924232804232805</v>
      </c>
      <c r="F24" s="98">
        <f>D24-'[5]Maijs'!D24</f>
        <v>223607</v>
      </c>
      <c r="G24" s="60" t="s">
        <v>278</v>
      </c>
      <c r="H24" s="18">
        <f>ROUND(B24/1000,0)-1</f>
        <v>3307</v>
      </c>
      <c r="I24" s="18">
        <f>ROUND(C24/1000,0)</f>
        <v>1640</v>
      </c>
      <c r="J24" s="18">
        <f>ROUND(D24/1000,0)</f>
        <v>1254</v>
      </c>
      <c r="K24" s="20">
        <f t="shared" si="1"/>
        <v>0.37919564560024194</v>
      </c>
      <c r="L24" s="18">
        <f>J24-'[5]Maijs'!J24</f>
        <v>223</v>
      </c>
    </row>
    <row r="25" spans="1:12" ht="12.75">
      <c r="A25" s="60" t="s">
        <v>279</v>
      </c>
      <c r="B25" s="98">
        <f>B26+B27</f>
        <v>3307500</v>
      </c>
      <c r="C25" s="98">
        <f>C26+C27</f>
        <v>1640000</v>
      </c>
      <c r="D25" s="98">
        <f>D26+D27</f>
        <v>1206644</v>
      </c>
      <c r="E25" s="188">
        <f t="shared" si="0"/>
        <v>0.36482055933484503</v>
      </c>
      <c r="F25" s="98">
        <f>F26+F27</f>
        <v>311629</v>
      </c>
      <c r="G25" s="60" t="s">
        <v>279</v>
      </c>
      <c r="H25" s="174">
        <f>H26+H27</f>
        <v>3308</v>
      </c>
      <c r="I25" s="174">
        <f>I26+I27</f>
        <v>1640</v>
      </c>
      <c r="J25" s="174">
        <f>J26+J27</f>
        <v>1207</v>
      </c>
      <c r="K25" s="20">
        <f t="shared" si="1"/>
        <v>0.3648730350665054</v>
      </c>
      <c r="L25" s="174">
        <f>L26+L27</f>
        <v>312</v>
      </c>
    </row>
    <row r="26" spans="1:12" ht="12.75">
      <c r="A26" s="60" t="s">
        <v>271</v>
      </c>
      <c r="B26" s="98">
        <v>2991500</v>
      </c>
      <c r="C26" s="98">
        <v>1484000</v>
      </c>
      <c r="D26" s="98">
        <v>1169906</v>
      </c>
      <c r="E26" s="188">
        <f t="shared" si="0"/>
        <v>0.39107671736586996</v>
      </c>
      <c r="F26" s="98">
        <f>D26-'[5]Maijs'!D26</f>
        <v>311438</v>
      </c>
      <c r="G26" s="60" t="s">
        <v>271</v>
      </c>
      <c r="H26" s="18">
        <f aca="true" t="shared" si="5" ref="H26:J27">ROUND(B26/1000,0)</f>
        <v>2992</v>
      </c>
      <c r="I26" s="18">
        <f t="shared" si="5"/>
        <v>1484</v>
      </c>
      <c r="J26" s="18">
        <f t="shared" si="5"/>
        <v>1170</v>
      </c>
      <c r="K26" s="20">
        <f t="shared" si="1"/>
        <v>0.3910427807486631</v>
      </c>
      <c r="L26" s="18">
        <f>J26-'[5]Maijs'!J26</f>
        <v>312</v>
      </c>
    </row>
    <row r="27" spans="1:12" ht="12.75">
      <c r="A27" s="60" t="s">
        <v>272</v>
      </c>
      <c r="B27" s="98">
        <v>316000</v>
      </c>
      <c r="C27" s="98">
        <v>156000</v>
      </c>
      <c r="D27" s="98">
        <v>36738</v>
      </c>
      <c r="E27" s="188">
        <f t="shared" si="0"/>
        <v>0.11625949367088607</v>
      </c>
      <c r="F27" s="98">
        <f>D27-'[5]Maijs'!D27</f>
        <v>191</v>
      </c>
      <c r="G27" s="60" t="s">
        <v>272</v>
      </c>
      <c r="H27" s="18">
        <f t="shared" si="5"/>
        <v>316</v>
      </c>
      <c r="I27" s="18">
        <f t="shared" si="5"/>
        <v>156</v>
      </c>
      <c r="J27" s="18">
        <f t="shared" si="5"/>
        <v>37</v>
      </c>
      <c r="K27" s="20">
        <f t="shared" si="1"/>
        <v>0.11708860759493671</v>
      </c>
      <c r="L27" s="18">
        <f>J27-'[5]Maijs'!J27</f>
        <v>0</v>
      </c>
    </row>
    <row r="28" spans="1:12" ht="15" customHeight="1">
      <c r="A28" s="9" t="s">
        <v>180</v>
      </c>
      <c r="B28" s="86"/>
      <c r="C28" s="86"/>
      <c r="D28" s="86"/>
      <c r="E28" s="188" t="str">
        <f t="shared" si="0"/>
        <v> </v>
      </c>
      <c r="F28" s="86"/>
      <c r="G28" s="9" t="s">
        <v>180</v>
      </c>
      <c r="H28" s="191"/>
      <c r="I28" s="191"/>
      <c r="J28" s="191"/>
      <c r="K28" s="20"/>
      <c r="L28" s="191"/>
    </row>
    <row r="29" spans="1:12" ht="27.75" customHeight="1">
      <c r="A29" s="194" t="s">
        <v>282</v>
      </c>
      <c r="B29" s="98"/>
      <c r="C29" s="98"/>
      <c r="D29" s="98"/>
      <c r="E29" s="188" t="str">
        <f t="shared" si="0"/>
        <v> </v>
      </c>
      <c r="F29" s="98"/>
      <c r="G29" s="194" t="s">
        <v>282</v>
      </c>
      <c r="H29" s="174"/>
      <c r="I29" s="174"/>
      <c r="J29" s="174"/>
      <c r="K29" s="20"/>
      <c r="L29" s="174"/>
    </row>
    <row r="30" spans="1:12" ht="12.75">
      <c r="A30" s="60" t="s">
        <v>278</v>
      </c>
      <c r="B30" s="98">
        <f>B31+B32</f>
        <v>1764000</v>
      </c>
      <c r="C30" s="98">
        <v>863987</v>
      </c>
      <c r="D30" s="98">
        <f>D31+D32</f>
        <v>1241698</v>
      </c>
      <c r="E30" s="188">
        <f t="shared" si="0"/>
        <v>0.7039104308390023</v>
      </c>
      <c r="F30" s="98">
        <f>F31+F32</f>
        <v>139500</v>
      </c>
      <c r="G30" s="60" t="s">
        <v>278</v>
      </c>
      <c r="H30" s="174">
        <f>H31+H32</f>
        <v>1764</v>
      </c>
      <c r="I30" s="18">
        <f>ROUND(C30/1000,0)</f>
        <v>864</v>
      </c>
      <c r="J30" s="174">
        <f>J31+J32</f>
        <v>1242</v>
      </c>
      <c r="K30" s="20">
        <f t="shared" si="1"/>
        <v>0.7040816326530612</v>
      </c>
      <c r="L30" s="174">
        <f>L31+L32</f>
        <v>140</v>
      </c>
    </row>
    <row r="31" spans="1:12" ht="12.75">
      <c r="A31" s="63" t="s">
        <v>283</v>
      </c>
      <c r="B31" s="98">
        <v>1550000</v>
      </c>
      <c r="C31" s="98"/>
      <c r="D31" s="98">
        <v>1096045</v>
      </c>
      <c r="E31" s="188">
        <f t="shared" si="0"/>
        <v>0.7071258064516129</v>
      </c>
      <c r="F31" s="98">
        <f>D31-'[5]Maijs'!D31</f>
        <v>137749</v>
      </c>
      <c r="G31" s="63" t="s">
        <v>283</v>
      </c>
      <c r="H31" s="18">
        <f>ROUND(B31/1000,0)</f>
        <v>1550</v>
      </c>
      <c r="I31" s="18">
        <f>ROUND(C31/1000,0)</f>
        <v>0</v>
      </c>
      <c r="J31" s="18">
        <f>ROUND(D31/1000,0)</f>
        <v>1096</v>
      </c>
      <c r="K31" s="20">
        <f t="shared" si="1"/>
        <v>0.7070967741935484</v>
      </c>
      <c r="L31" s="18">
        <f>J31-'[5]Maijs'!J31</f>
        <v>138</v>
      </c>
    </row>
    <row r="32" spans="1:12" ht="12.75">
      <c r="A32" s="177" t="s">
        <v>284</v>
      </c>
      <c r="B32" s="98">
        <v>214000</v>
      </c>
      <c r="C32" s="98"/>
      <c r="D32" s="98">
        <v>145653</v>
      </c>
      <c r="E32" s="188">
        <f t="shared" si="0"/>
        <v>0.6806214953271028</v>
      </c>
      <c r="F32" s="98">
        <f>D32-'[5]Maijs'!D32</f>
        <v>1751</v>
      </c>
      <c r="G32" s="177" t="s">
        <v>284</v>
      </c>
      <c r="H32" s="18">
        <f>ROUND(B32/1000,0)</f>
        <v>214</v>
      </c>
      <c r="I32" s="18">
        <f>ROUND(C32/1000,0)</f>
        <v>0</v>
      </c>
      <c r="J32" s="18">
        <f>ROUND(D32/1000,0)</f>
        <v>146</v>
      </c>
      <c r="K32" s="20">
        <f t="shared" si="1"/>
        <v>0.6822429906542056</v>
      </c>
      <c r="L32" s="18">
        <f>J32-'[5]Maijs'!J32</f>
        <v>2</v>
      </c>
    </row>
    <row r="33" spans="1:12" ht="12.75">
      <c r="A33" s="60" t="s">
        <v>279</v>
      </c>
      <c r="B33" s="98">
        <f>B34</f>
        <v>1764000</v>
      </c>
      <c r="C33" s="98">
        <f>C34</f>
        <v>863987</v>
      </c>
      <c r="D33" s="98">
        <f>D34</f>
        <v>317117</v>
      </c>
      <c r="E33" s="188">
        <f t="shared" si="0"/>
        <v>0.17977154195011338</v>
      </c>
      <c r="F33" s="98">
        <f>F34</f>
        <v>80838</v>
      </c>
      <c r="G33" s="60" t="s">
        <v>279</v>
      </c>
      <c r="H33" s="174">
        <f>H34</f>
        <v>1764</v>
      </c>
      <c r="I33" s="174">
        <f>I34</f>
        <v>864</v>
      </c>
      <c r="J33" s="174">
        <f>J34</f>
        <v>317</v>
      </c>
      <c r="K33" s="20">
        <f t="shared" si="1"/>
        <v>0.17970521541950113</v>
      </c>
      <c r="L33" s="174">
        <f>L34</f>
        <v>81</v>
      </c>
    </row>
    <row r="34" spans="1:12" ht="12.75">
      <c r="A34" s="60" t="s">
        <v>271</v>
      </c>
      <c r="B34" s="98">
        <v>1764000</v>
      </c>
      <c r="C34" s="98">
        <f>146629+146629+146629+140100+140000+144000</f>
        <v>863987</v>
      </c>
      <c r="D34" s="98">
        <v>317117</v>
      </c>
      <c r="E34" s="188">
        <f t="shared" si="0"/>
        <v>0.17977154195011338</v>
      </c>
      <c r="F34" s="98">
        <f>D34-'[5]Maijs'!D34</f>
        <v>80838</v>
      </c>
      <c r="G34" s="60" t="s">
        <v>271</v>
      </c>
      <c r="H34" s="18">
        <f>ROUND(B34/1000,0)</f>
        <v>1764</v>
      </c>
      <c r="I34" s="18">
        <f>ROUND(C34/1000,0)</f>
        <v>864</v>
      </c>
      <c r="J34" s="18">
        <f>ROUND(D34/1000,0)</f>
        <v>317</v>
      </c>
      <c r="K34" s="20">
        <f t="shared" si="1"/>
        <v>0.17970521541950113</v>
      </c>
      <c r="L34" s="18">
        <f>J34-'[5]Maijs'!J34</f>
        <v>81</v>
      </c>
    </row>
    <row r="35" spans="1:12" ht="24.75" customHeight="1">
      <c r="A35" s="194" t="s">
        <v>285</v>
      </c>
      <c r="B35" s="98"/>
      <c r="C35" s="98"/>
      <c r="D35" s="98"/>
      <c r="E35" s="188" t="str">
        <f t="shared" si="0"/>
        <v> </v>
      </c>
      <c r="F35" s="98"/>
      <c r="G35" s="194" t="s">
        <v>285</v>
      </c>
      <c r="H35" s="174"/>
      <c r="I35" s="174"/>
      <c r="J35" s="174"/>
      <c r="K35" s="20"/>
      <c r="L35" s="174"/>
    </row>
    <row r="36" spans="1:12" ht="12.75">
      <c r="A36" s="60" t="s">
        <v>278</v>
      </c>
      <c r="B36" s="98">
        <f>B37+B38</f>
        <v>147000</v>
      </c>
      <c r="C36" s="98">
        <v>68180</v>
      </c>
      <c r="D36" s="98">
        <f>D37+D38</f>
        <v>99232</v>
      </c>
      <c r="E36" s="188">
        <f t="shared" si="0"/>
        <v>0.675047619047619</v>
      </c>
      <c r="F36" s="98">
        <f>F37+F38</f>
        <v>2934</v>
      </c>
      <c r="G36" s="60" t="s">
        <v>278</v>
      </c>
      <c r="H36" s="174">
        <f>H37+H38</f>
        <v>147</v>
      </c>
      <c r="I36" s="18">
        <f>ROUND(C36/1000,0)</f>
        <v>68</v>
      </c>
      <c r="J36" s="174">
        <f>J37+J38</f>
        <v>99</v>
      </c>
      <c r="K36" s="20">
        <f t="shared" si="1"/>
        <v>0.673469387755102</v>
      </c>
      <c r="L36" s="174">
        <f>L37+L38</f>
        <v>3</v>
      </c>
    </row>
    <row r="37" spans="1:12" ht="12.75">
      <c r="A37" s="63" t="s">
        <v>286</v>
      </c>
      <c r="B37" s="98">
        <v>147000</v>
      </c>
      <c r="C37" s="98"/>
      <c r="D37" s="98">
        <v>99232</v>
      </c>
      <c r="E37" s="188">
        <f t="shared" si="0"/>
        <v>0.675047619047619</v>
      </c>
      <c r="F37" s="98">
        <f>D37-'[5]Maijs'!D37</f>
        <v>2934</v>
      </c>
      <c r="G37" s="63" t="s">
        <v>286</v>
      </c>
      <c r="H37" s="18">
        <f>ROUND(B37/1000,0)</f>
        <v>147</v>
      </c>
      <c r="I37" s="18">
        <f>ROUND(C37/1000,0)</f>
        <v>0</v>
      </c>
      <c r="J37" s="18">
        <f>ROUND(D37/1000,0)</f>
        <v>99</v>
      </c>
      <c r="K37" s="20">
        <f t="shared" si="1"/>
        <v>0.673469387755102</v>
      </c>
      <c r="L37" s="18">
        <f>J37-'[5]Maijs'!J37</f>
        <v>3</v>
      </c>
    </row>
    <row r="38" spans="1:12" ht="12.75">
      <c r="A38" s="63" t="s">
        <v>284</v>
      </c>
      <c r="B38" s="98"/>
      <c r="C38" s="98"/>
      <c r="D38" s="98"/>
      <c r="E38" s="188" t="str">
        <f t="shared" si="0"/>
        <v> </v>
      </c>
      <c r="F38" s="98">
        <f>D38-'[5]Maijs'!D38</f>
        <v>0</v>
      </c>
      <c r="G38" s="63" t="s">
        <v>284</v>
      </c>
      <c r="H38" s="174"/>
      <c r="I38" s="174"/>
      <c r="J38" s="174"/>
      <c r="K38" s="20" t="str">
        <f t="shared" si="1"/>
        <v> </v>
      </c>
      <c r="L38" s="18">
        <f>J38-'[5]Maijs'!J38</f>
        <v>0</v>
      </c>
    </row>
    <row r="39" spans="1:12" ht="12.75">
      <c r="A39" s="60" t="s">
        <v>279</v>
      </c>
      <c r="B39" s="98">
        <f>B40</f>
        <v>147000</v>
      </c>
      <c r="C39" s="98">
        <f>C40</f>
        <v>68180</v>
      </c>
      <c r="D39" s="98">
        <f>D40</f>
        <v>0</v>
      </c>
      <c r="E39" s="188">
        <f t="shared" si="0"/>
        <v>0</v>
      </c>
      <c r="F39" s="98">
        <f>F40</f>
        <v>0</v>
      </c>
      <c r="G39" s="60" t="s">
        <v>279</v>
      </c>
      <c r="H39" s="174">
        <f>H40</f>
        <v>147</v>
      </c>
      <c r="I39" s="174">
        <f>I40</f>
        <v>68</v>
      </c>
      <c r="J39" s="174">
        <f>J40</f>
        <v>0</v>
      </c>
      <c r="K39" s="20">
        <f t="shared" si="1"/>
        <v>0</v>
      </c>
      <c r="L39" s="174">
        <f>L40</f>
        <v>0</v>
      </c>
    </row>
    <row r="40" spans="1:12" ht="12.75">
      <c r="A40" s="60" t="s">
        <v>271</v>
      </c>
      <c r="B40" s="98">
        <v>147000</v>
      </c>
      <c r="C40" s="98">
        <v>68180</v>
      </c>
      <c r="D40" s="98"/>
      <c r="E40" s="188">
        <f t="shared" si="0"/>
        <v>0</v>
      </c>
      <c r="F40" s="98">
        <f>D40-'[5]Maijs'!D40</f>
        <v>0</v>
      </c>
      <c r="G40" s="60" t="s">
        <v>271</v>
      </c>
      <c r="H40" s="18">
        <f>ROUND(B40/1000,0)</f>
        <v>147</v>
      </c>
      <c r="I40" s="18">
        <f>ROUND(C40/1000,0)</f>
        <v>68</v>
      </c>
      <c r="J40" s="18">
        <f>ROUND(D40/1000,0)</f>
        <v>0</v>
      </c>
      <c r="K40" s="20">
        <f t="shared" si="1"/>
        <v>0</v>
      </c>
      <c r="L40" s="18">
        <f>J40-'[5]Maijs'!J40</f>
        <v>0</v>
      </c>
    </row>
    <row r="41" spans="1:12" ht="15.75" customHeight="1">
      <c r="A41" s="194" t="s">
        <v>287</v>
      </c>
      <c r="B41" s="98"/>
      <c r="C41" s="98"/>
      <c r="D41" s="98"/>
      <c r="E41" s="188" t="str">
        <f t="shared" si="0"/>
        <v> </v>
      </c>
      <c r="F41" s="98"/>
      <c r="G41" s="194" t="s">
        <v>287</v>
      </c>
      <c r="H41" s="174"/>
      <c r="I41" s="174"/>
      <c r="J41" s="174"/>
      <c r="K41" s="20"/>
      <c r="L41" s="174"/>
    </row>
    <row r="42" spans="1:12" ht="12.75">
      <c r="A42" s="60" t="s">
        <v>278</v>
      </c>
      <c r="B42" s="98">
        <f>B43</f>
        <v>88200</v>
      </c>
      <c r="C42" s="98">
        <v>50000</v>
      </c>
      <c r="D42" s="98">
        <f>D43</f>
        <v>59896</v>
      </c>
      <c r="E42" s="188">
        <f t="shared" si="0"/>
        <v>0.6790929705215419</v>
      </c>
      <c r="F42" s="98">
        <f>F43</f>
        <v>15724</v>
      </c>
      <c r="G42" s="60" t="s">
        <v>278</v>
      </c>
      <c r="H42" s="174">
        <f>H43</f>
        <v>88</v>
      </c>
      <c r="I42" s="18">
        <f>ROUND(C42/1000,0)</f>
        <v>50</v>
      </c>
      <c r="J42" s="174">
        <f>J43</f>
        <v>60</v>
      </c>
      <c r="K42" s="20">
        <f t="shared" si="1"/>
        <v>0.6818181818181818</v>
      </c>
      <c r="L42" s="174">
        <f>L43</f>
        <v>16</v>
      </c>
    </row>
    <row r="43" spans="1:12" ht="12.75">
      <c r="A43" s="63" t="s">
        <v>286</v>
      </c>
      <c r="B43" s="98">
        <v>88200</v>
      </c>
      <c r="C43" s="98"/>
      <c r="D43" s="98">
        <v>59896</v>
      </c>
      <c r="E43" s="188">
        <f t="shared" si="0"/>
        <v>0.6790929705215419</v>
      </c>
      <c r="F43" s="98">
        <f>D43-'[5]Maijs'!D43</f>
        <v>15724</v>
      </c>
      <c r="G43" s="63" t="s">
        <v>286</v>
      </c>
      <c r="H43" s="18">
        <f>ROUND(B43/1000,0)</f>
        <v>88</v>
      </c>
      <c r="I43" s="18">
        <f>ROUND(C43/1000,0)</f>
        <v>0</v>
      </c>
      <c r="J43" s="18">
        <f>ROUND(D43/1000,0)</f>
        <v>60</v>
      </c>
      <c r="K43" s="20">
        <f t="shared" si="1"/>
        <v>0.6818181818181818</v>
      </c>
      <c r="L43" s="18">
        <f>J43-'[5]Maijs'!J43</f>
        <v>16</v>
      </c>
    </row>
    <row r="44" spans="1:12" ht="12.75">
      <c r="A44" s="60" t="s">
        <v>279</v>
      </c>
      <c r="B44" s="98">
        <f>B45</f>
        <v>88200</v>
      </c>
      <c r="C44" s="98">
        <f>C45</f>
        <v>50000</v>
      </c>
      <c r="D44" s="98">
        <f>D45</f>
        <v>4000</v>
      </c>
      <c r="E44" s="188">
        <f t="shared" si="0"/>
        <v>0.045351473922902494</v>
      </c>
      <c r="F44" s="98">
        <f>F45</f>
        <v>4000</v>
      </c>
      <c r="G44" s="60" t="s">
        <v>279</v>
      </c>
      <c r="H44" s="174">
        <f>H45</f>
        <v>88</v>
      </c>
      <c r="I44" s="174">
        <f>I45</f>
        <v>50</v>
      </c>
      <c r="J44" s="174">
        <f>J45</f>
        <v>4</v>
      </c>
      <c r="K44" s="20">
        <f t="shared" si="1"/>
        <v>0.045454545454545456</v>
      </c>
      <c r="L44" s="174">
        <f>L45</f>
        <v>4</v>
      </c>
    </row>
    <row r="45" spans="1:12" ht="12.75">
      <c r="A45" s="60" t="s">
        <v>271</v>
      </c>
      <c r="B45" s="195">
        <v>88200</v>
      </c>
      <c r="C45" s="195">
        <v>50000</v>
      </c>
      <c r="D45" s="195">
        <v>4000</v>
      </c>
      <c r="E45" s="188">
        <f t="shared" si="0"/>
        <v>0.045351473922902494</v>
      </c>
      <c r="F45" s="98">
        <f>D45-'[5]Maijs'!D45</f>
        <v>4000</v>
      </c>
      <c r="G45" s="60" t="s">
        <v>271</v>
      </c>
      <c r="H45" s="18">
        <f>ROUND(B45/1000,0)</f>
        <v>88</v>
      </c>
      <c r="I45" s="18">
        <f>ROUND(C45/1000,0)</f>
        <v>50</v>
      </c>
      <c r="J45" s="18">
        <f>ROUND(D45/1000,0)</f>
        <v>4</v>
      </c>
      <c r="K45" s="20">
        <f t="shared" si="1"/>
        <v>0.045454545454545456</v>
      </c>
      <c r="L45" s="18">
        <f>J45-'[5]Maijs'!J45</f>
        <v>4</v>
      </c>
    </row>
    <row r="46" spans="1:12" ht="26.25" customHeight="1">
      <c r="A46" s="194" t="s">
        <v>288</v>
      </c>
      <c r="B46" s="158"/>
      <c r="C46" s="158"/>
      <c r="D46" s="158"/>
      <c r="E46" s="188" t="str">
        <f t="shared" si="0"/>
        <v> </v>
      </c>
      <c r="F46" s="158"/>
      <c r="G46" s="194" t="s">
        <v>288</v>
      </c>
      <c r="H46" s="161"/>
      <c r="I46" s="161"/>
      <c r="J46" s="161"/>
      <c r="K46" s="20"/>
      <c r="L46" s="161"/>
    </row>
    <row r="47" spans="1:12" ht="12.75">
      <c r="A47" s="60" t="s">
        <v>278</v>
      </c>
      <c r="B47" s="98">
        <f>B48+B49</f>
        <v>1300000</v>
      </c>
      <c r="C47" s="98">
        <v>427770</v>
      </c>
      <c r="D47" s="98">
        <f>D48+D49</f>
        <v>369521</v>
      </c>
      <c r="E47" s="188">
        <f t="shared" si="0"/>
        <v>0.28424692307692306</v>
      </c>
      <c r="F47" s="98">
        <f>F48+F49</f>
        <v>4984</v>
      </c>
      <c r="G47" s="60" t="s">
        <v>278</v>
      </c>
      <c r="H47" s="174">
        <f>H48+H49</f>
        <v>1300</v>
      </c>
      <c r="I47" s="18">
        <f>ROUND(C47/1000,0)</f>
        <v>428</v>
      </c>
      <c r="J47" s="174">
        <f>J48+J49</f>
        <v>370</v>
      </c>
      <c r="K47" s="20">
        <f t="shared" si="1"/>
        <v>0.2846153846153846</v>
      </c>
      <c r="L47" s="174">
        <f>L48+L49</f>
        <v>6</v>
      </c>
    </row>
    <row r="48" spans="1:12" ht="25.5" customHeight="1">
      <c r="A48" s="133" t="s">
        <v>289</v>
      </c>
      <c r="B48" s="127">
        <v>500000</v>
      </c>
      <c r="C48" s="127"/>
      <c r="D48" s="127"/>
      <c r="E48" s="188">
        <f t="shared" si="0"/>
        <v>0</v>
      </c>
      <c r="F48" s="98">
        <f>D48-'[5]Maijs'!D48</f>
        <v>0</v>
      </c>
      <c r="G48" s="133" t="s">
        <v>289</v>
      </c>
      <c r="H48" s="18">
        <f aca="true" t="shared" si="6" ref="H48:J49">ROUND(B48/1000,0)</f>
        <v>500</v>
      </c>
      <c r="I48" s="18">
        <f t="shared" si="6"/>
        <v>0</v>
      </c>
      <c r="J48" s="18">
        <f t="shared" si="6"/>
        <v>0</v>
      </c>
      <c r="K48" s="20">
        <f t="shared" si="1"/>
        <v>0</v>
      </c>
      <c r="L48" s="18">
        <f>J48-'[5]Maijs'!J48</f>
        <v>0</v>
      </c>
    </row>
    <row r="49" spans="1:12" ht="12.75">
      <c r="A49" s="196" t="s">
        <v>290</v>
      </c>
      <c r="B49" s="127">
        <v>800000</v>
      </c>
      <c r="C49" s="127"/>
      <c r="D49" s="127">
        <v>369521</v>
      </c>
      <c r="E49" s="188">
        <f t="shared" si="0"/>
        <v>0.46190125</v>
      </c>
      <c r="F49" s="98">
        <f>D49-'[5]Maijs'!D49</f>
        <v>4984</v>
      </c>
      <c r="G49" s="196" t="s">
        <v>290</v>
      </c>
      <c r="H49" s="18">
        <f t="shared" si="6"/>
        <v>800</v>
      </c>
      <c r="I49" s="18">
        <f t="shared" si="6"/>
        <v>0</v>
      </c>
      <c r="J49" s="18">
        <f t="shared" si="6"/>
        <v>370</v>
      </c>
      <c r="K49" s="20">
        <f t="shared" si="1"/>
        <v>0.4625</v>
      </c>
      <c r="L49" s="18">
        <f>J49-'[5]Maijs'!J49</f>
        <v>6</v>
      </c>
    </row>
    <row r="50" spans="1:12" ht="12.75">
      <c r="A50" s="60" t="s">
        <v>279</v>
      </c>
      <c r="B50" s="98">
        <f>B51+B52</f>
        <v>1300000</v>
      </c>
      <c r="C50" s="98">
        <f>C51+C52</f>
        <v>427770</v>
      </c>
      <c r="D50" s="98">
        <f>D51+D52</f>
        <v>56000</v>
      </c>
      <c r="E50" s="188">
        <f t="shared" si="0"/>
        <v>0.043076923076923075</v>
      </c>
      <c r="F50" s="98">
        <f>F51+F52</f>
        <v>11100</v>
      </c>
      <c r="G50" s="60" t="s">
        <v>279</v>
      </c>
      <c r="H50" s="174">
        <f>H51+H52</f>
        <v>1300</v>
      </c>
      <c r="I50" s="174">
        <f>I51+I52</f>
        <v>428</v>
      </c>
      <c r="J50" s="174">
        <f>J51+J52</f>
        <v>56</v>
      </c>
      <c r="K50" s="20">
        <f t="shared" si="1"/>
        <v>0.043076923076923075</v>
      </c>
      <c r="L50" s="174">
        <f>L51+L52</f>
        <v>11</v>
      </c>
    </row>
    <row r="51" spans="1:12" ht="12.75">
      <c r="A51" s="60" t="s">
        <v>271</v>
      </c>
      <c r="B51" s="195">
        <v>1288000</v>
      </c>
      <c r="C51" s="195">
        <v>418570</v>
      </c>
      <c r="D51" s="195">
        <v>46800</v>
      </c>
      <c r="E51" s="188">
        <f t="shared" si="0"/>
        <v>0.03633540372670808</v>
      </c>
      <c r="F51" s="98">
        <f>D51-'[5]Maijs'!D51</f>
        <v>10000</v>
      </c>
      <c r="G51" s="60" t="s">
        <v>271</v>
      </c>
      <c r="H51" s="18">
        <f aca="true" t="shared" si="7" ref="H51:J52">ROUND(B51/1000,0)</f>
        <v>1288</v>
      </c>
      <c r="I51" s="18">
        <f t="shared" si="7"/>
        <v>419</v>
      </c>
      <c r="J51" s="18">
        <f t="shared" si="7"/>
        <v>47</v>
      </c>
      <c r="K51" s="20">
        <f t="shared" si="1"/>
        <v>0.036490683229813664</v>
      </c>
      <c r="L51" s="18">
        <f>J51-'[5]Maijs'!J51</f>
        <v>10</v>
      </c>
    </row>
    <row r="52" spans="1:12" ht="12.75">
      <c r="A52" s="60" t="s">
        <v>272</v>
      </c>
      <c r="B52" s="98">
        <v>12000</v>
      </c>
      <c r="C52" s="98">
        <v>9200</v>
      </c>
      <c r="D52" s="98">
        <v>9200</v>
      </c>
      <c r="E52" s="188">
        <f t="shared" si="0"/>
        <v>0.7666666666666667</v>
      </c>
      <c r="F52" s="98">
        <f>D52-'[5]Maijs'!D52</f>
        <v>1100</v>
      </c>
      <c r="G52" s="60" t="s">
        <v>272</v>
      </c>
      <c r="H52" s="18">
        <f t="shared" si="7"/>
        <v>12</v>
      </c>
      <c r="I52" s="18">
        <f t="shared" si="7"/>
        <v>9</v>
      </c>
      <c r="J52" s="18">
        <f t="shared" si="7"/>
        <v>9</v>
      </c>
      <c r="K52" s="20">
        <f t="shared" si="1"/>
        <v>0.75</v>
      </c>
      <c r="L52" s="18">
        <f>J52-'[5]Maijs'!J52</f>
        <v>1</v>
      </c>
    </row>
    <row r="53" spans="1:12" ht="16.5" customHeight="1">
      <c r="A53" s="9" t="s">
        <v>182</v>
      </c>
      <c r="B53" s="86"/>
      <c r="C53" s="86"/>
      <c r="D53" s="86"/>
      <c r="E53" s="188" t="str">
        <f t="shared" si="0"/>
        <v> </v>
      </c>
      <c r="F53" s="86"/>
      <c r="G53" s="9" t="s">
        <v>182</v>
      </c>
      <c r="H53" s="191"/>
      <c r="I53" s="191"/>
      <c r="J53" s="191"/>
      <c r="K53" s="20"/>
      <c r="L53" s="191"/>
    </row>
    <row r="54" spans="1:12" ht="19.5" customHeight="1">
      <c r="A54" s="192" t="s">
        <v>291</v>
      </c>
      <c r="B54" s="98"/>
      <c r="C54" s="98"/>
      <c r="D54" s="98"/>
      <c r="E54" s="188" t="str">
        <f t="shared" si="0"/>
        <v> </v>
      </c>
      <c r="F54" s="98"/>
      <c r="G54" s="192" t="s">
        <v>291</v>
      </c>
      <c r="H54" s="174"/>
      <c r="I54" s="174"/>
      <c r="J54" s="174"/>
      <c r="K54" s="20"/>
      <c r="L54" s="174"/>
    </row>
    <row r="55" spans="1:12" ht="12.75">
      <c r="A55" s="60" t="s">
        <v>278</v>
      </c>
      <c r="B55" s="98">
        <f>B56</f>
        <v>1400000</v>
      </c>
      <c r="C55" s="98">
        <v>1125499</v>
      </c>
      <c r="D55" s="98">
        <f>D56</f>
        <v>815473</v>
      </c>
      <c r="E55" s="188">
        <f t="shared" si="0"/>
        <v>0.5824807142857142</v>
      </c>
      <c r="F55" s="98">
        <f>F56</f>
        <v>21293</v>
      </c>
      <c r="G55" s="60" t="s">
        <v>278</v>
      </c>
      <c r="H55" s="174">
        <f>H56</f>
        <v>1400</v>
      </c>
      <c r="I55" s="18">
        <f>ROUND(C55/1000,0)</f>
        <v>1125</v>
      </c>
      <c r="J55" s="174">
        <f>J56</f>
        <v>815</v>
      </c>
      <c r="K55" s="20">
        <f t="shared" si="1"/>
        <v>0.5821428571428572</v>
      </c>
      <c r="L55" s="174">
        <f>L56</f>
        <v>21</v>
      </c>
    </row>
    <row r="56" spans="1:12" ht="22.5">
      <c r="A56" s="63" t="s">
        <v>292</v>
      </c>
      <c r="B56" s="98">
        <v>1400000</v>
      </c>
      <c r="C56" s="98"/>
      <c r="D56" s="98">
        <v>815473</v>
      </c>
      <c r="E56" s="188">
        <f t="shared" si="0"/>
        <v>0.5824807142857142</v>
      </c>
      <c r="F56" s="98">
        <f>D56-'[5]Maijs'!D56</f>
        <v>21293</v>
      </c>
      <c r="G56" s="63" t="s">
        <v>292</v>
      </c>
      <c r="H56" s="18">
        <f>ROUND(B56/1000,0)</f>
        <v>1400</v>
      </c>
      <c r="I56" s="18">
        <f>ROUND(C56/1000,0)</f>
        <v>0</v>
      </c>
      <c r="J56" s="18">
        <f>ROUND(D56/1000,0)</f>
        <v>815</v>
      </c>
      <c r="K56" s="20">
        <f t="shared" si="1"/>
        <v>0.5821428571428572</v>
      </c>
      <c r="L56" s="18">
        <f>J56-'[5]Maijs'!J56</f>
        <v>21</v>
      </c>
    </row>
    <row r="57" spans="1:12" ht="12.75">
      <c r="A57" s="60" t="s">
        <v>279</v>
      </c>
      <c r="B57" s="98">
        <f>B58+B59</f>
        <v>1400000</v>
      </c>
      <c r="C57" s="98">
        <f>C58+C59</f>
        <v>1125499</v>
      </c>
      <c r="D57" s="98">
        <f>D58+D59</f>
        <v>1028583</v>
      </c>
      <c r="E57" s="188">
        <f t="shared" si="0"/>
        <v>0.7347021428571429</v>
      </c>
      <c r="F57" s="98">
        <f>F58+F59</f>
        <v>128278</v>
      </c>
      <c r="G57" s="60" t="s">
        <v>279</v>
      </c>
      <c r="H57" s="174">
        <f>H58+H59</f>
        <v>1400</v>
      </c>
      <c r="I57" s="174">
        <f>I58+I59</f>
        <v>1125</v>
      </c>
      <c r="J57" s="174">
        <f>J58+J59</f>
        <v>1029</v>
      </c>
      <c r="K57" s="20">
        <f t="shared" si="1"/>
        <v>0.735</v>
      </c>
      <c r="L57" s="174">
        <f>L58+L59</f>
        <v>129</v>
      </c>
    </row>
    <row r="58" spans="1:12" ht="12.75">
      <c r="A58" s="60" t="s">
        <v>271</v>
      </c>
      <c r="B58" s="98">
        <v>759000</v>
      </c>
      <c r="C58" s="98">
        <v>484499</v>
      </c>
      <c r="D58" s="98">
        <v>482083</v>
      </c>
      <c r="E58" s="188">
        <f t="shared" si="0"/>
        <v>0.6351554677206851</v>
      </c>
      <c r="F58" s="98">
        <f>D58-'[5]Maijs'!D58</f>
        <v>63818</v>
      </c>
      <c r="G58" s="60" t="s">
        <v>271</v>
      </c>
      <c r="H58" s="18">
        <f aca="true" t="shared" si="8" ref="H58:J59">ROUND(B58/1000,0)</f>
        <v>759</v>
      </c>
      <c r="I58" s="18">
        <f t="shared" si="8"/>
        <v>484</v>
      </c>
      <c r="J58" s="18">
        <f t="shared" si="8"/>
        <v>482</v>
      </c>
      <c r="K58" s="20">
        <f t="shared" si="1"/>
        <v>0.6350461133069829</v>
      </c>
      <c r="L58" s="18">
        <f>J58-'[5]Maijs'!J58</f>
        <v>64</v>
      </c>
    </row>
    <row r="59" spans="1:12" ht="12.75">
      <c r="A59" s="60" t="s">
        <v>272</v>
      </c>
      <c r="B59" s="98">
        <v>641000</v>
      </c>
      <c r="C59" s="98">
        <v>641000</v>
      </c>
      <c r="D59" s="98">
        <v>546500</v>
      </c>
      <c r="E59" s="188">
        <f t="shared" si="0"/>
        <v>0.8525741029641186</v>
      </c>
      <c r="F59" s="98">
        <f>D59-'[5]Maijs'!D59</f>
        <v>64460</v>
      </c>
      <c r="G59" s="60" t="s">
        <v>272</v>
      </c>
      <c r="H59" s="18">
        <f t="shared" si="8"/>
        <v>641</v>
      </c>
      <c r="I59" s="18">
        <f t="shared" si="8"/>
        <v>641</v>
      </c>
      <c r="J59" s="18">
        <f t="shared" si="8"/>
        <v>547</v>
      </c>
      <c r="K59" s="20">
        <f t="shared" si="1"/>
        <v>0.8533541341653667</v>
      </c>
      <c r="L59" s="18">
        <f>J59-'[5]Maijs'!J59</f>
        <v>65</v>
      </c>
    </row>
    <row r="60" spans="1:12" ht="16.5" customHeight="1">
      <c r="A60" s="194" t="s">
        <v>293</v>
      </c>
      <c r="B60" s="98"/>
      <c r="C60" s="98"/>
      <c r="D60" s="98"/>
      <c r="E60" s="188" t="str">
        <f t="shared" si="0"/>
        <v> </v>
      </c>
      <c r="F60" s="98"/>
      <c r="G60" s="194" t="s">
        <v>293</v>
      </c>
      <c r="H60" s="174"/>
      <c r="I60" s="174"/>
      <c r="J60" s="174"/>
      <c r="K60" s="20"/>
      <c r="L60" s="174"/>
    </row>
    <row r="61" spans="1:12" ht="12.75">
      <c r="A61" s="60" t="s">
        <v>278</v>
      </c>
      <c r="B61" s="98">
        <f>B62</f>
        <v>712700</v>
      </c>
      <c r="C61" s="98">
        <v>171359</v>
      </c>
      <c r="D61" s="98">
        <f>D62</f>
        <v>434</v>
      </c>
      <c r="E61" s="188">
        <f t="shared" si="0"/>
        <v>0.0006089518731584117</v>
      </c>
      <c r="F61" s="98">
        <f>F62</f>
        <v>0</v>
      </c>
      <c r="G61" s="60" t="s">
        <v>278</v>
      </c>
      <c r="H61" s="174">
        <f>H62</f>
        <v>713</v>
      </c>
      <c r="I61" s="18">
        <f>ROUND(C61/1000,0)</f>
        <v>171</v>
      </c>
      <c r="J61" s="174">
        <f>J62</f>
        <v>0</v>
      </c>
      <c r="K61" s="20">
        <f t="shared" si="1"/>
        <v>0</v>
      </c>
      <c r="L61" s="174">
        <f>L62</f>
        <v>0</v>
      </c>
    </row>
    <row r="62" spans="1:12" ht="12.75">
      <c r="A62" s="63" t="s">
        <v>294</v>
      </c>
      <c r="B62" s="98">
        <v>712700</v>
      </c>
      <c r="C62" s="98"/>
      <c r="D62" s="98">
        <v>434</v>
      </c>
      <c r="E62" s="188">
        <f t="shared" si="0"/>
        <v>0.0006089518731584117</v>
      </c>
      <c r="F62" s="98">
        <f>D62-'[5]Maijs'!D62</f>
        <v>0</v>
      </c>
      <c r="G62" s="63" t="s">
        <v>294</v>
      </c>
      <c r="H62" s="18">
        <f>ROUND(B62/1000,0)</f>
        <v>713</v>
      </c>
      <c r="I62" s="18">
        <f>ROUND(C62/1000,0)</f>
        <v>0</v>
      </c>
      <c r="J62" s="18">
        <f>ROUND(D62/1000,0)</f>
        <v>0</v>
      </c>
      <c r="K62" s="20">
        <f t="shared" si="1"/>
        <v>0</v>
      </c>
      <c r="L62" s="18">
        <f>J62-'[5]Maijs'!J62</f>
        <v>0</v>
      </c>
    </row>
    <row r="63" spans="1:12" ht="12.75">
      <c r="A63" s="60" t="s">
        <v>279</v>
      </c>
      <c r="B63" s="98">
        <f>B64+B65</f>
        <v>717950</v>
      </c>
      <c r="C63" s="98">
        <f>C64+C65</f>
        <v>170632</v>
      </c>
      <c r="D63" s="98">
        <f>D64+D65</f>
        <v>434</v>
      </c>
      <c r="E63" s="188">
        <f t="shared" si="0"/>
        <v>0.0006044989205376419</v>
      </c>
      <c r="F63" s="98">
        <f>F64+F65</f>
        <v>0</v>
      </c>
      <c r="G63" s="60" t="s">
        <v>279</v>
      </c>
      <c r="H63" s="174">
        <f>H64+H65</f>
        <v>718</v>
      </c>
      <c r="I63" s="174">
        <f>I64+I65</f>
        <v>171</v>
      </c>
      <c r="J63" s="174">
        <f>J64+J65</f>
        <v>0</v>
      </c>
      <c r="K63" s="20">
        <f t="shared" si="1"/>
        <v>0</v>
      </c>
      <c r="L63" s="174">
        <f>L64+L65</f>
        <v>0</v>
      </c>
    </row>
    <row r="64" spans="1:12" ht="12.75">
      <c r="A64" s="60" t="s">
        <v>271</v>
      </c>
      <c r="B64" s="98">
        <v>715950</v>
      </c>
      <c r="C64" s="98">
        <v>170632</v>
      </c>
      <c r="D64" s="98">
        <v>434</v>
      </c>
      <c r="E64" s="188">
        <f t="shared" si="0"/>
        <v>0.0006061875829317689</v>
      </c>
      <c r="F64" s="98">
        <f>D64-'[5]Maijs'!D64</f>
        <v>0</v>
      </c>
      <c r="G64" s="60" t="s">
        <v>271</v>
      </c>
      <c r="H64" s="18">
        <f aca="true" t="shared" si="9" ref="H64:J69">ROUND(B64/1000,0)</f>
        <v>716</v>
      </c>
      <c r="I64" s="18">
        <f t="shared" si="9"/>
        <v>171</v>
      </c>
      <c r="J64" s="18">
        <f t="shared" si="9"/>
        <v>0</v>
      </c>
      <c r="K64" s="20">
        <f t="shared" si="1"/>
        <v>0</v>
      </c>
      <c r="L64" s="18">
        <f>J64-'[5]Maijs'!J64</f>
        <v>0</v>
      </c>
    </row>
    <row r="65" spans="1:12" ht="12.75">
      <c r="A65" s="60" t="s">
        <v>272</v>
      </c>
      <c r="B65" s="98">
        <v>2000</v>
      </c>
      <c r="C65" s="98"/>
      <c r="D65" s="98"/>
      <c r="E65" s="188">
        <f t="shared" si="0"/>
        <v>0</v>
      </c>
      <c r="F65" s="98">
        <f>D65-'[5]Maijs'!D65</f>
        <v>0</v>
      </c>
      <c r="G65" s="60" t="s">
        <v>272</v>
      </c>
      <c r="H65" s="18">
        <f t="shared" si="9"/>
        <v>2</v>
      </c>
      <c r="I65" s="18">
        <f t="shared" si="9"/>
        <v>0</v>
      </c>
      <c r="J65" s="18">
        <f t="shared" si="9"/>
        <v>0</v>
      </c>
      <c r="K65" s="20">
        <f t="shared" si="1"/>
        <v>0</v>
      </c>
      <c r="L65" s="18">
        <f>J65-'[5]Maijs'!J65</f>
        <v>0</v>
      </c>
    </row>
    <row r="66" spans="1:12" ht="12.75">
      <c r="A66" s="60" t="s">
        <v>273</v>
      </c>
      <c r="B66" s="98">
        <v>12756000</v>
      </c>
      <c r="C66" s="98">
        <v>1630000</v>
      </c>
      <c r="D66" s="98">
        <v>1492639</v>
      </c>
      <c r="E66" s="188">
        <f t="shared" si="0"/>
        <v>0.11701465976795233</v>
      </c>
      <c r="F66" s="98">
        <f>D66-'[5]Maijs'!D66</f>
        <v>259151</v>
      </c>
      <c r="G66" s="60" t="s">
        <v>273</v>
      </c>
      <c r="H66" s="18">
        <f t="shared" si="9"/>
        <v>12756</v>
      </c>
      <c r="I66" s="18">
        <f t="shared" si="9"/>
        <v>1630</v>
      </c>
      <c r="J66" s="18">
        <f t="shared" si="9"/>
        <v>1493</v>
      </c>
      <c r="K66" s="20">
        <f t="shared" si="1"/>
        <v>0.11704296017560364</v>
      </c>
      <c r="L66" s="18">
        <f>J66-'[5]Maijs'!J66</f>
        <v>260</v>
      </c>
    </row>
    <row r="67" spans="1:12" ht="12.75">
      <c r="A67" s="60" t="s">
        <v>274</v>
      </c>
      <c r="B67" s="98">
        <v>5250</v>
      </c>
      <c r="C67" s="98"/>
      <c r="D67" s="98"/>
      <c r="E67" s="188">
        <f t="shared" si="0"/>
        <v>0</v>
      </c>
      <c r="F67" s="98">
        <f>D67-'[5]Maijs'!D67</f>
        <v>0</v>
      </c>
      <c r="G67" s="60" t="s">
        <v>274</v>
      </c>
      <c r="H67" s="18">
        <f t="shared" si="9"/>
        <v>5</v>
      </c>
      <c r="I67" s="18">
        <f t="shared" si="9"/>
        <v>0</v>
      </c>
      <c r="J67" s="18">
        <f t="shared" si="9"/>
        <v>0</v>
      </c>
      <c r="K67" s="20">
        <f t="shared" si="1"/>
        <v>0</v>
      </c>
      <c r="L67" s="18">
        <f>J67-'[5]Maijs'!J67</f>
        <v>0</v>
      </c>
    </row>
    <row r="68" spans="1:12" ht="12.75">
      <c r="A68" s="60" t="s">
        <v>275</v>
      </c>
      <c r="B68" s="98">
        <v>-12756000</v>
      </c>
      <c r="C68" s="98"/>
      <c r="D68" s="98"/>
      <c r="E68" s="188">
        <f t="shared" si="0"/>
        <v>0</v>
      </c>
      <c r="F68" s="98">
        <f>D68-'[5]Maijs'!D68</f>
        <v>0</v>
      </c>
      <c r="G68" s="60" t="s">
        <v>275</v>
      </c>
      <c r="H68" s="18">
        <f t="shared" si="9"/>
        <v>-12756</v>
      </c>
      <c r="I68" s="18">
        <f t="shared" si="9"/>
        <v>0</v>
      </c>
      <c r="J68" s="18">
        <f t="shared" si="9"/>
        <v>0</v>
      </c>
      <c r="K68" s="20">
        <f t="shared" si="1"/>
        <v>0</v>
      </c>
      <c r="L68" s="18">
        <f>J68-'[5]Maijs'!J68</f>
        <v>0</v>
      </c>
    </row>
    <row r="69" spans="1:12" ht="12.75">
      <c r="A69" s="60" t="s">
        <v>276</v>
      </c>
      <c r="B69" s="98">
        <v>12756000</v>
      </c>
      <c r="C69" s="98"/>
      <c r="D69" s="98">
        <v>1492639</v>
      </c>
      <c r="E69" s="188">
        <f t="shared" si="0"/>
        <v>0.11701465976795233</v>
      </c>
      <c r="F69" s="98">
        <f>D69-'[5]Maijs'!D69</f>
        <v>259151</v>
      </c>
      <c r="G69" s="60" t="s">
        <v>276</v>
      </c>
      <c r="H69" s="18">
        <f t="shared" si="9"/>
        <v>12756</v>
      </c>
      <c r="I69" s="18">
        <f t="shared" si="9"/>
        <v>0</v>
      </c>
      <c r="J69" s="18">
        <f t="shared" si="9"/>
        <v>1493</v>
      </c>
      <c r="K69" s="20">
        <f t="shared" si="1"/>
        <v>0.11704296017560364</v>
      </c>
      <c r="L69" s="18">
        <f>J69-'[5]Maijs'!J69</f>
        <v>260</v>
      </c>
    </row>
    <row r="70" spans="1:12" ht="15.75" customHeight="1">
      <c r="A70" s="32" t="s">
        <v>183</v>
      </c>
      <c r="B70" s="86"/>
      <c r="C70" s="86"/>
      <c r="D70" s="86"/>
      <c r="E70" s="188" t="str">
        <f t="shared" si="0"/>
        <v> </v>
      </c>
      <c r="F70" s="86"/>
      <c r="G70" s="32" t="s">
        <v>183</v>
      </c>
      <c r="H70" s="191"/>
      <c r="I70" s="191"/>
      <c r="J70" s="191"/>
      <c r="K70" s="20"/>
      <c r="L70" s="191"/>
    </row>
    <row r="71" spans="1:12" ht="16.5" customHeight="1">
      <c r="A71" s="192" t="s">
        <v>295</v>
      </c>
      <c r="B71" s="98"/>
      <c r="C71" s="98"/>
      <c r="D71" s="98"/>
      <c r="E71" s="188" t="str">
        <f t="shared" si="0"/>
        <v> </v>
      </c>
      <c r="F71" s="98"/>
      <c r="G71" s="192" t="s">
        <v>295</v>
      </c>
      <c r="H71" s="174"/>
      <c r="I71" s="174"/>
      <c r="J71" s="174"/>
      <c r="K71" s="20"/>
      <c r="L71" s="174"/>
    </row>
    <row r="72" spans="1:12" ht="12.75">
      <c r="A72" s="60" t="s">
        <v>278</v>
      </c>
      <c r="B72" s="98">
        <f>B73+B74</f>
        <v>600000</v>
      </c>
      <c r="C72" s="98">
        <v>433800</v>
      </c>
      <c r="D72" s="98">
        <f>D73+D74</f>
        <v>384408</v>
      </c>
      <c r="E72" s="188">
        <f t="shared" si="0"/>
        <v>0.64068</v>
      </c>
      <c r="F72" s="98">
        <f>F73+F74</f>
        <v>43527</v>
      </c>
      <c r="G72" s="60" t="s">
        <v>278</v>
      </c>
      <c r="H72" s="174">
        <f>H73+H74</f>
        <v>600</v>
      </c>
      <c r="I72" s="18">
        <f>ROUND(C72/1000,0)</f>
        <v>434</v>
      </c>
      <c r="J72" s="174">
        <f>J73+J74</f>
        <v>384</v>
      </c>
      <c r="K72" s="20">
        <f t="shared" si="1"/>
        <v>0.64</v>
      </c>
      <c r="L72" s="174">
        <f>L73+L74</f>
        <v>43</v>
      </c>
    </row>
    <row r="73" spans="1:12" ht="27.75" customHeight="1">
      <c r="A73" s="63" t="s">
        <v>296</v>
      </c>
      <c r="B73" s="98">
        <v>280000</v>
      </c>
      <c r="C73" s="98"/>
      <c r="D73" s="98">
        <v>165279</v>
      </c>
      <c r="E73" s="188">
        <f t="shared" si="0"/>
        <v>0.5902821428571429</v>
      </c>
      <c r="F73" s="98">
        <f>D73-'[5]Maijs'!D73</f>
        <v>40572</v>
      </c>
      <c r="G73" s="63" t="s">
        <v>296</v>
      </c>
      <c r="H73" s="18">
        <f>ROUND(B73/1000,0)</f>
        <v>280</v>
      </c>
      <c r="I73" s="18">
        <f>ROUND(C73/1000,0)</f>
        <v>0</v>
      </c>
      <c r="J73" s="18">
        <f>ROUND(D73/1000,0)</f>
        <v>165</v>
      </c>
      <c r="K73" s="20">
        <f t="shared" si="1"/>
        <v>0.5892857142857143</v>
      </c>
      <c r="L73" s="18">
        <f>J73-'[5]Maijs'!J73</f>
        <v>40</v>
      </c>
    </row>
    <row r="74" spans="1:12" ht="12.75">
      <c r="A74" s="63" t="s">
        <v>284</v>
      </c>
      <c r="B74" s="98">
        <v>320000</v>
      </c>
      <c r="C74" s="98"/>
      <c r="D74" s="98">
        <v>219129</v>
      </c>
      <c r="E74" s="188">
        <f aca="true" t="shared" si="10" ref="E74:E137">IF(ISERROR(D74/B74)," ",(D74/B74))</f>
        <v>0.684778125</v>
      </c>
      <c r="F74" s="98">
        <f>D74-'[5]Maijs'!D74</f>
        <v>2955</v>
      </c>
      <c r="G74" s="63" t="s">
        <v>284</v>
      </c>
      <c r="H74" s="18">
        <f>ROUND(B74/1000,0)</f>
        <v>320</v>
      </c>
      <c r="I74" s="18">
        <f>ROUND(C74/1000,0)</f>
        <v>0</v>
      </c>
      <c r="J74" s="18">
        <f>ROUND(D74/1000,0)</f>
        <v>219</v>
      </c>
      <c r="K74" s="20">
        <f aca="true" t="shared" si="11" ref="K74:K137">IF(ISERROR(ROUND(J74,0)/ROUND(H74,0))," ",(ROUND(J74,)/ROUND(H74,)))</f>
        <v>0.684375</v>
      </c>
      <c r="L74" s="18">
        <f>J74-'[5]Maijs'!J74</f>
        <v>3</v>
      </c>
    </row>
    <row r="75" spans="1:12" ht="12.75">
      <c r="A75" s="60" t="s">
        <v>279</v>
      </c>
      <c r="B75" s="98">
        <f>B76+B77</f>
        <v>600000</v>
      </c>
      <c r="C75" s="98">
        <f>C76+C77</f>
        <v>433800</v>
      </c>
      <c r="D75" s="98">
        <f>D76+D77</f>
        <v>333965</v>
      </c>
      <c r="E75" s="188">
        <f t="shared" si="10"/>
        <v>0.5566083333333334</v>
      </c>
      <c r="F75" s="98">
        <f>F76+F77</f>
        <v>52133</v>
      </c>
      <c r="G75" s="60" t="s">
        <v>279</v>
      </c>
      <c r="H75" s="174">
        <f>H76+H77</f>
        <v>600</v>
      </c>
      <c r="I75" s="174">
        <f>I76+I77</f>
        <v>434</v>
      </c>
      <c r="J75" s="174">
        <f>J76+J77</f>
        <v>334</v>
      </c>
      <c r="K75" s="20">
        <f t="shared" si="11"/>
        <v>0.5566666666666666</v>
      </c>
      <c r="L75" s="174">
        <f>L76+L77</f>
        <v>52</v>
      </c>
    </row>
    <row r="76" spans="1:12" ht="12.75">
      <c r="A76" s="60" t="s">
        <v>271</v>
      </c>
      <c r="B76" s="98">
        <v>521000</v>
      </c>
      <c r="C76" s="98">
        <v>354800</v>
      </c>
      <c r="D76" s="98">
        <v>297597</v>
      </c>
      <c r="E76" s="188">
        <f t="shared" si="10"/>
        <v>0.5712034548944338</v>
      </c>
      <c r="F76" s="98">
        <f>D76-'[5]Maijs'!D76</f>
        <v>43326</v>
      </c>
      <c r="G76" s="60" t="s">
        <v>271</v>
      </c>
      <c r="H76" s="18">
        <f aca="true" t="shared" si="12" ref="H76:J77">ROUND(B76/1000,0)</f>
        <v>521</v>
      </c>
      <c r="I76" s="18">
        <f t="shared" si="12"/>
        <v>355</v>
      </c>
      <c r="J76" s="18">
        <f t="shared" si="12"/>
        <v>298</v>
      </c>
      <c r="K76" s="20">
        <f t="shared" si="11"/>
        <v>0.5719769673704415</v>
      </c>
      <c r="L76" s="18">
        <f>J76-'[5]Maijs'!J76</f>
        <v>44</v>
      </c>
    </row>
    <row r="77" spans="1:12" ht="12.75">
      <c r="A77" s="60" t="s">
        <v>272</v>
      </c>
      <c r="B77" s="98">
        <v>79000</v>
      </c>
      <c r="C77" s="98">
        <v>79000</v>
      </c>
      <c r="D77" s="98">
        <v>36368</v>
      </c>
      <c r="E77" s="188">
        <f t="shared" si="10"/>
        <v>0.4603544303797468</v>
      </c>
      <c r="F77" s="98">
        <f>D77-'[5]Maijs'!D77</f>
        <v>8807</v>
      </c>
      <c r="G77" s="60" t="s">
        <v>272</v>
      </c>
      <c r="H77" s="18">
        <f t="shared" si="12"/>
        <v>79</v>
      </c>
      <c r="I77" s="18">
        <f t="shared" si="12"/>
        <v>79</v>
      </c>
      <c r="J77" s="18">
        <f t="shared" si="12"/>
        <v>36</v>
      </c>
      <c r="K77" s="20">
        <f t="shared" si="11"/>
        <v>0.45569620253164556</v>
      </c>
      <c r="L77" s="18">
        <f>J77-'[5]Maijs'!J77</f>
        <v>8</v>
      </c>
    </row>
    <row r="78" spans="1:12" ht="15.75" customHeight="1">
      <c r="A78" s="192" t="s">
        <v>297</v>
      </c>
      <c r="B78" s="98"/>
      <c r="C78" s="98"/>
      <c r="D78" s="98"/>
      <c r="E78" s="188" t="str">
        <f t="shared" si="10"/>
        <v> </v>
      </c>
      <c r="F78" s="98"/>
      <c r="G78" s="192" t="s">
        <v>297</v>
      </c>
      <c r="H78" s="174"/>
      <c r="I78" s="174"/>
      <c r="J78" s="174"/>
      <c r="K78" s="20"/>
      <c r="L78" s="174"/>
    </row>
    <row r="79" spans="1:12" ht="12.75">
      <c r="A79" s="60" t="s">
        <v>278</v>
      </c>
      <c r="B79" s="98">
        <f>B80+B81</f>
        <v>24000000</v>
      </c>
      <c r="C79" s="98">
        <v>13759002</v>
      </c>
      <c r="D79" s="98">
        <f>D80+D81</f>
        <v>8683433</v>
      </c>
      <c r="E79" s="188">
        <f t="shared" si="10"/>
        <v>0.3618097083333333</v>
      </c>
      <c r="F79" s="98">
        <f>F80+F81</f>
        <v>1021159</v>
      </c>
      <c r="G79" s="60" t="s">
        <v>278</v>
      </c>
      <c r="H79" s="174">
        <f>H80+H81</f>
        <v>24000</v>
      </c>
      <c r="I79" s="18">
        <f>ROUND(C79/1000,0)</f>
        <v>13759</v>
      </c>
      <c r="J79" s="174">
        <f>J80+J81</f>
        <v>8683</v>
      </c>
      <c r="K79" s="20">
        <f t="shared" si="11"/>
        <v>0.3617916666666667</v>
      </c>
      <c r="L79" s="174">
        <f>L80+L81</f>
        <v>1021</v>
      </c>
    </row>
    <row r="80" spans="1:12" ht="12.75">
      <c r="A80" s="63" t="s">
        <v>298</v>
      </c>
      <c r="B80" s="98">
        <v>19053504</v>
      </c>
      <c r="C80" s="98"/>
      <c r="D80" s="98">
        <v>7889283</v>
      </c>
      <c r="E80" s="188">
        <f t="shared" si="10"/>
        <v>0.4140594296986003</v>
      </c>
      <c r="F80" s="98">
        <f>D80-'[5]Maijs'!D80</f>
        <v>899947</v>
      </c>
      <c r="G80" s="63" t="s">
        <v>298</v>
      </c>
      <c r="H80" s="18">
        <f>ROUND(B80/1000,0)</f>
        <v>19054</v>
      </c>
      <c r="I80" s="18">
        <f>ROUND(C80/1000,0)</f>
        <v>0</v>
      </c>
      <c r="J80" s="18">
        <f>ROUND(D80/1000,0)</f>
        <v>7889</v>
      </c>
      <c r="K80" s="20">
        <f t="shared" si="11"/>
        <v>0.41403379867744305</v>
      </c>
      <c r="L80" s="18">
        <f>J80-'[5]Maijs'!J80</f>
        <v>900</v>
      </c>
    </row>
    <row r="81" spans="1:12" ht="12.75">
      <c r="A81" s="60" t="s">
        <v>299</v>
      </c>
      <c r="B81" s="98">
        <v>4946496</v>
      </c>
      <c r="C81" s="98"/>
      <c r="D81" s="98">
        <v>794150</v>
      </c>
      <c r="E81" s="188">
        <f t="shared" si="10"/>
        <v>0.160547991952283</v>
      </c>
      <c r="F81" s="98">
        <f>D81-'[5]Maijs'!D81</f>
        <v>121212</v>
      </c>
      <c r="G81" s="60" t="s">
        <v>299</v>
      </c>
      <c r="H81" s="18">
        <f>ROUND(B81/1000,0)</f>
        <v>4946</v>
      </c>
      <c r="I81" s="18">
        <f>ROUND(C81/1000,0)</f>
        <v>0</v>
      </c>
      <c r="J81" s="18">
        <f>ROUND(D81/1000,0)</f>
        <v>794</v>
      </c>
      <c r="K81" s="20">
        <f t="shared" si="11"/>
        <v>0.16053376465830974</v>
      </c>
      <c r="L81" s="18">
        <f>J81-'[5]Maijs'!J81</f>
        <v>121</v>
      </c>
    </row>
    <row r="82" spans="1:12" ht="12.75">
      <c r="A82" s="60" t="s">
        <v>279</v>
      </c>
      <c r="B82" s="98">
        <f>B83+B84</f>
        <v>24000000</v>
      </c>
      <c r="C82" s="98">
        <f>C83+C84</f>
        <v>13759002</v>
      </c>
      <c r="D82" s="98">
        <f>D83+D84</f>
        <v>9455180</v>
      </c>
      <c r="E82" s="188">
        <f t="shared" si="10"/>
        <v>0.39396583333333335</v>
      </c>
      <c r="F82" s="98">
        <f>F83+F84</f>
        <v>1648512</v>
      </c>
      <c r="G82" s="60" t="s">
        <v>279</v>
      </c>
      <c r="H82" s="174">
        <f>H83+H84</f>
        <v>24000</v>
      </c>
      <c r="I82" s="174">
        <f>I83+I84</f>
        <v>13759</v>
      </c>
      <c r="J82" s="174">
        <f>J83+J84</f>
        <v>9455</v>
      </c>
      <c r="K82" s="20">
        <f t="shared" si="11"/>
        <v>0.39395833333333335</v>
      </c>
      <c r="L82" s="174">
        <f>L83+L84</f>
        <v>1648</v>
      </c>
    </row>
    <row r="83" spans="1:12" ht="12.75">
      <c r="A83" s="60" t="s">
        <v>271</v>
      </c>
      <c r="B83" s="98">
        <v>22190000</v>
      </c>
      <c r="C83" s="98">
        <v>11949002</v>
      </c>
      <c r="D83" s="98">
        <v>8724212</v>
      </c>
      <c r="E83" s="188">
        <f t="shared" si="10"/>
        <v>0.3931596214511041</v>
      </c>
      <c r="F83" s="98">
        <f>D83-'[5]Maijs'!D83</f>
        <v>1476436</v>
      </c>
      <c r="G83" s="60" t="s">
        <v>271</v>
      </c>
      <c r="H83" s="18">
        <f aca="true" t="shared" si="13" ref="H83:J84">ROUND(B83/1000,0)</f>
        <v>22190</v>
      </c>
      <c r="I83" s="18">
        <f t="shared" si="13"/>
        <v>11949</v>
      </c>
      <c r="J83" s="18">
        <f t="shared" si="13"/>
        <v>8724</v>
      </c>
      <c r="K83" s="20">
        <f t="shared" si="11"/>
        <v>0.39315006759801713</v>
      </c>
      <c r="L83" s="18">
        <f>J83-'[5]Maijs'!J83</f>
        <v>1476</v>
      </c>
    </row>
    <row r="84" spans="1:12" ht="12.75">
      <c r="A84" s="60" t="s">
        <v>272</v>
      </c>
      <c r="B84" s="98">
        <v>1810000</v>
      </c>
      <c r="C84" s="98">
        <v>1810000</v>
      </c>
      <c r="D84" s="98">
        <v>730968</v>
      </c>
      <c r="E84" s="188">
        <f t="shared" si="10"/>
        <v>0.4038497237569061</v>
      </c>
      <c r="F84" s="98">
        <f>D84-'[5]Maijs'!D84</f>
        <v>172076</v>
      </c>
      <c r="G84" s="60" t="s">
        <v>272</v>
      </c>
      <c r="H84" s="18">
        <f t="shared" si="13"/>
        <v>1810</v>
      </c>
      <c r="I84" s="18">
        <f t="shared" si="13"/>
        <v>1810</v>
      </c>
      <c r="J84" s="18">
        <f t="shared" si="13"/>
        <v>731</v>
      </c>
      <c r="K84" s="20">
        <f t="shared" si="11"/>
        <v>0.4038674033149171</v>
      </c>
      <c r="L84" s="18">
        <f>J84-'[5]Maijs'!J84</f>
        <v>172</v>
      </c>
    </row>
    <row r="85" spans="1:12" ht="18" customHeight="1">
      <c r="A85" s="9" t="s">
        <v>184</v>
      </c>
      <c r="B85" s="86"/>
      <c r="C85" s="86"/>
      <c r="D85" s="86"/>
      <c r="E85" s="188" t="str">
        <f t="shared" si="10"/>
        <v> </v>
      </c>
      <c r="F85" s="86"/>
      <c r="G85" s="9" t="s">
        <v>184</v>
      </c>
      <c r="H85" s="18"/>
      <c r="I85" s="18"/>
      <c r="J85" s="18"/>
      <c r="K85" s="20"/>
      <c r="L85" s="18"/>
    </row>
    <row r="86" spans="1:12" ht="21" customHeight="1">
      <c r="A86" s="192" t="s">
        <v>300</v>
      </c>
      <c r="B86" s="98"/>
      <c r="C86" s="98"/>
      <c r="D86" s="98"/>
      <c r="E86" s="188" t="str">
        <f t="shared" si="10"/>
        <v> </v>
      </c>
      <c r="F86" s="98"/>
      <c r="G86" s="192" t="s">
        <v>300</v>
      </c>
      <c r="H86" s="174"/>
      <c r="I86" s="174"/>
      <c r="J86" s="174"/>
      <c r="K86" s="20"/>
      <c r="L86" s="174"/>
    </row>
    <row r="87" spans="1:12" ht="12.75">
      <c r="A87" s="60" t="s">
        <v>278</v>
      </c>
      <c r="B87" s="98">
        <f>SUM(B88:B90)</f>
        <v>78350000</v>
      </c>
      <c r="C87" s="98">
        <v>32846000</v>
      </c>
      <c r="D87" s="98">
        <f>SUM(D88:D90)</f>
        <v>27271233</v>
      </c>
      <c r="E87" s="188">
        <f t="shared" si="10"/>
        <v>0.348069342693044</v>
      </c>
      <c r="F87" s="98">
        <f>SUM(F88:F90)</f>
        <v>5759641</v>
      </c>
      <c r="G87" s="60" t="s">
        <v>278</v>
      </c>
      <c r="H87" s="174">
        <f>SUM(H88:H90)</f>
        <v>78350</v>
      </c>
      <c r="I87" s="18">
        <f>ROUND(C87/1000,0)</f>
        <v>32846</v>
      </c>
      <c r="J87" s="174">
        <f>SUM(J88:J90)</f>
        <v>27272</v>
      </c>
      <c r="K87" s="20">
        <f t="shared" si="11"/>
        <v>0.34807913209955327</v>
      </c>
      <c r="L87" s="174">
        <f>SUM(L88:L90)</f>
        <v>5760</v>
      </c>
    </row>
    <row r="88" spans="1:12" ht="12.75">
      <c r="A88" s="60" t="s">
        <v>301</v>
      </c>
      <c r="B88" s="98">
        <v>7500000</v>
      </c>
      <c r="C88" s="98"/>
      <c r="D88" s="98">
        <v>4692702</v>
      </c>
      <c r="E88" s="188">
        <f t="shared" si="10"/>
        <v>0.6256936</v>
      </c>
      <c r="F88" s="98">
        <f>D88-'[5]Maijs'!D88</f>
        <v>713963</v>
      </c>
      <c r="G88" s="60" t="s">
        <v>301</v>
      </c>
      <c r="H88" s="18">
        <f>ROUND(B88/1000,0)</f>
        <v>7500</v>
      </c>
      <c r="I88" s="18">
        <f>ROUND(C88/1000,0)</f>
        <v>0</v>
      </c>
      <c r="J88" s="18">
        <f>ROUND(D88/1000,0)</f>
        <v>4693</v>
      </c>
      <c r="K88" s="20">
        <f t="shared" si="11"/>
        <v>0.6257333333333334</v>
      </c>
      <c r="L88" s="18">
        <f>J88-'[5]Maijs'!J88</f>
        <v>714</v>
      </c>
    </row>
    <row r="89" spans="1:12" ht="12.75">
      <c r="A89" s="60" t="s">
        <v>302</v>
      </c>
      <c r="B89" s="98">
        <v>70800000</v>
      </c>
      <c r="C89" s="98"/>
      <c r="D89" s="98">
        <v>22564684</v>
      </c>
      <c r="E89" s="188">
        <f t="shared" si="10"/>
        <v>0.3187102259887006</v>
      </c>
      <c r="F89" s="98">
        <f>D89-'[5]Maijs'!D89</f>
        <v>5040871</v>
      </c>
      <c r="G89" s="60" t="s">
        <v>302</v>
      </c>
      <c r="H89" s="18">
        <f>ROUND(B89/1000,0)</f>
        <v>70800</v>
      </c>
      <c r="I89" s="18">
        <f>ROUND(C89/1000,0)</f>
        <v>0</v>
      </c>
      <c r="J89" s="18">
        <f>ROUND(D89/1000,0)</f>
        <v>22565</v>
      </c>
      <c r="K89" s="20">
        <f t="shared" si="11"/>
        <v>0.3187146892655367</v>
      </c>
      <c r="L89" s="18">
        <f>J89-'[5]Maijs'!J89</f>
        <v>5041</v>
      </c>
    </row>
    <row r="90" spans="1:12" ht="12.75">
      <c r="A90" s="60" t="s">
        <v>303</v>
      </c>
      <c r="B90" s="98">
        <v>50000</v>
      </c>
      <c r="C90" s="98"/>
      <c r="D90" s="98">
        <v>13847</v>
      </c>
      <c r="E90" s="188">
        <f t="shared" si="10"/>
        <v>0.27694</v>
      </c>
      <c r="F90" s="98">
        <f>D90-'[5]Maijs'!D90</f>
        <v>4807</v>
      </c>
      <c r="G90" s="60" t="s">
        <v>303</v>
      </c>
      <c r="H90" s="18">
        <f>ROUND(B90/1000,0)</f>
        <v>50</v>
      </c>
      <c r="I90" s="18">
        <f>ROUND(C90/1000,0)</f>
        <v>0</v>
      </c>
      <c r="J90" s="18">
        <f>ROUND(D90/1000,0)</f>
        <v>14</v>
      </c>
      <c r="K90" s="20">
        <f t="shared" si="11"/>
        <v>0.28</v>
      </c>
      <c r="L90" s="18">
        <f>J90-'[5]Maijs'!J90</f>
        <v>5</v>
      </c>
    </row>
    <row r="91" spans="1:12" ht="12.75">
      <c r="A91" s="60" t="s">
        <v>279</v>
      </c>
      <c r="B91" s="98">
        <f>B92+B93</f>
        <v>100570000</v>
      </c>
      <c r="C91" s="98">
        <f>C92+C93</f>
        <v>45623340</v>
      </c>
      <c r="D91" s="98">
        <f>D92+D93</f>
        <v>37630277</v>
      </c>
      <c r="E91" s="188">
        <f t="shared" si="10"/>
        <v>0.3741700009943323</v>
      </c>
      <c r="F91" s="98">
        <f>F92+F93</f>
        <v>8479472</v>
      </c>
      <c r="G91" s="60" t="s">
        <v>279</v>
      </c>
      <c r="H91" s="174">
        <f>H92+H93</f>
        <v>100570</v>
      </c>
      <c r="I91" s="174">
        <f>I92+I93</f>
        <v>45623</v>
      </c>
      <c r="J91" s="174">
        <f>J92+J93</f>
        <v>37630</v>
      </c>
      <c r="K91" s="20">
        <f t="shared" si="11"/>
        <v>0.3741672466938451</v>
      </c>
      <c r="L91" s="174">
        <f>L92+L93</f>
        <v>8479</v>
      </c>
    </row>
    <row r="92" spans="1:12" ht="12.75">
      <c r="A92" s="60" t="s">
        <v>271</v>
      </c>
      <c r="B92" s="98">
        <v>67084217</v>
      </c>
      <c r="C92" s="98">
        <v>32422162</v>
      </c>
      <c r="D92" s="98">
        <v>26778192</v>
      </c>
      <c r="E92" s="188">
        <f t="shared" si="10"/>
        <v>0.3991727592199518</v>
      </c>
      <c r="F92" s="98">
        <f>D92-'[5]Maijs'!D92</f>
        <v>4170625</v>
      </c>
      <c r="G92" s="60" t="s">
        <v>271</v>
      </c>
      <c r="H92" s="18">
        <f aca="true" t="shared" si="14" ref="H92:J95">ROUND(B92/1000,0)</f>
        <v>67084</v>
      </c>
      <c r="I92" s="18">
        <f t="shared" si="14"/>
        <v>32422</v>
      </c>
      <c r="J92" s="18">
        <f t="shared" si="14"/>
        <v>26778</v>
      </c>
      <c r="K92" s="20">
        <f t="shared" si="11"/>
        <v>0.399171188360861</v>
      </c>
      <c r="L92" s="18">
        <f>J92-'[5]Maijs'!J92</f>
        <v>4170</v>
      </c>
    </row>
    <row r="93" spans="1:12" ht="12.75">
      <c r="A93" s="60" t="s">
        <v>304</v>
      </c>
      <c r="B93" s="98">
        <v>33485783</v>
      </c>
      <c r="C93" s="98">
        <v>13201178</v>
      </c>
      <c r="D93" s="98">
        <v>10852085</v>
      </c>
      <c r="E93" s="188">
        <f t="shared" si="10"/>
        <v>0.32408037166101206</v>
      </c>
      <c r="F93" s="98">
        <f>D93-'[5]Maijs'!D93</f>
        <v>4308847</v>
      </c>
      <c r="G93" s="60" t="s">
        <v>304</v>
      </c>
      <c r="H93" s="18">
        <f t="shared" si="14"/>
        <v>33486</v>
      </c>
      <c r="I93" s="18">
        <f t="shared" si="14"/>
        <v>13201</v>
      </c>
      <c r="J93" s="18">
        <f t="shared" si="14"/>
        <v>10852</v>
      </c>
      <c r="K93" s="20">
        <f t="shared" si="11"/>
        <v>0.32407573314220867</v>
      </c>
      <c r="L93" s="18">
        <f>J93-'[5]Maijs'!J93</f>
        <v>4309</v>
      </c>
    </row>
    <row r="94" spans="1:12" ht="15.75" customHeight="1">
      <c r="A94" s="60" t="s">
        <v>275</v>
      </c>
      <c r="B94" s="98">
        <f>B87-B91</f>
        <v>-22220000</v>
      </c>
      <c r="C94" s="98">
        <f>C87-C91</f>
        <v>-12777340</v>
      </c>
      <c r="D94" s="98">
        <f>D87-D91</f>
        <v>-10359044</v>
      </c>
      <c r="E94" s="188">
        <f t="shared" si="10"/>
        <v>0.466203600360036</v>
      </c>
      <c r="F94" s="98">
        <f>F87-F91</f>
        <v>-2719831</v>
      </c>
      <c r="G94" s="60" t="s">
        <v>275</v>
      </c>
      <c r="H94" s="174">
        <f>H87-H91</f>
        <v>-22220</v>
      </c>
      <c r="I94" s="174">
        <f>I87-I91</f>
        <v>-12777</v>
      </c>
      <c r="J94" s="174">
        <f>J87-J91</f>
        <v>-10358</v>
      </c>
      <c r="K94" s="20">
        <f t="shared" si="11"/>
        <v>0.46615661566156613</v>
      </c>
      <c r="L94" s="174">
        <f>L87-L91</f>
        <v>-2719</v>
      </c>
    </row>
    <row r="95" spans="1:12" ht="15.75" customHeight="1">
      <c r="A95" s="60" t="s">
        <v>276</v>
      </c>
      <c r="B95" s="98">
        <f>-B94</f>
        <v>22220000</v>
      </c>
      <c r="C95" s="98">
        <f>-C94</f>
        <v>12777340</v>
      </c>
      <c r="D95" s="98">
        <v>6216167</v>
      </c>
      <c r="E95" s="188">
        <f t="shared" si="10"/>
        <v>0.2797554905490549</v>
      </c>
      <c r="F95" s="98">
        <f>D95-'[5]Maijs'!D95</f>
        <v>2758867</v>
      </c>
      <c r="G95" s="60" t="s">
        <v>276</v>
      </c>
      <c r="H95" s="174">
        <f>-H94</f>
        <v>22220</v>
      </c>
      <c r="I95" s="174">
        <f>-I94</f>
        <v>12777</v>
      </c>
      <c r="J95" s="18">
        <f t="shared" si="14"/>
        <v>6216</v>
      </c>
      <c r="K95" s="20">
        <f t="shared" si="11"/>
        <v>0.27974797479747976</v>
      </c>
      <c r="L95" s="18">
        <f>J95-'[5]Maijs'!J95</f>
        <v>2759</v>
      </c>
    </row>
    <row r="96" spans="1:12" ht="16.5" customHeight="1">
      <c r="A96" s="192" t="s">
        <v>305</v>
      </c>
      <c r="B96" s="98"/>
      <c r="C96" s="98"/>
      <c r="D96" s="98"/>
      <c r="E96" s="188" t="str">
        <f t="shared" si="10"/>
        <v> </v>
      </c>
      <c r="F96" s="98"/>
      <c r="G96" s="192" t="s">
        <v>305</v>
      </c>
      <c r="H96" s="174"/>
      <c r="I96" s="174"/>
      <c r="J96" s="174"/>
      <c r="K96" s="20"/>
      <c r="L96" s="18"/>
    </row>
    <row r="97" spans="1:12" ht="12.75">
      <c r="A97" s="60" t="s">
        <v>278</v>
      </c>
      <c r="B97" s="98">
        <f>B98+B99</f>
        <v>23013279</v>
      </c>
      <c r="C97" s="98">
        <f>C98+C99</f>
        <v>0</v>
      </c>
      <c r="D97" s="98">
        <f>D98+D99</f>
        <v>0</v>
      </c>
      <c r="E97" s="188">
        <f t="shared" si="10"/>
        <v>0</v>
      </c>
      <c r="F97" s="98">
        <f>F98+F99</f>
        <v>0</v>
      </c>
      <c r="G97" s="60" t="s">
        <v>278</v>
      </c>
      <c r="H97" s="174">
        <f>H98+H99</f>
        <v>23013</v>
      </c>
      <c r="I97" s="174">
        <f>I98+I99</f>
        <v>0</v>
      </c>
      <c r="J97" s="174">
        <f>J98+J99</f>
        <v>0</v>
      </c>
      <c r="K97" s="20">
        <f t="shared" si="11"/>
        <v>0</v>
      </c>
      <c r="L97" s="174">
        <f>L98+L99</f>
        <v>0</v>
      </c>
    </row>
    <row r="98" spans="1:12" ht="12.75">
      <c r="A98" s="60" t="s">
        <v>218</v>
      </c>
      <c r="B98" s="98">
        <v>19278279</v>
      </c>
      <c r="C98" s="98"/>
      <c r="D98" s="98"/>
      <c r="E98" s="188">
        <f t="shared" si="10"/>
        <v>0</v>
      </c>
      <c r="F98" s="98">
        <f>D98-'[5]Maijs'!D98</f>
        <v>0</v>
      </c>
      <c r="G98" s="60" t="s">
        <v>218</v>
      </c>
      <c r="H98" s="18">
        <f aca="true" t="shared" si="15" ref="H98:J99">ROUND(B98/1000,0)</f>
        <v>19278</v>
      </c>
      <c r="I98" s="18">
        <f t="shared" si="15"/>
        <v>0</v>
      </c>
      <c r="J98" s="18">
        <f t="shared" si="15"/>
        <v>0</v>
      </c>
      <c r="K98" s="20">
        <f t="shared" si="11"/>
        <v>0</v>
      </c>
      <c r="L98" s="18">
        <f>J98-'[5]Maijs'!J98</f>
        <v>0</v>
      </c>
    </row>
    <row r="99" spans="1:12" ht="12.75">
      <c r="A99" s="60" t="s">
        <v>306</v>
      </c>
      <c r="B99" s="98">
        <v>3735000</v>
      </c>
      <c r="C99" s="98"/>
      <c r="D99" s="98"/>
      <c r="E99" s="188">
        <f t="shared" si="10"/>
        <v>0</v>
      </c>
      <c r="F99" s="98">
        <f>D99-'[5]Maijs'!D99</f>
        <v>0</v>
      </c>
      <c r="G99" s="60" t="s">
        <v>306</v>
      </c>
      <c r="H99" s="18">
        <f t="shared" si="15"/>
        <v>3735</v>
      </c>
      <c r="I99" s="18">
        <f t="shared" si="15"/>
        <v>0</v>
      </c>
      <c r="J99" s="18">
        <f t="shared" si="15"/>
        <v>0</v>
      </c>
      <c r="K99" s="20">
        <f t="shared" si="11"/>
        <v>0</v>
      </c>
      <c r="L99" s="18">
        <f>J99-'[5]Maijs'!J99</f>
        <v>0</v>
      </c>
    </row>
    <row r="100" spans="1:12" ht="12.75">
      <c r="A100" s="60" t="s">
        <v>279</v>
      </c>
      <c r="B100" s="98">
        <f>B101+B102</f>
        <v>23013279</v>
      </c>
      <c r="C100" s="98">
        <f>C101+C102</f>
        <v>0</v>
      </c>
      <c r="D100" s="98">
        <f>D101+D102</f>
        <v>0</v>
      </c>
      <c r="E100" s="188">
        <f t="shared" si="10"/>
        <v>0</v>
      </c>
      <c r="F100" s="98">
        <f>F101+F102</f>
        <v>0</v>
      </c>
      <c r="G100" s="60" t="s">
        <v>279</v>
      </c>
      <c r="H100" s="174">
        <f>H101+H102</f>
        <v>23013</v>
      </c>
      <c r="I100" s="174">
        <f>I101+I102</f>
        <v>0</v>
      </c>
      <c r="J100" s="174">
        <f>J101+J102</f>
        <v>0</v>
      </c>
      <c r="K100" s="20">
        <f t="shared" si="11"/>
        <v>0</v>
      </c>
      <c r="L100" s="174">
        <f>L101+L102</f>
        <v>0</v>
      </c>
    </row>
    <row r="101" spans="1:12" ht="12.75">
      <c r="A101" s="60" t="s">
        <v>271</v>
      </c>
      <c r="B101" s="98">
        <v>14999136</v>
      </c>
      <c r="C101" s="98"/>
      <c r="D101" s="98"/>
      <c r="E101" s="188">
        <f t="shared" si="10"/>
        <v>0</v>
      </c>
      <c r="F101" s="98">
        <f>D101-'[5]Maijs'!D101</f>
        <v>0</v>
      </c>
      <c r="G101" s="60" t="s">
        <v>271</v>
      </c>
      <c r="H101" s="18">
        <f aca="true" t="shared" si="16" ref="H101:J102">ROUND(B101/1000,0)</f>
        <v>14999</v>
      </c>
      <c r="I101" s="18">
        <f t="shared" si="16"/>
        <v>0</v>
      </c>
      <c r="J101" s="18">
        <f t="shared" si="16"/>
        <v>0</v>
      </c>
      <c r="K101" s="20">
        <f t="shared" si="11"/>
        <v>0</v>
      </c>
      <c r="L101" s="18">
        <f>J101-'[5]Maijs'!J101</f>
        <v>0</v>
      </c>
    </row>
    <row r="102" spans="1:12" ht="12.75">
      <c r="A102" s="60" t="s">
        <v>272</v>
      </c>
      <c r="B102" s="98">
        <v>8014143</v>
      </c>
      <c r="C102" s="98"/>
      <c r="D102" s="98"/>
      <c r="E102" s="188">
        <f t="shared" si="10"/>
        <v>0</v>
      </c>
      <c r="F102" s="98">
        <f>D102-'[5]Maijs'!D102</f>
        <v>0</v>
      </c>
      <c r="G102" s="60" t="s">
        <v>272</v>
      </c>
      <c r="H102" s="18">
        <f t="shared" si="16"/>
        <v>8014</v>
      </c>
      <c r="I102" s="18">
        <f t="shared" si="16"/>
        <v>0</v>
      </c>
      <c r="J102" s="18">
        <f t="shared" si="16"/>
        <v>0</v>
      </c>
      <c r="K102" s="20">
        <f t="shared" si="11"/>
        <v>0</v>
      </c>
      <c r="L102" s="18">
        <f>J102-'[5]Maijs'!J102</f>
        <v>0</v>
      </c>
    </row>
    <row r="103" spans="1:12" ht="15.75" customHeight="1">
      <c r="A103" s="192" t="s">
        <v>307</v>
      </c>
      <c r="B103" s="98"/>
      <c r="C103" s="98"/>
      <c r="D103" s="98"/>
      <c r="E103" s="188" t="str">
        <f t="shared" si="10"/>
        <v> </v>
      </c>
      <c r="F103" s="98"/>
      <c r="G103" s="192" t="s">
        <v>307</v>
      </c>
      <c r="H103" s="174"/>
      <c r="I103" s="174"/>
      <c r="J103" s="174"/>
      <c r="K103" s="20"/>
      <c r="L103" s="174"/>
    </row>
    <row r="104" spans="1:12" ht="12.75">
      <c r="A104" s="60" t="s">
        <v>278</v>
      </c>
      <c r="B104" s="98">
        <f>B105+B106</f>
        <v>840000</v>
      </c>
      <c r="C104" s="98">
        <v>604845</v>
      </c>
      <c r="D104" s="98">
        <f>D105+D106</f>
        <v>390345</v>
      </c>
      <c r="E104" s="188">
        <f t="shared" si="10"/>
        <v>0.46469642857142857</v>
      </c>
      <c r="F104" s="98">
        <f>F105+F106</f>
        <v>83345</v>
      </c>
      <c r="G104" s="60" t="s">
        <v>278</v>
      </c>
      <c r="H104" s="174">
        <f>H105+H106</f>
        <v>840</v>
      </c>
      <c r="I104" s="18">
        <f>ROUND(C104/1000,0)</f>
        <v>605</v>
      </c>
      <c r="J104" s="174">
        <f>J105+J106</f>
        <v>390</v>
      </c>
      <c r="K104" s="20">
        <f t="shared" si="11"/>
        <v>0.4642857142857143</v>
      </c>
      <c r="L104" s="174">
        <f>L105+L106</f>
        <v>83</v>
      </c>
    </row>
    <row r="105" spans="1:12" ht="12.75">
      <c r="A105" s="60" t="s">
        <v>308</v>
      </c>
      <c r="B105" s="98">
        <v>840000</v>
      </c>
      <c r="C105" s="98"/>
      <c r="D105" s="98">
        <v>383299</v>
      </c>
      <c r="E105" s="188">
        <f t="shared" si="10"/>
        <v>0.4563083333333333</v>
      </c>
      <c r="F105" s="98">
        <f>D105-'[5]Maijs'!D105</f>
        <v>83064</v>
      </c>
      <c r="G105" s="60" t="s">
        <v>308</v>
      </c>
      <c r="H105" s="18">
        <f>ROUND(B105/1000,0)</f>
        <v>840</v>
      </c>
      <c r="I105" s="18">
        <f>ROUND(C105/1000,0)</f>
        <v>0</v>
      </c>
      <c r="J105" s="18">
        <f>ROUND(D105/1000,0)</f>
        <v>383</v>
      </c>
      <c r="K105" s="20">
        <f t="shared" si="11"/>
        <v>0.45595238095238094</v>
      </c>
      <c r="L105" s="18">
        <f>J105-'[5]Maijs'!J105</f>
        <v>83</v>
      </c>
    </row>
    <row r="106" spans="1:12" ht="12.75">
      <c r="A106" s="60" t="s">
        <v>284</v>
      </c>
      <c r="B106" s="98"/>
      <c r="C106" s="98"/>
      <c r="D106" s="98">
        <v>7046</v>
      </c>
      <c r="E106" s="188" t="str">
        <f t="shared" si="10"/>
        <v> </v>
      </c>
      <c r="F106" s="98">
        <f>D106-'[5]Maijs'!D106</f>
        <v>281</v>
      </c>
      <c r="G106" s="60" t="s">
        <v>284</v>
      </c>
      <c r="H106" s="18">
        <f>ROUND(B106/1000,0)</f>
        <v>0</v>
      </c>
      <c r="I106" s="18">
        <f>ROUND(C106/1000,0)</f>
        <v>0</v>
      </c>
      <c r="J106" s="18">
        <f>ROUND(D106/1000,0)</f>
        <v>7</v>
      </c>
      <c r="K106" s="20" t="str">
        <f t="shared" si="11"/>
        <v> </v>
      </c>
      <c r="L106" s="18">
        <f>J106-'[5]Maijs'!J106</f>
        <v>0</v>
      </c>
    </row>
    <row r="107" spans="1:12" ht="12.75">
      <c r="A107" s="60" t="s">
        <v>279</v>
      </c>
      <c r="B107" s="98">
        <f>B108+B109</f>
        <v>840000</v>
      </c>
      <c r="C107" s="98">
        <f>C108+C109</f>
        <v>596845</v>
      </c>
      <c r="D107" s="98">
        <f>D108+D109</f>
        <v>339341</v>
      </c>
      <c r="E107" s="188">
        <f t="shared" si="10"/>
        <v>0.40397738095238095</v>
      </c>
      <c r="F107" s="98">
        <f>F108+F109</f>
        <v>100651</v>
      </c>
      <c r="G107" s="60" t="s">
        <v>279</v>
      </c>
      <c r="H107" s="174">
        <f>H108+H109</f>
        <v>840</v>
      </c>
      <c r="I107" s="174">
        <f>I108+I109</f>
        <v>597</v>
      </c>
      <c r="J107" s="174">
        <f>J108+J109</f>
        <v>339</v>
      </c>
      <c r="K107" s="20">
        <f t="shared" si="11"/>
        <v>0.4035714285714286</v>
      </c>
      <c r="L107" s="174">
        <f>L108+L109</f>
        <v>100</v>
      </c>
    </row>
    <row r="108" spans="1:12" ht="12.75">
      <c r="A108" s="60" t="s">
        <v>271</v>
      </c>
      <c r="B108" s="98">
        <v>487506</v>
      </c>
      <c r="C108" s="98">
        <v>336190</v>
      </c>
      <c r="D108" s="98">
        <v>242159</v>
      </c>
      <c r="E108" s="188">
        <f t="shared" si="10"/>
        <v>0.49673029665275914</v>
      </c>
      <c r="F108" s="98">
        <f>D108-'[5]Maijs'!D108</f>
        <v>43651</v>
      </c>
      <c r="G108" s="60" t="s">
        <v>271</v>
      </c>
      <c r="H108" s="18">
        <f aca="true" t="shared" si="17" ref="H108:J109">ROUND(B108/1000,0)</f>
        <v>488</v>
      </c>
      <c r="I108" s="18">
        <f t="shared" si="17"/>
        <v>336</v>
      </c>
      <c r="J108" s="18">
        <f t="shared" si="17"/>
        <v>242</v>
      </c>
      <c r="K108" s="20">
        <f t="shared" si="11"/>
        <v>0.4959016393442623</v>
      </c>
      <c r="L108" s="18">
        <f>J108-'[5]Maijs'!J108</f>
        <v>43</v>
      </c>
    </row>
    <row r="109" spans="1:12" ht="12.75">
      <c r="A109" s="60" t="s">
        <v>272</v>
      </c>
      <c r="B109" s="98">
        <v>352494</v>
      </c>
      <c r="C109" s="98">
        <v>260655</v>
      </c>
      <c r="D109" s="98">
        <v>97182</v>
      </c>
      <c r="E109" s="188">
        <f t="shared" si="10"/>
        <v>0.275698309758464</v>
      </c>
      <c r="F109" s="98">
        <f>D109-'[5]Maijs'!D109</f>
        <v>57000</v>
      </c>
      <c r="G109" s="60" t="s">
        <v>272</v>
      </c>
      <c r="H109" s="18">
        <f t="shared" si="17"/>
        <v>352</v>
      </c>
      <c r="I109" s="18">
        <f t="shared" si="17"/>
        <v>261</v>
      </c>
      <c r="J109" s="18">
        <f>ROUND(D109/1000,0)</f>
        <v>97</v>
      </c>
      <c r="K109" s="20">
        <f t="shared" si="11"/>
        <v>0.2755681818181818</v>
      </c>
      <c r="L109" s="18">
        <f>J109-'[5]Maijs'!J109</f>
        <v>57</v>
      </c>
    </row>
    <row r="110" spans="1:12" ht="16.5" customHeight="1">
      <c r="A110" s="192" t="s">
        <v>309</v>
      </c>
      <c r="B110" s="98"/>
      <c r="C110" s="98"/>
      <c r="D110" s="98"/>
      <c r="E110" s="188" t="str">
        <f t="shared" si="10"/>
        <v> </v>
      </c>
      <c r="F110" s="98"/>
      <c r="G110" s="192" t="s">
        <v>309</v>
      </c>
      <c r="H110" s="174"/>
      <c r="I110" s="174"/>
      <c r="J110" s="174"/>
      <c r="K110" s="20"/>
      <c r="L110" s="174"/>
    </row>
    <row r="111" spans="1:12" ht="12.75">
      <c r="A111" s="60" t="s">
        <v>278</v>
      </c>
      <c r="B111" s="98">
        <v>1881705</v>
      </c>
      <c r="C111" s="98">
        <v>1795439</v>
      </c>
      <c r="D111" s="98">
        <v>1039198</v>
      </c>
      <c r="E111" s="188">
        <f t="shared" si="10"/>
        <v>0.552264037136533</v>
      </c>
      <c r="F111" s="98">
        <f>D111-'[5]Maijs'!D111</f>
        <v>196717</v>
      </c>
      <c r="G111" s="60" t="s">
        <v>278</v>
      </c>
      <c r="H111" s="18">
        <f>ROUND(B111/1000,0)</f>
        <v>1882</v>
      </c>
      <c r="I111" s="18">
        <f>ROUND(C111/1000,0)</f>
        <v>1795</v>
      </c>
      <c r="J111" s="18">
        <f>ROUND(D111/1000,0)</f>
        <v>1039</v>
      </c>
      <c r="K111" s="20">
        <f t="shared" si="11"/>
        <v>0.5520722635494155</v>
      </c>
      <c r="L111" s="18">
        <f>J111-'[5]Maijs'!J111</f>
        <v>197</v>
      </c>
    </row>
    <row r="112" spans="1:12" ht="12.75">
      <c r="A112" s="60" t="s">
        <v>279</v>
      </c>
      <c r="B112" s="98">
        <f>B113</f>
        <v>1881705</v>
      </c>
      <c r="C112" s="98">
        <f>C113</f>
        <v>1795439</v>
      </c>
      <c r="D112" s="98">
        <f>D113</f>
        <v>1566482</v>
      </c>
      <c r="E112" s="188">
        <f t="shared" si="10"/>
        <v>0.8324801177655371</v>
      </c>
      <c r="F112" s="98">
        <f>F113</f>
        <v>485316</v>
      </c>
      <c r="G112" s="60" t="s">
        <v>279</v>
      </c>
      <c r="H112" s="174">
        <f>H113</f>
        <v>1882</v>
      </c>
      <c r="I112" s="174">
        <f>I113</f>
        <v>1795</v>
      </c>
      <c r="J112" s="174">
        <f>J113</f>
        <v>1566</v>
      </c>
      <c r="K112" s="20">
        <f t="shared" si="11"/>
        <v>0.8320935175345378</v>
      </c>
      <c r="L112" s="174">
        <f>L113</f>
        <v>485</v>
      </c>
    </row>
    <row r="113" spans="1:12" ht="12.75">
      <c r="A113" s="60" t="s">
        <v>272</v>
      </c>
      <c r="B113" s="98">
        <v>1881705</v>
      </c>
      <c r="C113" s="98">
        <v>1795439</v>
      </c>
      <c r="D113" s="98">
        <v>1566482</v>
      </c>
      <c r="E113" s="188">
        <f t="shared" si="10"/>
        <v>0.8324801177655371</v>
      </c>
      <c r="F113" s="98">
        <f>D113-'[5]Maijs'!D113</f>
        <v>485316</v>
      </c>
      <c r="G113" s="60" t="s">
        <v>272</v>
      </c>
      <c r="H113" s="18">
        <f>ROUND(B113/1000,0)</f>
        <v>1882</v>
      </c>
      <c r="I113" s="18">
        <f>ROUND(C113/1000,0)</f>
        <v>1795</v>
      </c>
      <c r="J113" s="18">
        <f>ROUND(D113/1000,0)</f>
        <v>1566</v>
      </c>
      <c r="K113" s="20">
        <f t="shared" si="11"/>
        <v>0.8320935175345378</v>
      </c>
      <c r="L113" s="18">
        <f>J113-'[5]Maijs'!J113</f>
        <v>485</v>
      </c>
    </row>
    <row r="114" spans="1:12" ht="15" customHeight="1">
      <c r="A114" s="9" t="s">
        <v>185</v>
      </c>
      <c r="B114" s="98"/>
      <c r="C114" s="98"/>
      <c r="D114" s="98"/>
      <c r="E114" s="188" t="str">
        <f t="shared" si="10"/>
        <v> </v>
      </c>
      <c r="F114" s="98"/>
      <c r="G114" s="9" t="s">
        <v>185</v>
      </c>
      <c r="H114" s="174"/>
      <c r="I114" s="174"/>
      <c r="J114" s="174"/>
      <c r="K114" s="20"/>
      <c r="L114" s="174"/>
    </row>
    <row r="115" spans="1:12" ht="15.75" customHeight="1">
      <c r="A115" s="192" t="s">
        <v>310</v>
      </c>
      <c r="B115" s="98"/>
      <c r="C115" s="98"/>
      <c r="D115" s="98"/>
      <c r="E115" s="188" t="str">
        <f t="shared" si="10"/>
        <v> </v>
      </c>
      <c r="F115" s="98"/>
      <c r="G115" s="192" t="s">
        <v>310</v>
      </c>
      <c r="H115" s="174"/>
      <c r="I115" s="174"/>
      <c r="J115" s="174"/>
      <c r="K115" s="20"/>
      <c r="L115" s="174"/>
    </row>
    <row r="116" spans="1:12" ht="12.75">
      <c r="A116" s="60" t="s">
        <v>278</v>
      </c>
      <c r="B116" s="98">
        <f>SUM(B117:B119)</f>
        <v>479841299</v>
      </c>
      <c r="C116" s="98">
        <f>36125915+36707916+37245916+38083147+39168533+40272492</f>
        <v>227603919</v>
      </c>
      <c r="D116" s="98">
        <f>SUM(D117:D119)</f>
        <v>216435194</v>
      </c>
      <c r="E116" s="188">
        <f t="shared" si="10"/>
        <v>0.4510557854254225</v>
      </c>
      <c r="F116" s="98">
        <f>SUM(F117:F119)</f>
        <v>37245950</v>
      </c>
      <c r="G116" s="60" t="s">
        <v>278</v>
      </c>
      <c r="H116" s="174">
        <f>SUM(H117:H119)</f>
        <v>479841</v>
      </c>
      <c r="I116" s="18">
        <f aca="true" t="shared" si="18" ref="H116:J119">ROUND(C116/1000,0)</f>
        <v>227604</v>
      </c>
      <c r="J116" s="174">
        <f>SUM(J117:J119)</f>
        <v>216436</v>
      </c>
      <c r="K116" s="20">
        <f t="shared" si="11"/>
        <v>0.451057746211766</v>
      </c>
      <c r="L116" s="18">
        <f>SUM(L117:L119)</f>
        <v>37246</v>
      </c>
    </row>
    <row r="117" spans="1:33" s="175" customFormat="1" ht="12.75">
      <c r="A117" s="193" t="s">
        <v>311</v>
      </c>
      <c r="B117" s="105">
        <v>472550000</v>
      </c>
      <c r="C117" s="105"/>
      <c r="D117" s="105">
        <v>212928626</v>
      </c>
      <c r="E117" s="188">
        <f t="shared" si="10"/>
        <v>0.45059491270765</v>
      </c>
      <c r="F117" s="98">
        <f>D117-'[5]Maijs'!D117</f>
        <v>36446109</v>
      </c>
      <c r="G117" s="60" t="s">
        <v>311</v>
      </c>
      <c r="H117" s="18">
        <f t="shared" si="18"/>
        <v>472550</v>
      </c>
      <c r="I117" s="18">
        <f t="shared" si="18"/>
        <v>0</v>
      </c>
      <c r="J117" s="18">
        <f t="shared" si="18"/>
        <v>212929</v>
      </c>
      <c r="K117" s="20">
        <f t="shared" si="11"/>
        <v>0.45059570415829014</v>
      </c>
      <c r="L117" s="18">
        <f>J117-'[5]Maijs'!J117</f>
        <v>36446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175" customFormat="1" ht="12.75">
      <c r="A118" s="193" t="s">
        <v>312</v>
      </c>
      <c r="B118" s="105">
        <v>5687299</v>
      </c>
      <c r="C118" s="105"/>
      <c r="D118" s="105">
        <f>910500+74262+1708932</f>
        <v>2693694</v>
      </c>
      <c r="E118" s="188">
        <f t="shared" si="10"/>
        <v>0.473633265984433</v>
      </c>
      <c r="F118" s="98">
        <f>D118-'[5]Maijs'!D118</f>
        <v>663978</v>
      </c>
      <c r="G118" s="60" t="s">
        <v>312</v>
      </c>
      <c r="H118" s="18">
        <f t="shared" si="18"/>
        <v>5687</v>
      </c>
      <c r="I118" s="18">
        <f t="shared" si="18"/>
        <v>0</v>
      </c>
      <c r="J118" s="18">
        <f t="shared" si="18"/>
        <v>2694</v>
      </c>
      <c r="K118" s="20">
        <f t="shared" si="11"/>
        <v>0.47371197467909265</v>
      </c>
      <c r="L118" s="18">
        <f>J118-'[5]Maijs'!J118</f>
        <v>664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175" customFormat="1" ht="12.75">
      <c r="A119" s="193" t="s">
        <v>313</v>
      </c>
      <c r="B119" s="105">
        <v>1604000</v>
      </c>
      <c r="C119" s="105"/>
      <c r="D119" s="105">
        <v>812874</v>
      </c>
      <c r="E119" s="188">
        <f t="shared" si="10"/>
        <v>0.5067793017456359</v>
      </c>
      <c r="F119" s="98">
        <f>D119-'[5]Maijs'!D119</f>
        <v>135863</v>
      </c>
      <c r="G119" s="60" t="s">
        <v>313</v>
      </c>
      <c r="H119" s="18">
        <f t="shared" si="18"/>
        <v>1604</v>
      </c>
      <c r="I119" s="18">
        <f t="shared" si="18"/>
        <v>0</v>
      </c>
      <c r="J119" s="18">
        <f>ROUND(D119/1000,0)</f>
        <v>813</v>
      </c>
      <c r="K119" s="20">
        <f t="shared" si="11"/>
        <v>0.506857855361596</v>
      </c>
      <c r="L119" s="18">
        <f>J119-'[5]Maijs'!J119</f>
        <v>136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175" customFormat="1" ht="12.75">
      <c r="A120" s="60" t="s">
        <v>279</v>
      </c>
      <c r="B120" s="98">
        <v>510061089</v>
      </c>
      <c r="C120" s="98">
        <f>SUM(C121:C122)</f>
        <v>258001901</v>
      </c>
      <c r="D120" s="98">
        <f>SUM(D121:D122)</f>
        <v>254359376</v>
      </c>
      <c r="E120" s="188">
        <f t="shared" si="10"/>
        <v>0.4986841409500265</v>
      </c>
      <c r="F120" s="98">
        <f>SUM(F121:F122)</f>
        <v>45123477</v>
      </c>
      <c r="G120" s="60" t="s">
        <v>279</v>
      </c>
      <c r="H120" s="98">
        <f>SUM(H121:H122)</f>
        <v>510061</v>
      </c>
      <c r="I120" s="98">
        <f>SUM(I121:I122)</f>
        <v>258002</v>
      </c>
      <c r="J120" s="98">
        <f>SUM(J121:J122)</f>
        <v>254359</v>
      </c>
      <c r="K120" s="20">
        <f t="shared" si="11"/>
        <v>0.49868349079815943</v>
      </c>
      <c r="L120" s="174">
        <f>SUM(L121:L122)</f>
        <v>45123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12" ht="12.75">
      <c r="A121" s="60" t="s">
        <v>271</v>
      </c>
      <c r="B121" s="98">
        <v>504568273</v>
      </c>
      <c r="C121" s="98">
        <f>37828437+41772077+45619032+40393708+43914085+46026376</f>
        <v>255553715</v>
      </c>
      <c r="D121" s="98">
        <v>253006984</v>
      </c>
      <c r="E121" s="188">
        <f t="shared" si="10"/>
        <v>0.5014326059300205</v>
      </c>
      <c r="F121" s="98">
        <f>D121-'[5]Maijs'!D121</f>
        <v>44959455</v>
      </c>
      <c r="G121" s="60" t="s">
        <v>271</v>
      </c>
      <c r="H121" s="18">
        <f aca="true" t="shared" si="19" ref="H121:J124">ROUND(B121/1000,0)</f>
        <v>504568</v>
      </c>
      <c r="I121" s="18">
        <f t="shared" si="19"/>
        <v>255554</v>
      </c>
      <c r="J121" s="18">
        <f t="shared" si="19"/>
        <v>253007</v>
      </c>
      <c r="K121" s="20">
        <f t="shared" si="11"/>
        <v>0.5014329089438886</v>
      </c>
      <c r="L121" s="18">
        <f>J121-'[5]Maijs'!J121</f>
        <v>44959</v>
      </c>
    </row>
    <row r="122" spans="1:12" ht="12.75">
      <c r="A122" s="60" t="s">
        <v>272</v>
      </c>
      <c r="B122" s="98">
        <v>5492816</v>
      </c>
      <c r="C122" s="98">
        <f>58000+66182+95182+787839+666269+774714</f>
        <v>2448186</v>
      </c>
      <c r="D122" s="98">
        <v>1352392</v>
      </c>
      <c r="E122" s="188">
        <f t="shared" si="10"/>
        <v>0.24621105094363255</v>
      </c>
      <c r="F122" s="98">
        <f>D122-'[5]Maijs'!D122</f>
        <v>164022</v>
      </c>
      <c r="G122" s="60" t="s">
        <v>272</v>
      </c>
      <c r="H122" s="18">
        <f t="shared" si="19"/>
        <v>5493</v>
      </c>
      <c r="I122" s="18">
        <f t="shared" si="19"/>
        <v>2448</v>
      </c>
      <c r="J122" s="18">
        <f t="shared" si="19"/>
        <v>1352</v>
      </c>
      <c r="K122" s="20">
        <f t="shared" si="11"/>
        <v>0.246131440014564</v>
      </c>
      <c r="L122" s="18">
        <f>J122-'[5]Maijs'!J122</f>
        <v>164</v>
      </c>
    </row>
    <row r="123" spans="1:12" ht="12.75">
      <c r="A123" s="60" t="s">
        <v>275</v>
      </c>
      <c r="B123" s="98">
        <v>-30219790</v>
      </c>
      <c r="C123" s="98">
        <f>SUM(C116-C120)</f>
        <v>-30397982</v>
      </c>
      <c r="D123" s="98">
        <f>SUM(D116-D120)</f>
        <v>-37924182</v>
      </c>
      <c r="E123" s="188">
        <f t="shared" si="10"/>
        <v>1.2549452527631728</v>
      </c>
      <c r="F123" s="98">
        <f>SUM(F116-F120)</f>
        <v>-7877527</v>
      </c>
      <c r="G123" s="60" t="s">
        <v>275</v>
      </c>
      <c r="H123" s="18">
        <f t="shared" si="19"/>
        <v>-30220</v>
      </c>
      <c r="I123" s="18">
        <f t="shared" si="19"/>
        <v>-30398</v>
      </c>
      <c r="J123" s="18">
        <f t="shared" si="19"/>
        <v>-37924</v>
      </c>
      <c r="K123" s="20">
        <f t="shared" si="11"/>
        <v>1.254930509596294</v>
      </c>
      <c r="L123" s="18">
        <f>J123-'[5]Maijs'!J123</f>
        <v>-7877</v>
      </c>
    </row>
    <row r="124" spans="1:12" ht="12.75">
      <c r="A124" s="60" t="s">
        <v>276</v>
      </c>
      <c r="B124" s="98">
        <v>15277816</v>
      </c>
      <c r="C124" s="98"/>
      <c r="D124" s="98">
        <f>663308+21952912</f>
        <v>22616220</v>
      </c>
      <c r="E124" s="188">
        <f t="shared" si="10"/>
        <v>1.4803306964817484</v>
      </c>
      <c r="F124" s="98">
        <f>D124-'[5]Maijs'!D124</f>
        <v>7797427</v>
      </c>
      <c r="G124" s="60" t="s">
        <v>276</v>
      </c>
      <c r="H124" s="18">
        <f t="shared" si="19"/>
        <v>15278</v>
      </c>
      <c r="I124" s="18">
        <f t="shared" si="19"/>
        <v>0</v>
      </c>
      <c r="J124" s="18">
        <f>ROUND(D124/1000,0)</f>
        <v>22616</v>
      </c>
      <c r="K124" s="20">
        <f t="shared" si="11"/>
        <v>1.4802984683859144</v>
      </c>
      <c r="L124" s="18">
        <f>J124-'[5]Maijs'!J124</f>
        <v>7797</v>
      </c>
    </row>
    <row r="125" spans="1:12" ht="12.75">
      <c r="A125" s="192" t="s">
        <v>314</v>
      </c>
      <c r="B125" s="98"/>
      <c r="C125" s="98"/>
      <c r="D125" s="98"/>
      <c r="E125" s="188" t="str">
        <f t="shared" si="10"/>
        <v> </v>
      </c>
      <c r="F125" s="98"/>
      <c r="G125" s="192" t="s">
        <v>314</v>
      </c>
      <c r="H125" s="174"/>
      <c r="I125" s="174"/>
      <c r="J125" s="174"/>
      <c r="K125" s="20"/>
      <c r="L125" s="174"/>
    </row>
    <row r="126" spans="1:12" ht="12.75">
      <c r="A126" s="60" t="s">
        <v>278</v>
      </c>
      <c r="B126" s="98">
        <f>SUM(B127:B129)</f>
        <v>378233271</v>
      </c>
      <c r="C126" s="98">
        <f>28576600+29016476+29423097+31977699+30239101+31555760</f>
        <v>180788733</v>
      </c>
      <c r="D126" s="98">
        <f>SUM(D127:D129)</f>
        <v>171837646</v>
      </c>
      <c r="E126" s="188">
        <f t="shared" si="10"/>
        <v>0.4543165796749805</v>
      </c>
      <c r="F126" s="98">
        <f>SUM(F127:F129)</f>
        <v>30147775</v>
      </c>
      <c r="G126" s="60" t="s">
        <v>278</v>
      </c>
      <c r="H126" s="174">
        <f>SUM(H127:H129)</f>
        <v>378233</v>
      </c>
      <c r="I126" s="26">
        <f aca="true" t="shared" si="20" ref="H126:J131">ROUND(C126/1000,0)</f>
        <v>180789</v>
      </c>
      <c r="J126" s="174">
        <f>SUM(J127:J129)</f>
        <v>171838</v>
      </c>
      <c r="K126" s="20">
        <f t="shared" si="11"/>
        <v>0.45431784111909856</v>
      </c>
      <c r="L126" s="18">
        <f>SUM(L127:L129)</f>
        <v>30149</v>
      </c>
    </row>
    <row r="127" spans="1:33" s="175" customFormat="1" ht="12.75">
      <c r="A127" s="193" t="s">
        <v>311</v>
      </c>
      <c r="B127" s="105">
        <v>357284400</v>
      </c>
      <c r="C127" s="105"/>
      <c r="D127" s="26">
        <v>160973601</v>
      </c>
      <c r="E127" s="188" t="str">
        <f>IF(ISERROR(#REF!/B127)," ",(#REF!/B127))</f>
        <v> </v>
      </c>
      <c r="F127" s="98">
        <f>D127-'[5]Maijs'!D127</f>
        <v>27507377</v>
      </c>
      <c r="G127" s="193" t="s">
        <v>311</v>
      </c>
      <c r="H127" s="26">
        <f t="shared" si="20"/>
        <v>357284</v>
      </c>
      <c r="I127" s="26">
        <f t="shared" si="20"/>
        <v>0</v>
      </c>
      <c r="J127" s="26">
        <f t="shared" si="20"/>
        <v>160974</v>
      </c>
      <c r="K127" s="27">
        <f t="shared" si="11"/>
        <v>0.4505491429786948</v>
      </c>
      <c r="L127" s="26">
        <f>J127-'[5]Maijs'!J127</f>
        <v>27508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175" customFormat="1" ht="12.75">
      <c r="A128" s="193" t="s">
        <v>312</v>
      </c>
      <c r="B128" s="105">
        <v>3224892</v>
      </c>
      <c r="C128" s="105"/>
      <c r="D128" s="26">
        <v>1488720</v>
      </c>
      <c r="E128" s="188" t="str">
        <f>IF(ISERROR(#REF!/B128)," ",(#REF!/B128))</f>
        <v> </v>
      </c>
      <c r="F128" s="98">
        <f>D128-'[5]Maijs'!D128</f>
        <v>445283</v>
      </c>
      <c r="G128" s="193" t="s">
        <v>312</v>
      </c>
      <c r="H128" s="26">
        <f t="shared" si="20"/>
        <v>3225</v>
      </c>
      <c r="I128" s="26">
        <f t="shared" si="20"/>
        <v>0</v>
      </c>
      <c r="J128" s="26">
        <f t="shared" si="20"/>
        <v>1489</v>
      </c>
      <c r="K128" s="27">
        <f t="shared" si="11"/>
        <v>0.4617054263565891</v>
      </c>
      <c r="L128" s="26">
        <f>J128-'[5]Maijs'!J128</f>
        <v>446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175" customFormat="1" ht="12.75">
      <c r="A129" s="193" t="s">
        <v>313</v>
      </c>
      <c r="B129" s="105">
        <v>17723979</v>
      </c>
      <c r="C129" s="105"/>
      <c r="D129" s="26">
        <v>9375325</v>
      </c>
      <c r="E129" s="188" t="str">
        <f>IF(ISERROR(#REF!/B129)," ",(#REF!/B129))</f>
        <v> </v>
      </c>
      <c r="F129" s="98">
        <f>D129-'[5]Maijs'!D129</f>
        <v>2195115</v>
      </c>
      <c r="G129" s="193" t="s">
        <v>313</v>
      </c>
      <c r="H129" s="26">
        <f t="shared" si="20"/>
        <v>17724</v>
      </c>
      <c r="I129" s="26">
        <f t="shared" si="20"/>
        <v>0</v>
      </c>
      <c r="J129" s="26">
        <f t="shared" si="20"/>
        <v>9375</v>
      </c>
      <c r="K129" s="27">
        <f t="shared" si="11"/>
        <v>0.5289438050101557</v>
      </c>
      <c r="L129" s="26">
        <f>J129-'[5]Maijs'!J129</f>
        <v>2195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175" customFormat="1" ht="12.75">
      <c r="A130" s="60" t="s">
        <v>279</v>
      </c>
      <c r="B130" s="105">
        <f>SUM(B131)</f>
        <v>393635050</v>
      </c>
      <c r="C130" s="105">
        <f>SUM(C131)</f>
        <v>196387326</v>
      </c>
      <c r="D130" s="105">
        <f>SUM(D131)</f>
        <v>196327704</v>
      </c>
      <c r="E130" s="188">
        <f t="shared" si="10"/>
        <v>0.4987556468866276</v>
      </c>
      <c r="F130" s="105">
        <f>SUM(F131)</f>
        <v>36063834</v>
      </c>
      <c r="G130" s="60" t="s">
        <v>279</v>
      </c>
      <c r="H130" s="174">
        <f>SUM(H131)</f>
        <v>393635</v>
      </c>
      <c r="I130" s="174">
        <f>SUM(I131)</f>
        <v>196387</v>
      </c>
      <c r="J130" s="174">
        <f>SUM(J131)</f>
        <v>196328</v>
      </c>
      <c r="K130" s="20">
        <f t="shared" si="11"/>
        <v>0.49875646220483444</v>
      </c>
      <c r="L130" s="174">
        <f>SUM(L131)</f>
        <v>36064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12" ht="12.75">
      <c r="A131" s="60" t="s">
        <v>315</v>
      </c>
      <c r="B131" s="98">
        <v>393635050</v>
      </c>
      <c r="C131" s="98">
        <f>29634910+32118610+35602310+32281900+30694982+36054614</f>
        <v>196387326</v>
      </c>
      <c r="D131" s="26">
        <v>196327704</v>
      </c>
      <c r="E131" s="188" t="str">
        <f>IF(ISERROR(#REF!/B131)," ",(#REF!/B131))</f>
        <v> </v>
      </c>
      <c r="F131" s="98">
        <f>D131-'[5]Maijs'!D131</f>
        <v>36063834</v>
      </c>
      <c r="G131" s="193" t="s">
        <v>315</v>
      </c>
      <c r="H131" s="26">
        <f>ROUND(B131/1000,0)</f>
        <v>393635</v>
      </c>
      <c r="I131" s="26">
        <f>ROUND(C131/1000,0)</f>
        <v>196387</v>
      </c>
      <c r="J131" s="26">
        <f t="shared" si="20"/>
        <v>196328</v>
      </c>
      <c r="K131" s="27">
        <f t="shared" si="11"/>
        <v>0.49875646220483444</v>
      </c>
      <c r="L131" s="26">
        <f>J131-'[5]Maijs'!J131</f>
        <v>36064</v>
      </c>
    </row>
    <row r="132" spans="1:12" ht="12.75">
      <c r="A132" s="60" t="s">
        <v>275</v>
      </c>
      <c r="B132" s="98">
        <f>SUM(B126-B130)</f>
        <v>-15401779</v>
      </c>
      <c r="C132" s="98">
        <f>SUM(C126-C130)</f>
        <v>-15598593</v>
      </c>
      <c r="D132" s="98">
        <f>SUM(D126-D130)</f>
        <v>-24490058</v>
      </c>
      <c r="E132" s="188">
        <f t="shared" si="10"/>
        <v>1.5900798212985656</v>
      </c>
      <c r="F132" s="98">
        <f>SUM(F126-F130)</f>
        <v>-5916059</v>
      </c>
      <c r="G132" s="60" t="s">
        <v>275</v>
      </c>
      <c r="H132" s="174">
        <f>SUM(H126-H130)</f>
        <v>-15402</v>
      </c>
      <c r="I132" s="174">
        <f>SUM(I126-I130)</f>
        <v>-15598</v>
      </c>
      <c r="J132" s="174">
        <f>SUM(J126-J130)</f>
        <v>-24490</v>
      </c>
      <c r="K132" s="20">
        <f t="shared" si="11"/>
        <v>1.590053239838982</v>
      </c>
      <c r="L132" s="174">
        <f>SUM(L126-L130)</f>
        <v>-5915</v>
      </c>
    </row>
    <row r="133" spans="1:12" ht="12.75">
      <c r="A133" s="60" t="s">
        <v>276</v>
      </c>
      <c r="B133" s="98">
        <v>10000000</v>
      </c>
      <c r="C133" s="98"/>
      <c r="D133" s="98">
        <v>16973635</v>
      </c>
      <c r="E133" s="188">
        <f t="shared" si="10"/>
        <v>1.6973635</v>
      </c>
      <c r="F133" s="98">
        <f>D133-'[5]Maijs'!D133</f>
        <v>5891096</v>
      </c>
      <c r="G133" s="60" t="s">
        <v>276</v>
      </c>
      <c r="H133" s="18">
        <f>ROUND(B133/1000,0)</f>
        <v>10000</v>
      </c>
      <c r="I133" s="18">
        <f>ROUND(C133/1000,0)</f>
        <v>0</v>
      </c>
      <c r="J133" s="18">
        <f>ROUND(D133/1000,0)</f>
        <v>16974</v>
      </c>
      <c r="K133" s="20">
        <f t="shared" si="11"/>
        <v>1.6974</v>
      </c>
      <c r="L133" s="18">
        <f>J133-'[5]Maijs'!J133</f>
        <v>5891</v>
      </c>
    </row>
    <row r="134" spans="1:12" ht="12.75">
      <c r="A134" s="192" t="s">
        <v>316</v>
      </c>
      <c r="B134" s="98"/>
      <c r="C134" s="98"/>
      <c r="D134" s="98"/>
      <c r="E134" s="188" t="str">
        <f t="shared" si="10"/>
        <v> </v>
      </c>
      <c r="F134" s="98"/>
      <c r="G134" s="192" t="s">
        <v>316</v>
      </c>
      <c r="H134" s="174"/>
      <c r="I134" s="174"/>
      <c r="J134" s="174"/>
      <c r="K134" s="20"/>
      <c r="L134" s="174"/>
    </row>
    <row r="135" spans="1:12" ht="12.75">
      <c r="A135" s="60" t="s">
        <v>278</v>
      </c>
      <c r="B135" s="98">
        <f>SUM(B136:B138)</f>
        <v>33769326</v>
      </c>
      <c r="C135" s="98">
        <f>2874933+2862264+2903690+1320586+2813701+2920858</f>
        <v>15696032</v>
      </c>
      <c r="D135" s="98">
        <f>SUM(D136:D138)</f>
        <v>16324394</v>
      </c>
      <c r="E135" s="188">
        <f t="shared" si="10"/>
        <v>0.4834089374481445</v>
      </c>
      <c r="F135" s="98">
        <f>SUM(F136:F138)</f>
        <v>2923220</v>
      </c>
      <c r="G135" s="60" t="s">
        <v>278</v>
      </c>
      <c r="H135" s="174">
        <f>SUM(H136:H138)</f>
        <v>33769</v>
      </c>
      <c r="I135" s="26">
        <f aca="true" t="shared" si="21" ref="H135:J138">ROUND(C135/1000,0)</f>
        <v>15696</v>
      </c>
      <c r="J135" s="174">
        <f>SUM(J136:J138)</f>
        <v>16324</v>
      </c>
      <c r="K135" s="20">
        <f t="shared" si="11"/>
        <v>0.4834019366874944</v>
      </c>
      <c r="L135" s="18">
        <f>SUM(L136:L138)</f>
        <v>2923</v>
      </c>
    </row>
    <row r="136" spans="1:33" s="175" customFormat="1" ht="12.75">
      <c r="A136" s="193" t="s">
        <v>311</v>
      </c>
      <c r="B136" s="105">
        <v>29902920</v>
      </c>
      <c r="C136" s="105"/>
      <c r="D136" s="105">
        <v>14876121</v>
      </c>
      <c r="E136" s="188">
        <f t="shared" si="10"/>
        <v>0.49748054705025463</v>
      </c>
      <c r="F136" s="98">
        <f>D136-'[5]Maijs'!D136</f>
        <v>2318942</v>
      </c>
      <c r="G136" s="193" t="s">
        <v>311</v>
      </c>
      <c r="H136" s="26">
        <f t="shared" si="21"/>
        <v>29903</v>
      </c>
      <c r="I136" s="26">
        <f t="shared" si="21"/>
        <v>0</v>
      </c>
      <c r="J136" s="26">
        <f t="shared" si="21"/>
        <v>14876</v>
      </c>
      <c r="K136" s="27">
        <f t="shared" si="11"/>
        <v>0.49747516971541317</v>
      </c>
      <c r="L136" s="26">
        <f>J136-'[5]Maijs'!J136</f>
        <v>2319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175" customFormat="1" ht="12.75">
      <c r="A137" s="193" t="s">
        <v>312</v>
      </c>
      <c r="B137" s="105">
        <v>372407</v>
      </c>
      <c r="C137" s="105"/>
      <c r="D137" s="105">
        <v>220212</v>
      </c>
      <c r="E137" s="188">
        <f t="shared" si="10"/>
        <v>0.5913207861291544</v>
      </c>
      <c r="F137" s="98">
        <f>D137-'[5]Maijs'!D137</f>
        <v>69445</v>
      </c>
      <c r="G137" s="193" t="s">
        <v>312</v>
      </c>
      <c r="H137" s="26">
        <f t="shared" si="21"/>
        <v>372</v>
      </c>
      <c r="I137" s="26">
        <f t="shared" si="21"/>
        <v>0</v>
      </c>
      <c r="J137" s="26">
        <f t="shared" si="21"/>
        <v>220</v>
      </c>
      <c r="K137" s="27">
        <f t="shared" si="11"/>
        <v>0.5913978494623656</v>
      </c>
      <c r="L137" s="26">
        <f>J137-'[5]Maijs'!J137</f>
        <v>69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175" customFormat="1" ht="12.75">
      <c r="A138" s="193" t="s">
        <v>313</v>
      </c>
      <c r="B138" s="105">
        <v>3493999</v>
      </c>
      <c r="C138" s="105"/>
      <c r="D138" s="105">
        <v>1228061</v>
      </c>
      <c r="E138" s="188">
        <f aca="true" t="shared" si="22" ref="E138:E201">IF(ISERROR(D138/B138)," ",(D138/B138))</f>
        <v>0.3514772042006881</v>
      </c>
      <c r="F138" s="98">
        <f>D138-'[5]Maijs'!D138</f>
        <v>534833</v>
      </c>
      <c r="G138" s="193" t="s">
        <v>313</v>
      </c>
      <c r="H138" s="26">
        <f t="shared" si="21"/>
        <v>3494</v>
      </c>
      <c r="I138" s="26">
        <f t="shared" si="21"/>
        <v>0</v>
      </c>
      <c r="J138" s="26">
        <f t="shared" si="21"/>
        <v>1228</v>
      </c>
      <c r="K138" s="27">
        <f aca="true" t="shared" si="23" ref="K138:K201">IF(ISERROR(ROUND(J138,0)/ROUND(H138,0))," ",(ROUND(J138,)/ROUND(H138,)))</f>
        <v>0.35145964510589583</v>
      </c>
      <c r="L138" s="26">
        <f>J138-'[5]Maijs'!J138</f>
        <v>535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175" customFormat="1" ht="12.75">
      <c r="A139" s="60" t="s">
        <v>279</v>
      </c>
      <c r="B139" s="105">
        <f>SUM(B140:B141)</f>
        <v>43019897</v>
      </c>
      <c r="C139" s="105">
        <f>SUM(C140:C141)</f>
        <v>23618865</v>
      </c>
      <c r="D139" s="105">
        <f>SUM(D140:D141)</f>
        <v>23353309</v>
      </c>
      <c r="E139" s="188">
        <f t="shared" si="22"/>
        <v>0.5428490216980296</v>
      </c>
      <c r="F139" s="105">
        <f>SUM(F140:F141)</f>
        <v>3415239</v>
      </c>
      <c r="G139" s="60" t="s">
        <v>279</v>
      </c>
      <c r="H139" s="174">
        <f>SUM(H140:H141)</f>
        <v>43020</v>
      </c>
      <c r="I139" s="174">
        <f>SUM(I140:I141)</f>
        <v>23619</v>
      </c>
      <c r="J139" s="174">
        <f>SUM(J140:J141)</f>
        <v>23353</v>
      </c>
      <c r="K139" s="20">
        <f t="shared" si="23"/>
        <v>0.542840539284054</v>
      </c>
      <c r="L139" s="174">
        <f>SUM(L140:L141)</f>
        <v>3415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175" customFormat="1" ht="12.75">
      <c r="A140" s="193" t="s">
        <v>315</v>
      </c>
      <c r="B140" s="105">
        <v>43004897</v>
      </c>
      <c r="C140" s="105">
        <f>2831969+4032909+3877164+6234911+3314456+3312456</f>
        <v>23603865</v>
      </c>
      <c r="D140" s="105">
        <v>23338309</v>
      </c>
      <c r="E140" s="197">
        <f t="shared" si="22"/>
        <v>0.5426895685856427</v>
      </c>
      <c r="F140" s="98">
        <f>D140-'[5]Maijs'!D140</f>
        <v>3415239</v>
      </c>
      <c r="G140" s="193" t="s">
        <v>315</v>
      </c>
      <c r="H140" s="26">
        <f aca="true" t="shared" si="24" ref="H140:J141">ROUND(B140/1000,0)</f>
        <v>43005</v>
      </c>
      <c r="I140" s="26">
        <f t="shared" si="24"/>
        <v>23604</v>
      </c>
      <c r="J140" s="26">
        <f t="shared" si="24"/>
        <v>23338</v>
      </c>
      <c r="K140" s="27">
        <f t="shared" si="23"/>
        <v>0.5426810835949308</v>
      </c>
      <c r="L140" s="26">
        <f>J140-'[5]Maijs'!J140</f>
        <v>3415</v>
      </c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</row>
    <row r="141" spans="1:33" s="175" customFormat="1" ht="12.75">
      <c r="A141" s="193" t="s">
        <v>317</v>
      </c>
      <c r="B141" s="105">
        <v>15000</v>
      </c>
      <c r="C141" s="105">
        <f>5000+10000</f>
        <v>15000</v>
      </c>
      <c r="D141" s="105">
        <v>15000</v>
      </c>
      <c r="E141" s="197">
        <f t="shared" si="22"/>
        <v>1</v>
      </c>
      <c r="F141" s="98">
        <f>D141-'[5]Maijs'!D141</f>
        <v>0</v>
      </c>
      <c r="G141" s="193" t="s">
        <v>317</v>
      </c>
      <c r="H141" s="26">
        <f t="shared" si="24"/>
        <v>15</v>
      </c>
      <c r="I141" s="26">
        <f t="shared" si="24"/>
        <v>15</v>
      </c>
      <c r="J141" s="26">
        <f t="shared" si="24"/>
        <v>15</v>
      </c>
      <c r="K141" s="27">
        <f t="shared" si="23"/>
        <v>1</v>
      </c>
      <c r="L141" s="26">
        <f>J141-'[5]Maijs'!J141</f>
        <v>0</v>
      </c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</row>
    <row r="142" spans="1:12" ht="12.75">
      <c r="A142" s="60" t="s">
        <v>275</v>
      </c>
      <c r="B142" s="98">
        <f>SUM(B135-B139)</f>
        <v>-9250571</v>
      </c>
      <c r="C142" s="98">
        <f>SUM(C135-C139)</f>
        <v>-7922833</v>
      </c>
      <c r="D142" s="98">
        <f>SUM(D135-D139)</f>
        <v>-7028915</v>
      </c>
      <c r="E142" s="188">
        <f t="shared" si="22"/>
        <v>0.7598357982442381</v>
      </c>
      <c r="F142" s="98">
        <f>SUM(F135-F139)</f>
        <v>-492019</v>
      </c>
      <c r="G142" s="60" t="s">
        <v>275</v>
      </c>
      <c r="H142" s="174">
        <f>SUM(H135-H139)</f>
        <v>-9251</v>
      </c>
      <c r="I142" s="174">
        <f>SUM(I135-I139)</f>
        <v>-7923</v>
      </c>
      <c r="J142" s="174">
        <f>SUM(J135-J139)</f>
        <v>-7029</v>
      </c>
      <c r="K142" s="20">
        <f t="shared" si="23"/>
        <v>0.7598097502972652</v>
      </c>
      <c r="L142" s="174">
        <f>SUM(L135-L139)</f>
        <v>-492</v>
      </c>
    </row>
    <row r="143" spans="1:12" ht="12.75">
      <c r="A143" s="60" t="s">
        <v>276</v>
      </c>
      <c r="B143" s="199"/>
      <c r="C143" s="199"/>
      <c r="D143" s="199"/>
      <c r="E143" s="188" t="str">
        <f t="shared" si="22"/>
        <v> </v>
      </c>
      <c r="F143" s="98">
        <f>D143-'[5]Maijs'!D143</f>
        <v>0</v>
      </c>
      <c r="G143" s="60" t="s">
        <v>276</v>
      </c>
      <c r="H143" s="18">
        <f>ROUND(B143/1000,0)</f>
        <v>0</v>
      </c>
      <c r="I143" s="18">
        <f>ROUND(C143/1000,0)</f>
        <v>0</v>
      </c>
      <c r="J143" s="18">
        <f>ROUND(D143/1000,0)</f>
        <v>0</v>
      </c>
      <c r="K143" s="20"/>
      <c r="L143" s="18">
        <f>J143-'[5]Maijs'!J143</f>
        <v>0</v>
      </c>
    </row>
    <row r="144" spans="1:12" ht="12.75">
      <c r="A144" s="192" t="s">
        <v>318</v>
      </c>
      <c r="B144" s="98"/>
      <c r="C144" s="98"/>
      <c r="D144" s="98"/>
      <c r="E144" s="188" t="str">
        <f t="shared" si="22"/>
        <v> </v>
      </c>
      <c r="F144" s="98"/>
      <c r="G144" s="192" t="s">
        <v>318</v>
      </c>
      <c r="H144" s="174"/>
      <c r="I144" s="174"/>
      <c r="J144" s="174"/>
      <c r="K144" s="20" t="str">
        <f t="shared" si="23"/>
        <v> </v>
      </c>
      <c r="L144" s="174"/>
    </row>
    <row r="145" spans="1:12" ht="12.75">
      <c r="A145" s="60" t="s">
        <v>278</v>
      </c>
      <c r="B145" s="98">
        <f>SUM(B146:B148)</f>
        <v>1119050</v>
      </c>
      <c r="C145" s="98">
        <f>92080+93535+94879+67436+89805+93767</f>
        <v>531502</v>
      </c>
      <c r="D145" s="98">
        <f>SUM(D146:D148)</f>
        <v>517480</v>
      </c>
      <c r="E145" s="188">
        <f t="shared" si="22"/>
        <v>0.46242795228095257</v>
      </c>
      <c r="F145" s="98">
        <f>SUM(F146:F148)</f>
        <v>84258</v>
      </c>
      <c r="G145" s="60" t="s">
        <v>278</v>
      </c>
      <c r="H145" s="174">
        <f>SUM(H146:H148)</f>
        <v>1120</v>
      </c>
      <c r="I145" s="26">
        <f>ROUND(C145/1000,0)</f>
        <v>532</v>
      </c>
      <c r="J145" s="174">
        <f>SUM(J146:J148)</f>
        <v>517</v>
      </c>
      <c r="K145" s="20">
        <f t="shared" si="23"/>
        <v>0.4616071428571429</v>
      </c>
      <c r="L145" s="174">
        <f>SUM(L146:L148)</f>
        <v>84</v>
      </c>
    </row>
    <row r="146" spans="1:33" s="175" customFormat="1" ht="12.75">
      <c r="A146" s="193" t="s">
        <v>311</v>
      </c>
      <c r="B146" s="105">
        <v>1086520</v>
      </c>
      <c r="C146" s="105"/>
      <c r="D146" s="105">
        <v>509985</v>
      </c>
      <c r="E146" s="188">
        <f t="shared" si="22"/>
        <v>0.4693747008798734</v>
      </c>
      <c r="F146" s="98">
        <f>D146-'[5]Maijs'!D146</f>
        <v>84258</v>
      </c>
      <c r="G146" s="193" t="s">
        <v>311</v>
      </c>
      <c r="H146" s="26">
        <f>ROUND(B146/1000,0)</f>
        <v>1087</v>
      </c>
      <c r="I146" s="26">
        <f>ROUND(C146/1000,0)</f>
        <v>0</v>
      </c>
      <c r="J146" s="26">
        <f>ROUND(D146/1000,0)</f>
        <v>510</v>
      </c>
      <c r="K146" s="27">
        <f t="shared" si="23"/>
        <v>0.46918123275068996</v>
      </c>
      <c r="L146" s="26">
        <f>J146-'[5]Maijs'!J146</f>
        <v>84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175" customFormat="1" ht="13.5" customHeight="1" hidden="1">
      <c r="A147" s="193"/>
      <c r="B147" s="105"/>
      <c r="C147" s="105"/>
      <c r="D147" s="105"/>
      <c r="E147" s="188" t="str">
        <f t="shared" si="22"/>
        <v> </v>
      </c>
      <c r="F147" s="105"/>
      <c r="G147" s="193"/>
      <c r="H147" s="200"/>
      <c r="I147" s="200"/>
      <c r="J147" s="200"/>
      <c r="K147" s="27" t="str">
        <f t="shared" si="23"/>
        <v> </v>
      </c>
      <c r="L147" s="20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175" customFormat="1" ht="12.75">
      <c r="A148" s="193" t="s">
        <v>313</v>
      </c>
      <c r="B148" s="105">
        <v>32530</v>
      </c>
      <c r="C148" s="105"/>
      <c r="D148" s="105">
        <v>7495</v>
      </c>
      <c r="E148" s="188">
        <f t="shared" si="22"/>
        <v>0.23040270519520442</v>
      </c>
      <c r="F148" s="98">
        <f>D148-'[5]Maijs'!D148</f>
        <v>0</v>
      </c>
      <c r="G148" s="193" t="s">
        <v>313</v>
      </c>
      <c r="H148" s="26">
        <f>ROUND(B148/1000,0)</f>
        <v>33</v>
      </c>
      <c r="I148" s="26">
        <f>ROUND(C148/1000,0)</f>
        <v>0</v>
      </c>
      <c r="J148" s="26">
        <f>ROUND(D148/1000,0)</f>
        <v>7</v>
      </c>
      <c r="K148" s="27">
        <f t="shared" si="23"/>
        <v>0.21212121212121213</v>
      </c>
      <c r="L148" s="18">
        <f>J148-'[5]Maijs'!J148</f>
        <v>0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175" customFormat="1" ht="12.75">
      <c r="A149" s="60" t="s">
        <v>279</v>
      </c>
      <c r="B149" s="105">
        <f>SUM(B150:B151)</f>
        <v>1184169</v>
      </c>
      <c r="C149" s="105">
        <f>SUM(C150:C151)</f>
        <v>330074</v>
      </c>
      <c r="D149" s="105">
        <f>SUM(D150:D151)</f>
        <v>252189</v>
      </c>
      <c r="E149" s="188">
        <f t="shared" si="22"/>
        <v>0.21296706804518611</v>
      </c>
      <c r="F149" s="105">
        <f>SUM(F150:F151)</f>
        <v>44192</v>
      </c>
      <c r="G149" s="60" t="s">
        <v>279</v>
      </c>
      <c r="H149" s="174">
        <f>SUM(H150:H151)</f>
        <v>1184</v>
      </c>
      <c r="I149" s="174">
        <f>SUM(I150:I151)</f>
        <v>330</v>
      </c>
      <c r="J149" s="174">
        <f>SUM(J150:J151)</f>
        <v>252</v>
      </c>
      <c r="K149" s="20">
        <f t="shared" si="23"/>
        <v>0.21283783783783783</v>
      </c>
      <c r="L149" s="174">
        <f>SUM(L150:L151)</f>
        <v>44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12" ht="12.75">
      <c r="A150" s="60" t="s">
        <v>315</v>
      </c>
      <c r="B150" s="98">
        <v>1184169</v>
      </c>
      <c r="C150" s="98">
        <f>45717+45717+45717+58947+63488+70488</f>
        <v>330074</v>
      </c>
      <c r="D150" s="98">
        <v>252189</v>
      </c>
      <c r="E150" s="188">
        <f t="shared" si="22"/>
        <v>0.21296706804518611</v>
      </c>
      <c r="F150" s="98">
        <f>D150-'[5]Maijs'!D150</f>
        <v>44192</v>
      </c>
      <c r="G150" s="193" t="s">
        <v>315</v>
      </c>
      <c r="H150" s="26">
        <f>ROUND(B150/1000,0)</f>
        <v>1184</v>
      </c>
      <c r="I150" s="26">
        <f>ROUND(C150/1000,0)</f>
        <v>330</v>
      </c>
      <c r="J150" s="26">
        <f>ROUND(D150/1000,0)</f>
        <v>252</v>
      </c>
      <c r="K150" s="27">
        <f t="shared" si="23"/>
        <v>0.21283783783783783</v>
      </c>
      <c r="L150" s="26">
        <f>J150-'[5]Maijs'!J150</f>
        <v>44</v>
      </c>
    </row>
    <row r="151" spans="1:12" ht="12.75" hidden="1">
      <c r="A151" s="60"/>
      <c r="B151" s="98"/>
      <c r="C151" s="98"/>
      <c r="D151" s="98"/>
      <c r="E151" s="188" t="str">
        <f t="shared" si="22"/>
        <v> </v>
      </c>
      <c r="F151" s="98"/>
      <c r="G151" s="60"/>
      <c r="H151" s="174"/>
      <c r="I151" s="174"/>
      <c r="J151" s="174"/>
      <c r="K151" s="20" t="str">
        <f t="shared" si="23"/>
        <v> </v>
      </c>
      <c r="L151" s="174"/>
    </row>
    <row r="152" spans="1:12" ht="12.75">
      <c r="A152" s="60" t="s">
        <v>275</v>
      </c>
      <c r="B152" s="98">
        <f>SUM(B145-B149)</f>
        <v>-65119</v>
      </c>
      <c r="C152" s="98">
        <f>SUM(C145-C149)</f>
        <v>201428</v>
      </c>
      <c r="D152" s="98">
        <f>SUM(D145-D149)</f>
        <v>265291</v>
      </c>
      <c r="E152" s="188">
        <f t="shared" si="22"/>
        <v>-4.073941553156529</v>
      </c>
      <c r="F152" s="98">
        <f>SUM(F145-F149)</f>
        <v>40066</v>
      </c>
      <c r="G152" s="60" t="s">
        <v>275</v>
      </c>
      <c r="H152" s="174">
        <f>SUM(H145-H149)</f>
        <v>-64</v>
      </c>
      <c r="I152" s="174">
        <f>SUM(I145-I149)</f>
        <v>202</v>
      </c>
      <c r="J152" s="174">
        <f>SUM(J145-J149)</f>
        <v>265</v>
      </c>
      <c r="K152" s="20">
        <f t="shared" si="23"/>
        <v>-4.140625</v>
      </c>
      <c r="L152" s="174">
        <f>SUM(L145-L149)</f>
        <v>40</v>
      </c>
    </row>
    <row r="153" spans="1:12" ht="12.75">
      <c r="A153" s="60" t="s">
        <v>276</v>
      </c>
      <c r="B153" s="199"/>
      <c r="C153" s="199"/>
      <c r="D153" s="199"/>
      <c r="E153" s="188" t="str">
        <f t="shared" si="22"/>
        <v> </v>
      </c>
      <c r="F153" s="98">
        <f>D153-'[5]Maijs'!D153</f>
        <v>0</v>
      </c>
      <c r="G153" s="60" t="s">
        <v>276</v>
      </c>
      <c r="H153" s="18">
        <f>ROUND(B153/1000,0)</f>
        <v>0</v>
      </c>
      <c r="I153" s="18">
        <f>ROUND(C153/1000,0)</f>
        <v>0</v>
      </c>
      <c r="J153" s="18">
        <f>ROUND(D153/1000,0)</f>
        <v>0</v>
      </c>
      <c r="K153" s="20" t="str">
        <f t="shared" si="23"/>
        <v> </v>
      </c>
      <c r="L153" s="18">
        <f>J153-'[5]Maijs'!J153</f>
        <v>0</v>
      </c>
    </row>
    <row r="154" spans="1:12" ht="28.5" customHeight="1">
      <c r="A154" s="194" t="s">
        <v>319</v>
      </c>
      <c r="B154" s="98"/>
      <c r="C154" s="98"/>
      <c r="D154" s="98"/>
      <c r="E154" s="188" t="str">
        <f t="shared" si="22"/>
        <v> </v>
      </c>
      <c r="F154" s="98"/>
      <c r="G154" s="194" t="s">
        <v>319</v>
      </c>
      <c r="H154" s="174"/>
      <c r="I154" s="174"/>
      <c r="J154" s="174"/>
      <c r="K154" s="20"/>
      <c r="L154" s="174"/>
    </row>
    <row r="155" spans="1:12" ht="12.75">
      <c r="A155" s="60" t="s">
        <v>278</v>
      </c>
      <c r="B155" s="98">
        <f>SUM(B156:B158)</f>
        <v>92682400</v>
      </c>
      <c r="C155" s="98">
        <f>5919030+6014886+6103495+9437657+6789327+7403102</f>
        <v>41667497</v>
      </c>
      <c r="D155" s="98">
        <f>SUM(D156:D158)</f>
        <v>38315242</v>
      </c>
      <c r="E155" s="188">
        <f t="shared" si="22"/>
        <v>0.4134036451365092</v>
      </c>
      <c r="F155" s="98">
        <f>SUM(F156:F158)</f>
        <v>6882492</v>
      </c>
      <c r="G155" s="60" t="s">
        <v>278</v>
      </c>
      <c r="H155" s="174">
        <f>SUM(H156:H158)</f>
        <v>92682</v>
      </c>
      <c r="I155" s="18">
        <f>ROUND(C155/1000,0)</f>
        <v>41667</v>
      </c>
      <c r="J155" s="174">
        <f>SUM(J156:J158)</f>
        <v>38315</v>
      </c>
      <c r="K155" s="20">
        <f t="shared" si="23"/>
        <v>0.4134028182387087</v>
      </c>
      <c r="L155" s="174">
        <f>SUM(L156:L158)</f>
        <v>6883</v>
      </c>
    </row>
    <row r="156" spans="1:33" s="175" customFormat="1" ht="12" customHeight="1">
      <c r="A156" s="193" t="s">
        <v>311</v>
      </c>
      <c r="B156" s="105">
        <v>84276160</v>
      </c>
      <c r="C156" s="105"/>
      <c r="D156" s="105">
        <v>36568919</v>
      </c>
      <c r="E156" s="188">
        <f t="shared" si="22"/>
        <v>0.433917717655859</v>
      </c>
      <c r="F156" s="98">
        <f>D156-'[5]Maijs'!D156</f>
        <v>6535532</v>
      </c>
      <c r="G156" s="193" t="s">
        <v>311</v>
      </c>
      <c r="H156" s="26">
        <f>ROUND(B156/1000,0)</f>
        <v>84276</v>
      </c>
      <c r="I156" s="26">
        <f>ROUND(C156/1000,0)</f>
        <v>0</v>
      </c>
      <c r="J156" s="26">
        <f>ROUND(D156/1000,0)</f>
        <v>36569</v>
      </c>
      <c r="K156" s="27">
        <f t="shared" si="23"/>
        <v>0.43391950258673884</v>
      </c>
      <c r="L156" s="26">
        <f>J156-'[5]Maijs'!J156</f>
        <v>6536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175" customFormat="1" ht="12.75" hidden="1">
      <c r="A157" s="193"/>
      <c r="B157" s="105"/>
      <c r="C157" s="105"/>
      <c r="D157" s="105"/>
      <c r="E157" s="188" t="str">
        <f t="shared" si="22"/>
        <v> </v>
      </c>
      <c r="F157" s="105"/>
      <c r="G157" s="193"/>
      <c r="H157" s="200"/>
      <c r="I157" s="200"/>
      <c r="J157" s="200"/>
      <c r="K157" s="27" t="str">
        <f t="shared" si="23"/>
        <v> </v>
      </c>
      <c r="L157" s="20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175" customFormat="1" ht="12.75">
      <c r="A158" s="193" t="s">
        <v>313</v>
      </c>
      <c r="B158" s="105">
        <v>8406240</v>
      </c>
      <c r="C158" s="105"/>
      <c r="D158" s="105">
        <v>1746323</v>
      </c>
      <c r="E158" s="188">
        <f t="shared" si="22"/>
        <v>0.2077412731494699</v>
      </c>
      <c r="F158" s="98">
        <f>D158-'[5]Maijs'!D158</f>
        <v>346960</v>
      </c>
      <c r="G158" s="193" t="s">
        <v>313</v>
      </c>
      <c r="H158" s="26">
        <f>ROUND(B158/1000,0)</f>
        <v>8406</v>
      </c>
      <c r="I158" s="26">
        <f>ROUND(C158/1000,0)</f>
        <v>0</v>
      </c>
      <c r="J158" s="26">
        <f>ROUND(D158/1000,0)</f>
        <v>1746</v>
      </c>
      <c r="K158" s="27">
        <f t="shared" si="23"/>
        <v>0.20770877944325483</v>
      </c>
      <c r="L158" s="26">
        <f>J158-'[5]Maijs'!J158</f>
        <v>347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175" customFormat="1" ht="12.75">
      <c r="A159" s="60" t="s">
        <v>279</v>
      </c>
      <c r="B159" s="105">
        <f>B160</f>
        <v>92906905</v>
      </c>
      <c r="C159" s="105">
        <f>C160</f>
        <v>46423225</v>
      </c>
      <c r="D159" s="105">
        <f>D160</f>
        <v>44448642</v>
      </c>
      <c r="E159" s="188">
        <f t="shared" si="22"/>
        <v>0.47842129710380515</v>
      </c>
      <c r="F159" s="105">
        <f>F160</f>
        <v>8615462</v>
      </c>
      <c r="G159" s="60" t="s">
        <v>279</v>
      </c>
      <c r="H159" s="174">
        <f>H160</f>
        <v>92907</v>
      </c>
      <c r="I159" s="174">
        <f>I160</f>
        <v>46423</v>
      </c>
      <c r="J159" s="174">
        <f>J160</f>
        <v>44449</v>
      </c>
      <c r="K159" s="20">
        <f t="shared" si="23"/>
        <v>0.47842466122036015</v>
      </c>
      <c r="L159" s="174">
        <f>L160</f>
        <v>8616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12" ht="12.75">
      <c r="A160" s="60" t="s">
        <v>315</v>
      </c>
      <c r="B160" s="98">
        <v>92906905</v>
      </c>
      <c r="C160" s="98">
        <f>7238745+7440262+7959262+7641994+7816481+8326481</f>
        <v>46423225</v>
      </c>
      <c r="D160" s="98">
        <v>44448642</v>
      </c>
      <c r="E160" s="188">
        <f t="shared" si="22"/>
        <v>0.47842129710380515</v>
      </c>
      <c r="F160" s="98">
        <f>D160-'[5]Maijs'!D160</f>
        <v>8615462</v>
      </c>
      <c r="G160" s="193" t="s">
        <v>315</v>
      </c>
      <c r="H160" s="26">
        <f>ROUND(B160/1000,0)</f>
        <v>92907</v>
      </c>
      <c r="I160" s="26">
        <f>ROUND(C160/1000,0)</f>
        <v>46423</v>
      </c>
      <c r="J160" s="26">
        <f>ROUND(D160/1000,0)</f>
        <v>44449</v>
      </c>
      <c r="K160" s="27">
        <f t="shared" si="23"/>
        <v>0.47842466122036015</v>
      </c>
      <c r="L160" s="26">
        <f>J160-'[5]Maijs'!J160</f>
        <v>8616</v>
      </c>
    </row>
    <row r="161" spans="1:12" ht="12.75">
      <c r="A161" s="60" t="s">
        <v>275</v>
      </c>
      <c r="B161" s="98">
        <f>SUM(B155-B159)</f>
        <v>-224505</v>
      </c>
      <c r="C161" s="98">
        <f>SUM(C155-C159)</f>
        <v>-4755728</v>
      </c>
      <c r="D161" s="98">
        <f>SUM(D155-D159)</f>
        <v>-6133400</v>
      </c>
      <c r="E161" s="188">
        <f t="shared" si="22"/>
        <v>27.319658804926394</v>
      </c>
      <c r="F161" s="98">
        <f>SUM(F155-F159)</f>
        <v>-1732970</v>
      </c>
      <c r="G161" s="60" t="s">
        <v>275</v>
      </c>
      <c r="H161" s="174">
        <f>SUM(H155-H159)</f>
        <v>-225</v>
      </c>
      <c r="I161" s="174">
        <f>SUM(I155-I159)</f>
        <v>-4756</v>
      </c>
      <c r="J161" s="174">
        <f>SUM(J155-J159)</f>
        <v>-6134</v>
      </c>
      <c r="K161" s="20">
        <f t="shared" si="23"/>
        <v>27.26222222222222</v>
      </c>
      <c r="L161" s="174">
        <f>SUM(L155-L159)</f>
        <v>-1733</v>
      </c>
    </row>
    <row r="162" spans="1:12" ht="12.75">
      <c r="A162" s="60" t="s">
        <v>276</v>
      </c>
      <c r="B162" s="98"/>
      <c r="C162" s="98"/>
      <c r="D162" s="98">
        <v>4979277</v>
      </c>
      <c r="E162" s="188" t="str">
        <f t="shared" si="22"/>
        <v> </v>
      </c>
      <c r="F162" s="98">
        <f>D162-'[5]Maijs'!D162</f>
        <v>1763023</v>
      </c>
      <c r="G162" s="60" t="s">
        <v>276</v>
      </c>
      <c r="H162" s="18">
        <f>ROUND(B162/1000,0)</f>
        <v>0</v>
      </c>
      <c r="I162" s="18">
        <f>ROUND(C162/1000,0)</f>
        <v>0</v>
      </c>
      <c r="J162" s="18">
        <f>ROUND(D162/1000,0)</f>
        <v>4979</v>
      </c>
      <c r="K162" s="20" t="str">
        <f t="shared" si="23"/>
        <v> </v>
      </c>
      <c r="L162" s="18">
        <f>J162-'[5]Maijs'!J162</f>
        <v>1763</v>
      </c>
    </row>
    <row r="163" spans="1:12" ht="12.75">
      <c r="A163" s="192" t="s">
        <v>320</v>
      </c>
      <c r="B163" s="98"/>
      <c r="C163" s="98"/>
      <c r="D163" s="98"/>
      <c r="E163" s="188" t="str">
        <f t="shared" si="22"/>
        <v> </v>
      </c>
      <c r="F163" s="98"/>
      <c r="G163" s="192" t="s">
        <v>320</v>
      </c>
      <c r="H163" s="174"/>
      <c r="I163" s="174"/>
      <c r="J163" s="174"/>
      <c r="K163" s="20"/>
      <c r="L163" s="174"/>
    </row>
    <row r="164" spans="1:12" ht="12.75">
      <c r="A164" s="60" t="s">
        <v>278</v>
      </c>
      <c r="B164" s="98">
        <f>SUM(B165:B166)</f>
        <v>10677018</v>
      </c>
      <c r="C164" s="98">
        <f>4413437+913502</f>
        <v>5326939</v>
      </c>
      <c r="D164" s="98">
        <f>SUM(D165:D166)</f>
        <v>5232572</v>
      </c>
      <c r="E164" s="188">
        <f t="shared" si="22"/>
        <v>0.49007803489700963</v>
      </c>
      <c r="F164" s="98">
        <f>SUM(F165:F166)</f>
        <v>1072071</v>
      </c>
      <c r="G164" s="60" t="s">
        <v>278</v>
      </c>
      <c r="H164" s="174">
        <f>SUM(H165:H166)</f>
        <v>10677</v>
      </c>
      <c r="I164" s="18">
        <f aca="true" t="shared" si="25" ref="H164:J166">ROUND(C164/1000,0)</f>
        <v>5327</v>
      </c>
      <c r="J164" s="174">
        <f>SUM(J165:J166)</f>
        <v>5233</v>
      </c>
      <c r="K164" s="20">
        <f t="shared" si="23"/>
        <v>0.49011894726983235</v>
      </c>
      <c r="L164" s="18">
        <f>SUM(L165:L166)</f>
        <v>1072</v>
      </c>
    </row>
    <row r="165" spans="1:33" s="175" customFormat="1" ht="12.75">
      <c r="A165" s="193" t="s">
        <v>312</v>
      </c>
      <c r="B165" s="105">
        <f>200000+1890000</f>
        <v>2090000</v>
      </c>
      <c r="C165" s="105"/>
      <c r="D165" s="105">
        <f>74262+910500</f>
        <v>984762</v>
      </c>
      <c r="E165" s="188">
        <f t="shared" si="22"/>
        <v>0.47117799043062203</v>
      </c>
      <c r="F165" s="98">
        <f>D165-'[5]Maijs'!D165</f>
        <v>149250</v>
      </c>
      <c r="G165" s="193" t="s">
        <v>312</v>
      </c>
      <c r="H165" s="26">
        <f t="shared" si="25"/>
        <v>2090</v>
      </c>
      <c r="I165" s="26">
        <f t="shared" si="25"/>
        <v>0</v>
      </c>
      <c r="J165" s="26">
        <f t="shared" si="25"/>
        <v>985</v>
      </c>
      <c r="K165" s="27">
        <f t="shared" si="23"/>
        <v>0.47129186602870815</v>
      </c>
      <c r="L165" s="26">
        <f>J165-'[5]Maijs'!J165</f>
        <v>149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175" customFormat="1" ht="12.75">
      <c r="A166" s="193" t="s">
        <v>313</v>
      </c>
      <c r="B166" s="105">
        <v>8587018</v>
      </c>
      <c r="C166" s="105"/>
      <c r="D166" s="105">
        <v>4247810</v>
      </c>
      <c r="E166" s="188">
        <f t="shared" si="22"/>
        <v>0.4946781292411405</v>
      </c>
      <c r="F166" s="98">
        <f>D166-'[5]Maijs'!D166</f>
        <v>922821</v>
      </c>
      <c r="G166" s="193" t="s">
        <v>313</v>
      </c>
      <c r="H166" s="26">
        <f t="shared" si="25"/>
        <v>8587</v>
      </c>
      <c r="I166" s="26">
        <f t="shared" si="25"/>
        <v>0</v>
      </c>
      <c r="J166" s="26">
        <f t="shared" si="25"/>
        <v>4248</v>
      </c>
      <c r="K166" s="27">
        <f t="shared" si="23"/>
        <v>0.4947012926516828</v>
      </c>
      <c r="L166" s="26">
        <f>J166-'[5]Maijs'!J166</f>
        <v>923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175" customFormat="1" ht="12.75">
      <c r="A167" s="60" t="s">
        <v>279</v>
      </c>
      <c r="B167" s="98">
        <f>SUM(B168:B169)</f>
        <v>15954834</v>
      </c>
      <c r="C167" s="98">
        <f>SUM(C168:C169)</f>
        <v>6919195</v>
      </c>
      <c r="D167" s="98">
        <f>SUM(D168:D169)</f>
        <v>5769672</v>
      </c>
      <c r="E167" s="188">
        <f t="shared" si="22"/>
        <v>0.36162532308390044</v>
      </c>
      <c r="F167" s="98">
        <f>SUM(F168:F169)</f>
        <v>818616</v>
      </c>
      <c r="G167" s="60" t="s">
        <v>279</v>
      </c>
      <c r="H167" s="174">
        <f>SUM(H168:H169)</f>
        <v>15955</v>
      </c>
      <c r="I167" s="174">
        <f>SUM(I168:I169)</f>
        <v>6919</v>
      </c>
      <c r="J167" s="174">
        <f>SUM(J168:J169)</f>
        <v>5769</v>
      </c>
      <c r="K167" s="20">
        <f t="shared" si="23"/>
        <v>0.3615794421811344</v>
      </c>
      <c r="L167" s="174">
        <f>SUM(L168:L169)</f>
        <v>818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12" ht="12.75">
      <c r="A168" s="63" t="s">
        <v>315</v>
      </c>
      <c r="B168" s="98">
        <v>10477018</v>
      </c>
      <c r="C168" s="98">
        <f>4339175+876834</f>
        <v>5216009</v>
      </c>
      <c r="D168" s="98">
        <v>4432280</v>
      </c>
      <c r="E168" s="188">
        <f t="shared" si="22"/>
        <v>0.4230478557925547</v>
      </c>
      <c r="F168" s="98">
        <f>D168-'[5]Maijs'!D168</f>
        <v>654977</v>
      </c>
      <c r="G168" s="25" t="s">
        <v>315</v>
      </c>
      <c r="H168" s="26">
        <f aca="true" t="shared" si="26" ref="H168:J169">ROUND(B168/1000,0)</f>
        <v>10477</v>
      </c>
      <c r="I168" s="26">
        <f t="shared" si="26"/>
        <v>5216</v>
      </c>
      <c r="J168" s="26">
        <f t="shared" si="26"/>
        <v>4432</v>
      </c>
      <c r="K168" s="27">
        <f t="shared" si="23"/>
        <v>0.42302185740192805</v>
      </c>
      <c r="L168" s="26">
        <f>J168-'[5]Maijs'!J168</f>
        <v>655</v>
      </c>
    </row>
    <row r="169" spans="1:12" ht="12.75">
      <c r="A169" s="63" t="s">
        <v>317</v>
      </c>
      <c r="B169" s="98">
        <v>5477816</v>
      </c>
      <c r="C169" s="98">
        <f>58000+66182+95182+782839+656269+44714</f>
        <v>1703186</v>
      </c>
      <c r="D169" s="98">
        <v>1337392</v>
      </c>
      <c r="E169" s="188">
        <f t="shared" si="22"/>
        <v>0.24414693739256668</v>
      </c>
      <c r="F169" s="98">
        <f>D169-'[5]Maijs'!D169</f>
        <v>163639</v>
      </c>
      <c r="G169" s="25" t="s">
        <v>317</v>
      </c>
      <c r="H169" s="26">
        <f t="shared" si="26"/>
        <v>5478</v>
      </c>
      <c r="I169" s="26">
        <f t="shared" si="26"/>
        <v>1703</v>
      </c>
      <c r="J169" s="26">
        <f t="shared" si="26"/>
        <v>1337</v>
      </c>
      <c r="K169" s="27">
        <f t="shared" si="23"/>
        <v>0.24406717780211756</v>
      </c>
      <c r="L169" s="26">
        <f>J169-'[5]Maijs'!J169</f>
        <v>163</v>
      </c>
    </row>
    <row r="170" spans="1:12" ht="12.75">
      <c r="A170" s="60" t="s">
        <v>275</v>
      </c>
      <c r="B170" s="98">
        <f>SUM(B164-B167)</f>
        <v>-5277816</v>
      </c>
      <c r="C170" s="98">
        <f>SUM(C164-C167)</f>
        <v>-1592256</v>
      </c>
      <c r="D170" s="98">
        <f>SUM(D164-D167)</f>
        <v>-537100</v>
      </c>
      <c r="E170" s="188">
        <f t="shared" si="22"/>
        <v>0.1017655787924399</v>
      </c>
      <c r="F170" s="98">
        <f>SUM(F164-F167)</f>
        <v>253455</v>
      </c>
      <c r="G170" s="60" t="s">
        <v>275</v>
      </c>
      <c r="H170" s="174">
        <f>SUM(H164-H167)</f>
        <v>-5278</v>
      </c>
      <c r="I170" s="174">
        <f>SUM(I164-I167)</f>
        <v>-1592</v>
      </c>
      <c r="J170" s="174">
        <f>SUM(J164-J167)</f>
        <v>-536</v>
      </c>
      <c r="K170" s="20">
        <f t="shared" si="23"/>
        <v>0.10155361879499811</v>
      </c>
      <c r="L170" s="174">
        <f>SUM(L164-L167)</f>
        <v>254</v>
      </c>
    </row>
    <row r="171" spans="1:12" ht="12.75">
      <c r="A171" s="60" t="s">
        <v>276</v>
      </c>
      <c r="B171" s="98">
        <v>5277816</v>
      </c>
      <c r="C171" s="98"/>
      <c r="D171" s="98">
        <v>663308</v>
      </c>
      <c r="E171" s="188">
        <f t="shared" si="22"/>
        <v>0.12567850034938693</v>
      </c>
      <c r="F171" s="98">
        <f>D171-'[5]Maijs'!D171</f>
        <v>143639</v>
      </c>
      <c r="G171" s="60" t="s">
        <v>276</v>
      </c>
      <c r="H171" s="18">
        <f>ROUND(B171/1000,0)</f>
        <v>5278</v>
      </c>
      <c r="I171" s="18">
        <f>ROUND(C171/1000,0)</f>
        <v>0</v>
      </c>
      <c r="J171" s="18">
        <f>ROUND(D171/1000,0)</f>
        <v>663</v>
      </c>
      <c r="K171" s="20">
        <f t="shared" si="23"/>
        <v>0.12561576354679804</v>
      </c>
      <c r="L171" s="18">
        <f>J171-'[5]Maijs'!J171</f>
        <v>143</v>
      </c>
    </row>
    <row r="172" spans="1:12" ht="12.75">
      <c r="A172" s="192" t="s">
        <v>321</v>
      </c>
      <c r="B172" s="98"/>
      <c r="C172" s="98"/>
      <c r="D172" s="98"/>
      <c r="E172" s="188" t="str">
        <f t="shared" si="22"/>
        <v> </v>
      </c>
      <c r="F172" s="98"/>
      <c r="G172" s="192" t="s">
        <v>321</v>
      </c>
      <c r="H172" s="174"/>
      <c r="I172" s="174"/>
      <c r="J172" s="174"/>
      <c r="K172" s="20"/>
      <c r="L172" s="174"/>
    </row>
    <row r="173" spans="1:12" ht="12.75">
      <c r="A173" s="60" t="s">
        <v>278</v>
      </c>
      <c r="B173" s="98">
        <f>SUM(B174:B176)</f>
        <v>139035440</v>
      </c>
      <c r="C173" s="98">
        <v>65965926</v>
      </c>
      <c r="D173" s="98">
        <f>SUM(D174:D176)</f>
        <v>65195335</v>
      </c>
      <c r="E173" s="188">
        <f t="shared" si="22"/>
        <v>0.4689116314516644</v>
      </c>
      <c r="F173" s="98">
        <f>SUM(F174:F176)</f>
        <v>10092565</v>
      </c>
      <c r="G173" s="60" t="s">
        <v>278</v>
      </c>
      <c r="H173" s="174">
        <f>SUM(H174:H176)</f>
        <v>139036</v>
      </c>
      <c r="I173" s="18">
        <f>ROUND(C173/1000,0)</f>
        <v>65966</v>
      </c>
      <c r="J173" s="174">
        <f>SUM(J174:J176)</f>
        <v>65196</v>
      </c>
      <c r="K173" s="20">
        <f t="shared" si="23"/>
        <v>0.46891452573434217</v>
      </c>
      <c r="L173" s="174">
        <f>SUM(L174:L176)</f>
        <v>10093</v>
      </c>
    </row>
    <row r="174" spans="1:12" ht="12.75">
      <c r="A174" s="60" t="s">
        <v>322</v>
      </c>
      <c r="B174" s="98">
        <v>69125600</v>
      </c>
      <c r="C174" s="98"/>
      <c r="D174" s="98">
        <v>33141954</v>
      </c>
      <c r="E174" s="188">
        <f t="shared" si="22"/>
        <v>0.4794454442348421</v>
      </c>
      <c r="F174" s="98">
        <f>D174-'[5]Maijs'!D174</f>
        <v>5343690</v>
      </c>
      <c r="G174" s="60" t="s">
        <v>322</v>
      </c>
      <c r="H174" s="18">
        <f>ROUND(B174/1000,0)</f>
        <v>69126</v>
      </c>
      <c r="I174" s="18">
        <f>ROUND(C174/1000,0)</f>
        <v>0</v>
      </c>
      <c r="J174" s="18">
        <f>ROUND(D174/1000,0)</f>
        <v>33142</v>
      </c>
      <c r="K174" s="20">
        <f t="shared" si="23"/>
        <v>0.4794433353586205</v>
      </c>
      <c r="L174" s="18">
        <f>J174-'[5]Maijs'!J174</f>
        <v>5344</v>
      </c>
    </row>
    <row r="175" spans="1:12" ht="12.75">
      <c r="A175" s="60" t="s">
        <v>323</v>
      </c>
      <c r="B175" s="98">
        <v>59428840</v>
      </c>
      <c r="C175" s="98"/>
      <c r="D175" s="98">
        <v>27258788</v>
      </c>
      <c r="E175" s="188">
        <f t="shared" si="22"/>
        <v>0.4586794559678432</v>
      </c>
      <c r="F175" s="98">
        <f>D175-'[5]Maijs'!D175</f>
        <v>4377193</v>
      </c>
      <c r="G175" s="60" t="s">
        <v>323</v>
      </c>
      <c r="H175" s="18">
        <f>ROUND(B175/1000,0)</f>
        <v>59429</v>
      </c>
      <c r="I175" s="18">
        <f>ROUND(C175/1000,0)</f>
        <v>0</v>
      </c>
      <c r="J175" s="18">
        <f>ROUND(D175/1000,0)</f>
        <v>27259</v>
      </c>
      <c r="K175" s="20">
        <f t="shared" si="23"/>
        <v>0.45868178835248785</v>
      </c>
      <c r="L175" s="18">
        <f>J175-'[5]Maijs'!J175</f>
        <v>4377</v>
      </c>
    </row>
    <row r="176" spans="1:12" ht="12.75">
      <c r="A176" s="60" t="s">
        <v>218</v>
      </c>
      <c r="B176" s="98">
        <v>10481000</v>
      </c>
      <c r="C176" s="98"/>
      <c r="D176" s="98">
        <f>4837558-42965</f>
        <v>4794593</v>
      </c>
      <c r="E176" s="188">
        <f t="shared" si="22"/>
        <v>0.45745568170976053</v>
      </c>
      <c r="F176" s="98">
        <f>D176-'[5]Maijs'!D176</f>
        <v>371682</v>
      </c>
      <c r="G176" s="60" t="s">
        <v>218</v>
      </c>
      <c r="H176" s="18">
        <f>ROUND(B176/1000,0)</f>
        <v>10481</v>
      </c>
      <c r="I176" s="18">
        <f>ROUND(C176/1000,0)</f>
        <v>0</v>
      </c>
      <c r="J176" s="18">
        <f>ROUND(D176/1000,0)</f>
        <v>4795</v>
      </c>
      <c r="K176" s="20">
        <f t="shared" si="23"/>
        <v>0.45749451388226314</v>
      </c>
      <c r="L176" s="18">
        <f>J176-'[5]Maijs'!J176</f>
        <v>372</v>
      </c>
    </row>
    <row r="177" spans="1:12" ht="12.75">
      <c r="A177" s="60" t="s">
        <v>279</v>
      </c>
      <c r="B177" s="98">
        <f>SUM(B178:B179)</f>
        <v>147053440</v>
      </c>
      <c r="C177" s="98">
        <f>SUM(C178:C179)</f>
        <v>66895226</v>
      </c>
      <c r="D177" s="98">
        <f>SUM(D178:D179)</f>
        <v>63825410</v>
      </c>
      <c r="E177" s="188">
        <f t="shared" si="22"/>
        <v>0.43402867692180475</v>
      </c>
      <c r="F177" s="98">
        <f>SUM(F178:F179)</f>
        <v>12923685</v>
      </c>
      <c r="G177" s="60" t="s">
        <v>279</v>
      </c>
      <c r="H177" s="174">
        <f>SUM(H178:H179)</f>
        <v>147053</v>
      </c>
      <c r="I177" s="174">
        <f>SUM(I178:I179)</f>
        <v>66896</v>
      </c>
      <c r="J177" s="174">
        <f>SUM(J178:J179)</f>
        <v>63826</v>
      </c>
      <c r="K177" s="20">
        <f t="shared" si="23"/>
        <v>0.43403398774591473</v>
      </c>
      <c r="L177" s="174">
        <f>SUM(L178:L179)</f>
        <v>12925</v>
      </c>
    </row>
    <row r="178" spans="1:12" ht="12.75">
      <c r="A178" s="63" t="s">
        <v>271</v>
      </c>
      <c r="B178" s="98">
        <v>136798140</v>
      </c>
      <c r="C178" s="98">
        <v>65232504</v>
      </c>
      <c r="D178" s="98">
        <f>63187961-42965</f>
        <v>63144996</v>
      </c>
      <c r="E178" s="188">
        <f t="shared" si="22"/>
        <v>0.46159250410860847</v>
      </c>
      <c r="F178" s="98">
        <f>D178-'[5]Maijs'!D178</f>
        <v>12771698</v>
      </c>
      <c r="G178" s="63" t="s">
        <v>271</v>
      </c>
      <c r="H178" s="18">
        <f aca="true" t="shared" si="27" ref="H178:J179">ROUND(B178/1000,0)</f>
        <v>136798</v>
      </c>
      <c r="I178" s="18">
        <f>ROUND(C178/1000,0)</f>
        <v>65233</v>
      </c>
      <c r="J178" s="18">
        <f t="shared" si="27"/>
        <v>63145</v>
      </c>
      <c r="K178" s="20">
        <f t="shared" si="23"/>
        <v>0.46159300574569806</v>
      </c>
      <c r="L178" s="18">
        <f>J178-'[5]Maijs'!J178</f>
        <v>12772</v>
      </c>
    </row>
    <row r="179" spans="1:12" ht="12.75">
      <c r="A179" s="60" t="s">
        <v>272</v>
      </c>
      <c r="B179" s="98">
        <v>10255300</v>
      </c>
      <c r="C179" s="98">
        <v>1662722</v>
      </c>
      <c r="D179" s="98">
        <v>680414</v>
      </c>
      <c r="E179" s="188">
        <f t="shared" si="22"/>
        <v>0.06634754712197595</v>
      </c>
      <c r="F179" s="98">
        <f>D179-'[5]Maijs'!D179</f>
        <v>151987</v>
      </c>
      <c r="G179" s="60" t="s">
        <v>272</v>
      </c>
      <c r="H179" s="18">
        <f t="shared" si="27"/>
        <v>10255</v>
      </c>
      <c r="I179" s="18">
        <f t="shared" si="27"/>
        <v>1663</v>
      </c>
      <c r="J179" s="18">
        <f>ROUND(D179/1000,0)+1</f>
        <v>681</v>
      </c>
      <c r="K179" s="20">
        <f t="shared" si="23"/>
        <v>0.06640663091175036</v>
      </c>
      <c r="L179" s="18">
        <f>J179-'[5]Maijs'!J179</f>
        <v>153</v>
      </c>
    </row>
    <row r="180" spans="1:12" ht="12.75">
      <c r="A180" s="60" t="s">
        <v>275</v>
      </c>
      <c r="B180" s="98">
        <f>SUM(B173-B177)</f>
        <v>-8018000</v>
      </c>
      <c r="C180" s="98"/>
      <c r="D180" s="98">
        <f>SUM(D173-D177)</f>
        <v>1369925</v>
      </c>
      <c r="E180" s="188">
        <f t="shared" si="22"/>
        <v>-0.17085619855325518</v>
      </c>
      <c r="F180" s="98">
        <f>SUM(F173-F177)</f>
        <v>-2831120</v>
      </c>
      <c r="G180" s="60" t="s">
        <v>275</v>
      </c>
      <c r="H180" s="174">
        <f>SUM(H173-H177)</f>
        <v>-8017</v>
      </c>
      <c r="I180" s="174">
        <f>SUM(I173-I177)</f>
        <v>-930</v>
      </c>
      <c r="J180" s="174">
        <f>SUM(J173-J177)</f>
        <v>1370</v>
      </c>
      <c r="K180" s="20">
        <f t="shared" si="23"/>
        <v>-0.17088686541100162</v>
      </c>
      <c r="L180" s="174">
        <f>SUM(L173-L177)</f>
        <v>-2832</v>
      </c>
    </row>
    <row r="181" spans="1:12" ht="12.75">
      <c r="A181" s="60" t="s">
        <v>276</v>
      </c>
      <c r="B181" s="98">
        <f>-B180</f>
        <v>8018000</v>
      </c>
      <c r="C181" s="98"/>
      <c r="D181" s="98">
        <v>70001</v>
      </c>
      <c r="E181" s="188">
        <f t="shared" si="22"/>
        <v>0.008730481416812173</v>
      </c>
      <c r="F181" s="98">
        <f>-F180</f>
        <v>2831120</v>
      </c>
      <c r="G181" s="60" t="s">
        <v>276</v>
      </c>
      <c r="H181" s="174">
        <f>-H180</f>
        <v>8017</v>
      </c>
      <c r="I181" s="174">
        <f>-I180</f>
        <v>930</v>
      </c>
      <c r="J181" s="18">
        <f>ROUND(D181/1000,0)</f>
        <v>70</v>
      </c>
      <c r="K181" s="20"/>
      <c r="L181" s="18">
        <f>J181-'[5]Maijs'!J181</f>
        <v>70</v>
      </c>
    </row>
    <row r="182" spans="1:12" ht="30" customHeight="1">
      <c r="A182" s="32" t="s">
        <v>187</v>
      </c>
      <c r="B182" s="86"/>
      <c r="C182" s="86"/>
      <c r="D182" s="86"/>
      <c r="E182" s="188" t="str">
        <f t="shared" si="22"/>
        <v> </v>
      </c>
      <c r="F182" s="86"/>
      <c r="G182" s="32" t="s">
        <v>187</v>
      </c>
      <c r="H182" s="191"/>
      <c r="I182" s="191"/>
      <c r="J182" s="191"/>
      <c r="K182" s="20"/>
      <c r="L182" s="191"/>
    </row>
    <row r="183" spans="1:12" ht="15" customHeight="1">
      <c r="A183" s="192" t="s">
        <v>324</v>
      </c>
      <c r="B183" s="98"/>
      <c r="C183" s="98"/>
      <c r="D183" s="98"/>
      <c r="E183" s="188" t="str">
        <f t="shared" si="22"/>
        <v> </v>
      </c>
      <c r="F183" s="98"/>
      <c r="G183" s="192" t="s">
        <v>324</v>
      </c>
      <c r="H183" s="174"/>
      <c r="I183" s="174"/>
      <c r="J183" s="174"/>
      <c r="K183" s="20"/>
      <c r="L183" s="174"/>
    </row>
    <row r="184" spans="1:12" ht="12.75">
      <c r="A184" s="60" t="s">
        <v>278</v>
      </c>
      <c r="B184" s="98">
        <f>SUM(B185:B187)</f>
        <v>8837000</v>
      </c>
      <c r="C184" s="98">
        <v>5426082</v>
      </c>
      <c r="D184" s="98">
        <f>SUM(D185:D187)</f>
        <v>2992958</v>
      </c>
      <c r="E184" s="188">
        <f t="shared" si="22"/>
        <v>0.3386848477990268</v>
      </c>
      <c r="F184" s="98">
        <f>SUM(F185:F187)</f>
        <v>503284</v>
      </c>
      <c r="G184" s="60" t="s">
        <v>278</v>
      </c>
      <c r="H184" s="174">
        <f>SUM(H185:H187)</f>
        <v>8837</v>
      </c>
      <c r="I184" s="18">
        <f>ROUND(C184/1000,0)</f>
        <v>5426</v>
      </c>
      <c r="J184" s="174">
        <f>SUM(J185:J187)</f>
        <v>2993</v>
      </c>
      <c r="K184" s="20">
        <f t="shared" si="23"/>
        <v>0.33868960054317077</v>
      </c>
      <c r="L184" s="174">
        <f>SUM(L185:L187)</f>
        <v>503</v>
      </c>
    </row>
    <row r="185" spans="1:12" ht="12.75">
      <c r="A185" s="60" t="s">
        <v>325</v>
      </c>
      <c r="B185" s="98">
        <v>8245000</v>
      </c>
      <c r="C185" s="98"/>
      <c r="D185" s="98">
        <v>2877071</v>
      </c>
      <c r="E185" s="188">
        <f t="shared" si="22"/>
        <v>0.3489473620375985</v>
      </c>
      <c r="F185" s="98">
        <f>D185-'[5]Maijs'!D185</f>
        <v>479367</v>
      </c>
      <c r="G185" s="60" t="s">
        <v>325</v>
      </c>
      <c r="H185" s="18">
        <f>ROUND(B185/1000,0)</f>
        <v>8245</v>
      </c>
      <c r="I185" s="18">
        <f>ROUND(C185/1000,0)</f>
        <v>0</v>
      </c>
      <c r="J185" s="18">
        <f>ROUND(D185/1000,0)</f>
        <v>2877</v>
      </c>
      <c r="K185" s="20">
        <f t="shared" si="23"/>
        <v>0.34893875075803515</v>
      </c>
      <c r="L185" s="18">
        <f>J185-'[5]Maijs'!J185</f>
        <v>479</v>
      </c>
    </row>
    <row r="186" spans="1:12" ht="12.75">
      <c r="A186" s="60" t="s">
        <v>326</v>
      </c>
      <c r="B186" s="98">
        <v>300000</v>
      </c>
      <c r="C186" s="98"/>
      <c r="D186" s="98">
        <v>94866</v>
      </c>
      <c r="E186" s="188">
        <f t="shared" si="22"/>
        <v>0.31622</v>
      </c>
      <c r="F186" s="98">
        <f>D186-'[5]Maijs'!D186</f>
        <v>21289</v>
      </c>
      <c r="G186" s="60" t="s">
        <v>326</v>
      </c>
      <c r="H186" s="18">
        <f>ROUND(B186/1000,0)</f>
        <v>300</v>
      </c>
      <c r="I186" s="18">
        <f>ROUND(C186/1000,0)</f>
        <v>0</v>
      </c>
      <c r="J186" s="18">
        <f>ROUND(D186/1000,0)</f>
        <v>95</v>
      </c>
      <c r="K186" s="20">
        <f t="shared" si="23"/>
        <v>0.31666666666666665</v>
      </c>
      <c r="L186" s="18">
        <f>J186-'[5]Maijs'!J186</f>
        <v>21</v>
      </c>
    </row>
    <row r="187" spans="1:12" ht="12.75">
      <c r="A187" s="60" t="s">
        <v>299</v>
      </c>
      <c r="B187" s="98">
        <f>255000+37000</f>
        <v>292000</v>
      </c>
      <c r="C187" s="98"/>
      <c r="D187" s="98">
        <v>21021</v>
      </c>
      <c r="E187" s="188">
        <f t="shared" si="22"/>
        <v>0.07198972602739726</v>
      </c>
      <c r="F187" s="98">
        <f>D187-'[5]Maijs'!D187</f>
        <v>2628</v>
      </c>
      <c r="G187" s="60" t="s">
        <v>299</v>
      </c>
      <c r="H187" s="18">
        <f>ROUND(B187/1000,0)</f>
        <v>292</v>
      </c>
      <c r="I187" s="18">
        <f>ROUND(C187/1000,0)</f>
        <v>0</v>
      </c>
      <c r="J187" s="18">
        <f>ROUND(D187/1000,0)</f>
        <v>21</v>
      </c>
      <c r="K187" s="20">
        <f t="shared" si="23"/>
        <v>0.07191780821917808</v>
      </c>
      <c r="L187" s="18">
        <f>J187-'[5]Maijs'!J187</f>
        <v>3</v>
      </c>
    </row>
    <row r="188" spans="1:12" ht="12.75">
      <c r="A188" s="60" t="s">
        <v>279</v>
      </c>
      <c r="B188" s="98">
        <f>SUM(B189:B190)</f>
        <v>8837000</v>
      </c>
      <c r="C188" s="98">
        <f>SUM(C189:C190)</f>
        <v>5426082</v>
      </c>
      <c r="D188" s="98">
        <f>SUM(D189:D190)</f>
        <v>3530640</v>
      </c>
      <c r="E188" s="188">
        <f t="shared" si="22"/>
        <v>0.3995292520086002</v>
      </c>
      <c r="F188" s="98">
        <f>SUM(F189:F190)</f>
        <v>589982</v>
      </c>
      <c r="G188" s="60" t="s">
        <v>279</v>
      </c>
      <c r="H188" s="174">
        <f>SUM(H189:H190)</f>
        <v>8838</v>
      </c>
      <c r="I188" s="174">
        <f>SUM(I189:I190)</f>
        <v>5426</v>
      </c>
      <c r="J188" s="174">
        <f>SUM(J189:J190)</f>
        <v>3531</v>
      </c>
      <c r="K188" s="20">
        <f t="shared" si="23"/>
        <v>0.39952477936184655</v>
      </c>
      <c r="L188" s="174">
        <f>SUM(L189:L190)</f>
        <v>590</v>
      </c>
    </row>
    <row r="189" spans="1:12" ht="12.75">
      <c r="A189" s="60" t="s">
        <v>271</v>
      </c>
      <c r="B189" s="98">
        <v>6642500</v>
      </c>
      <c r="C189" s="98">
        <v>4213032</v>
      </c>
      <c r="D189" s="98">
        <v>3080771</v>
      </c>
      <c r="E189" s="188">
        <f t="shared" si="22"/>
        <v>0.46379691381257054</v>
      </c>
      <c r="F189" s="98">
        <f>D189-'[5]Maijs'!D189</f>
        <v>459015</v>
      </c>
      <c r="G189" s="60" t="s">
        <v>271</v>
      </c>
      <c r="H189" s="18">
        <f aca="true" t="shared" si="28" ref="H189:J190">ROUND(B189/1000,0)</f>
        <v>6643</v>
      </c>
      <c r="I189" s="18">
        <f t="shared" si="28"/>
        <v>4213</v>
      </c>
      <c r="J189" s="18">
        <f t="shared" si="28"/>
        <v>3081</v>
      </c>
      <c r="K189" s="20">
        <f t="shared" si="23"/>
        <v>0.4637964774951076</v>
      </c>
      <c r="L189" s="18">
        <f>J189-'[5]Maijs'!J189</f>
        <v>459</v>
      </c>
    </row>
    <row r="190" spans="1:12" ht="12.75">
      <c r="A190" s="60" t="s">
        <v>272</v>
      </c>
      <c r="B190" s="98">
        <v>2194500</v>
      </c>
      <c r="C190" s="98">
        <v>1213050</v>
      </c>
      <c r="D190" s="98">
        <v>449869</v>
      </c>
      <c r="E190" s="188">
        <f t="shared" si="22"/>
        <v>0.20499840510366826</v>
      </c>
      <c r="F190" s="98">
        <f>D190-'[5]Maijs'!D190</f>
        <v>130967</v>
      </c>
      <c r="G190" s="60" t="s">
        <v>272</v>
      </c>
      <c r="H190" s="18">
        <f t="shared" si="28"/>
        <v>2195</v>
      </c>
      <c r="I190" s="18">
        <f t="shared" si="28"/>
        <v>1213</v>
      </c>
      <c r="J190" s="18">
        <f t="shared" si="28"/>
        <v>450</v>
      </c>
      <c r="K190" s="20">
        <f t="shared" si="23"/>
        <v>0.20501138952164008</v>
      </c>
      <c r="L190" s="18">
        <f>J190-'[5]Maijs'!J190</f>
        <v>131</v>
      </c>
    </row>
    <row r="191" spans="1:12" ht="16.5" customHeight="1">
      <c r="A191" s="192" t="s">
        <v>327</v>
      </c>
      <c r="B191" s="98"/>
      <c r="C191" s="98"/>
      <c r="D191" s="98"/>
      <c r="E191" s="188" t="str">
        <f t="shared" si="22"/>
        <v> </v>
      </c>
      <c r="F191" s="98"/>
      <c r="G191" s="192" t="s">
        <v>327</v>
      </c>
      <c r="H191" s="174"/>
      <c r="I191" s="174"/>
      <c r="J191" s="174"/>
      <c r="K191" s="20"/>
      <c r="L191" s="174"/>
    </row>
    <row r="192" spans="1:12" ht="12.75">
      <c r="A192" s="60" t="s">
        <v>278</v>
      </c>
      <c r="B192" s="98">
        <v>1450000</v>
      </c>
      <c r="C192" s="98">
        <v>1065500</v>
      </c>
      <c r="D192" s="98">
        <v>711250</v>
      </c>
      <c r="E192" s="188">
        <f t="shared" si="22"/>
        <v>0.49051724137931035</v>
      </c>
      <c r="F192" s="98">
        <f>D192-'[5]Maijs'!D192</f>
        <v>0</v>
      </c>
      <c r="G192" s="60" t="s">
        <v>278</v>
      </c>
      <c r="H192" s="18">
        <f>ROUND(B192/1000,0)</f>
        <v>1450</v>
      </c>
      <c r="I192" s="18">
        <f>ROUND(C192/1000,0)</f>
        <v>1066</v>
      </c>
      <c r="J192" s="18">
        <f>ROUND(D192/1000,0)</f>
        <v>711</v>
      </c>
      <c r="K192" s="20">
        <f t="shared" si="23"/>
        <v>0.4903448275862069</v>
      </c>
      <c r="L192" s="18">
        <f>J192-'[5]Maijs'!J192</f>
        <v>0</v>
      </c>
    </row>
    <row r="193" spans="1:12" ht="12.75">
      <c r="A193" s="60" t="s">
        <v>279</v>
      </c>
      <c r="B193" s="98">
        <f>SUM(B194:B195)</f>
        <v>1450000</v>
      </c>
      <c r="C193" s="98">
        <f>SUM(C194:C195)</f>
        <v>1065500</v>
      </c>
      <c r="D193" s="98">
        <f>SUM(D194:D195)</f>
        <v>670552</v>
      </c>
      <c r="E193" s="188">
        <f t="shared" si="22"/>
        <v>0.4624496551724138</v>
      </c>
      <c r="F193" s="98">
        <f>SUM(F194:F195)</f>
        <v>3021</v>
      </c>
      <c r="G193" s="60" t="s">
        <v>279</v>
      </c>
      <c r="H193" s="174">
        <f>SUM(H194:H195)</f>
        <v>1450</v>
      </c>
      <c r="I193" s="174">
        <f>SUM(I194:I195)</f>
        <v>1066</v>
      </c>
      <c r="J193" s="174">
        <f>SUM(J194:J195)</f>
        <v>670</v>
      </c>
      <c r="K193" s="20">
        <f t="shared" si="23"/>
        <v>0.46206896551724136</v>
      </c>
      <c r="L193" s="174">
        <f>SUM(L194:L195)</f>
        <v>2</v>
      </c>
    </row>
    <row r="194" spans="1:12" ht="12.75">
      <c r="A194" s="60" t="s">
        <v>271</v>
      </c>
      <c r="B194" s="98">
        <v>45000</v>
      </c>
      <c r="C194" s="98">
        <v>27000</v>
      </c>
      <c r="D194" s="98">
        <v>18116</v>
      </c>
      <c r="E194" s="188">
        <f t="shared" si="22"/>
        <v>0.40257777777777776</v>
      </c>
      <c r="F194" s="98">
        <f>D194-'[5]Maijs'!D194</f>
        <v>2177</v>
      </c>
      <c r="G194" s="60" t="s">
        <v>271</v>
      </c>
      <c r="H194" s="18">
        <f aca="true" t="shared" si="29" ref="H194:J195">ROUND(B194/1000,0)</f>
        <v>45</v>
      </c>
      <c r="I194" s="18">
        <f t="shared" si="29"/>
        <v>27</v>
      </c>
      <c r="J194" s="18">
        <f t="shared" si="29"/>
        <v>18</v>
      </c>
      <c r="K194" s="20">
        <f t="shared" si="23"/>
        <v>0.4</v>
      </c>
      <c r="L194" s="18">
        <f>J194-'[5]Maijs'!J194</f>
        <v>2</v>
      </c>
    </row>
    <row r="195" spans="1:12" ht="12.75">
      <c r="A195" s="60" t="s">
        <v>272</v>
      </c>
      <c r="B195" s="98">
        <v>1405000</v>
      </c>
      <c r="C195" s="98">
        <v>1038500</v>
      </c>
      <c r="D195" s="98">
        <v>652436</v>
      </c>
      <c r="E195" s="188">
        <f t="shared" si="22"/>
        <v>0.46436725978647686</v>
      </c>
      <c r="F195" s="98">
        <f>D195-'[5]Maijs'!D195</f>
        <v>844</v>
      </c>
      <c r="G195" s="60" t="s">
        <v>272</v>
      </c>
      <c r="H195" s="18">
        <f t="shared" si="29"/>
        <v>1405</v>
      </c>
      <c r="I195" s="18">
        <f t="shared" si="29"/>
        <v>1039</v>
      </c>
      <c r="J195" s="18">
        <f t="shared" si="29"/>
        <v>652</v>
      </c>
      <c r="K195" s="20">
        <f t="shared" si="23"/>
        <v>0.46405693950177934</v>
      </c>
      <c r="L195" s="18">
        <f>J195-'[5]Maijs'!J195</f>
        <v>0</v>
      </c>
    </row>
    <row r="196" spans="1:12" ht="16.5" customHeight="1">
      <c r="A196" s="9" t="s">
        <v>188</v>
      </c>
      <c r="B196" s="86"/>
      <c r="C196" s="86"/>
      <c r="D196" s="86"/>
      <c r="E196" s="188" t="str">
        <f t="shared" si="22"/>
        <v> </v>
      </c>
      <c r="F196" s="86"/>
      <c r="G196" s="9" t="s">
        <v>188</v>
      </c>
      <c r="H196" s="191"/>
      <c r="I196" s="191"/>
      <c r="J196" s="191"/>
      <c r="K196" s="20"/>
      <c r="L196" s="191"/>
    </row>
    <row r="197" spans="1:12" ht="15" customHeight="1">
      <c r="A197" s="192" t="s">
        <v>328</v>
      </c>
      <c r="B197" s="98"/>
      <c r="C197" s="98"/>
      <c r="D197" s="98"/>
      <c r="E197" s="188" t="str">
        <f t="shared" si="22"/>
        <v> </v>
      </c>
      <c r="F197" s="98"/>
      <c r="G197" s="192" t="s">
        <v>328</v>
      </c>
      <c r="H197" s="174"/>
      <c r="I197" s="174"/>
      <c r="J197" s="174"/>
      <c r="K197" s="20"/>
      <c r="L197" s="174"/>
    </row>
    <row r="198" spans="1:12" ht="12.75">
      <c r="A198" s="60" t="s">
        <v>278</v>
      </c>
      <c r="B198" s="98">
        <f>SUM(B199:B200)</f>
        <v>2600000</v>
      </c>
      <c r="C198" s="98">
        <v>1073000</v>
      </c>
      <c r="D198" s="98">
        <f>SUM(D199:D200)</f>
        <v>1093097</v>
      </c>
      <c r="E198" s="188">
        <f t="shared" si="22"/>
        <v>0.42042192307692305</v>
      </c>
      <c r="F198" s="98">
        <f>SUM(F199:F200)</f>
        <v>288417</v>
      </c>
      <c r="G198" s="60" t="s">
        <v>278</v>
      </c>
      <c r="H198" s="174">
        <f>SUM(H199:H200)</f>
        <v>2600</v>
      </c>
      <c r="I198" s="18">
        <f>ROUND(C198/1000,0)</f>
        <v>1073</v>
      </c>
      <c r="J198" s="174">
        <f>SUM(J199:J200)</f>
        <v>1093</v>
      </c>
      <c r="K198" s="20">
        <f t="shared" si="23"/>
        <v>0.4203846153846154</v>
      </c>
      <c r="L198" s="174">
        <f>SUM(L199:L200)</f>
        <v>288</v>
      </c>
    </row>
    <row r="199" spans="1:12" ht="22.5">
      <c r="A199" s="63" t="s">
        <v>329</v>
      </c>
      <c r="B199" s="98">
        <v>1400000</v>
      </c>
      <c r="C199" s="98"/>
      <c r="D199" s="98">
        <v>1093097</v>
      </c>
      <c r="E199" s="188">
        <f t="shared" si="22"/>
        <v>0.7807835714285715</v>
      </c>
      <c r="F199" s="98">
        <f>D199-'[5]Maijs'!D199</f>
        <v>288417</v>
      </c>
      <c r="G199" s="63" t="s">
        <v>329</v>
      </c>
      <c r="H199" s="18">
        <f>ROUND(B199/1000,0)</f>
        <v>1400</v>
      </c>
      <c r="I199" s="18">
        <f>ROUND(C199/1000,0)</f>
        <v>0</v>
      </c>
      <c r="J199" s="18">
        <f>ROUND(D199/1000,0)</f>
        <v>1093</v>
      </c>
      <c r="K199" s="20">
        <f t="shared" si="23"/>
        <v>0.7807142857142857</v>
      </c>
      <c r="L199" s="18">
        <f>J199-'[5]Maijs'!J199</f>
        <v>288</v>
      </c>
    </row>
    <row r="200" spans="1:12" ht="12.75">
      <c r="A200" s="60" t="s">
        <v>323</v>
      </c>
      <c r="B200" s="98">
        <v>1200000</v>
      </c>
      <c r="C200" s="98"/>
      <c r="D200" s="98"/>
      <c r="E200" s="188">
        <f t="shared" si="22"/>
        <v>0</v>
      </c>
      <c r="F200" s="98">
        <f>D200-'[5]Maijs'!D200</f>
        <v>0</v>
      </c>
      <c r="G200" s="60" t="s">
        <v>323</v>
      </c>
      <c r="H200" s="18">
        <f>ROUND(B200/1000,0)</f>
        <v>1200</v>
      </c>
      <c r="I200" s="18">
        <f>ROUND(C200/1000,0)</f>
        <v>0</v>
      </c>
      <c r="J200" s="18">
        <f>ROUND(D200/1000,0)</f>
        <v>0</v>
      </c>
      <c r="K200" s="20">
        <f t="shared" si="23"/>
        <v>0</v>
      </c>
      <c r="L200" s="18">
        <f>J200-'[5]Maijs'!J200</f>
        <v>0</v>
      </c>
    </row>
    <row r="201" spans="1:12" ht="12.75">
      <c r="A201" s="60" t="s">
        <v>279</v>
      </c>
      <c r="B201" s="98">
        <f>B202</f>
        <v>2600000</v>
      </c>
      <c r="C201" s="98">
        <f>C202</f>
        <v>1423000</v>
      </c>
      <c r="D201" s="98">
        <f>D202</f>
        <v>1423000</v>
      </c>
      <c r="E201" s="188">
        <f t="shared" si="22"/>
        <v>0.5473076923076923</v>
      </c>
      <c r="F201" s="98">
        <f>F202</f>
        <v>653570</v>
      </c>
      <c r="G201" s="60" t="s">
        <v>279</v>
      </c>
      <c r="H201" s="174">
        <f>H202</f>
        <v>2600</v>
      </c>
      <c r="I201" s="174">
        <f>I202</f>
        <v>1423</v>
      </c>
      <c r="J201" s="174">
        <f>J202</f>
        <v>1423</v>
      </c>
      <c r="K201" s="20">
        <f t="shared" si="23"/>
        <v>0.5473076923076923</v>
      </c>
      <c r="L201" s="174">
        <f>L202</f>
        <v>654</v>
      </c>
    </row>
    <row r="202" spans="1:12" ht="12.75">
      <c r="A202" s="60" t="s">
        <v>271</v>
      </c>
      <c r="B202" s="98">
        <v>2600000</v>
      </c>
      <c r="C202" s="98">
        <v>1423000</v>
      </c>
      <c r="D202" s="98">
        <v>1423000</v>
      </c>
      <c r="E202" s="188">
        <f aca="true" t="shared" si="30" ref="E202:E217">IF(ISERROR(D202/B202)," ",(D202/B202))</f>
        <v>0.5473076923076923</v>
      </c>
      <c r="F202" s="98">
        <f>D202-'[5]Maijs'!D202</f>
        <v>653570</v>
      </c>
      <c r="G202" s="60" t="s">
        <v>271</v>
      </c>
      <c r="H202" s="18">
        <f>ROUND(B202/1000,0)</f>
        <v>2600</v>
      </c>
      <c r="I202" s="18">
        <f>ROUND(C202/1000,0)</f>
        <v>1423</v>
      </c>
      <c r="J202" s="18">
        <f>ROUND(D202/1000,0)</f>
        <v>1423</v>
      </c>
      <c r="K202" s="20">
        <f aca="true" t="shared" si="31" ref="K202:K216">IF(ISERROR(ROUND(J202,0)/ROUND(H202,0))," ",(ROUND(J202,)/ROUND(H202,)))</f>
        <v>0.5473076923076923</v>
      </c>
      <c r="L202" s="18">
        <f>J202-'[5]Maijs'!J202</f>
        <v>654</v>
      </c>
    </row>
    <row r="203" spans="1:12" ht="15.75" customHeight="1">
      <c r="A203" s="9" t="s">
        <v>197</v>
      </c>
      <c r="B203" s="86"/>
      <c r="C203" s="86"/>
      <c r="D203" s="86"/>
      <c r="E203" s="188" t="str">
        <f t="shared" si="30"/>
        <v> </v>
      </c>
      <c r="F203" s="86"/>
      <c r="G203" s="9" t="s">
        <v>197</v>
      </c>
      <c r="H203" s="191"/>
      <c r="I203" s="191"/>
      <c r="J203" s="191"/>
      <c r="K203" s="20"/>
      <c r="L203" s="191"/>
    </row>
    <row r="204" spans="1:12" ht="12.75">
      <c r="A204" s="60" t="s">
        <v>278</v>
      </c>
      <c r="B204" s="98">
        <f>SUM(B205:B206)</f>
        <v>65000</v>
      </c>
      <c r="C204" s="98">
        <v>31800</v>
      </c>
      <c r="D204" s="98">
        <f>SUM(D205:D206)</f>
        <v>56962</v>
      </c>
      <c r="E204" s="188">
        <f t="shared" si="30"/>
        <v>0.8763384615384615</v>
      </c>
      <c r="F204" s="98">
        <f>SUM(F205:F206)</f>
        <v>1362</v>
      </c>
      <c r="G204" s="60" t="s">
        <v>278</v>
      </c>
      <c r="H204" s="174">
        <f>SUM(H205:H206)</f>
        <v>65</v>
      </c>
      <c r="I204" s="18">
        <f aca="true" t="shared" si="32" ref="I204:J206">ROUND(C204/1000,0)</f>
        <v>32</v>
      </c>
      <c r="J204" s="18">
        <f t="shared" si="32"/>
        <v>57</v>
      </c>
      <c r="K204" s="20">
        <f t="shared" si="31"/>
        <v>0.8769230769230769</v>
      </c>
      <c r="L204" s="174">
        <f>SUM(L205:L206)</f>
        <v>0</v>
      </c>
    </row>
    <row r="205" spans="1:12" ht="12.75">
      <c r="A205" s="60" t="s">
        <v>330</v>
      </c>
      <c r="B205" s="98">
        <v>61000</v>
      </c>
      <c r="C205" s="98"/>
      <c r="D205" s="98">
        <v>53495</v>
      </c>
      <c r="E205" s="188">
        <f t="shared" si="30"/>
        <v>0.8769672131147541</v>
      </c>
      <c r="F205" s="98">
        <f>D205-'[5]Maijs'!D205</f>
        <v>32592</v>
      </c>
      <c r="G205" s="60" t="s">
        <v>330</v>
      </c>
      <c r="H205" s="18">
        <f>ROUND(B205/1000,0)</f>
        <v>61</v>
      </c>
      <c r="I205" s="18">
        <f t="shared" si="32"/>
        <v>0</v>
      </c>
      <c r="J205" s="18">
        <f t="shared" si="32"/>
        <v>53</v>
      </c>
      <c r="K205" s="20">
        <f t="shared" si="31"/>
        <v>0.8688524590163934</v>
      </c>
      <c r="L205" s="18">
        <f>J205-'[5]Maijs'!J205</f>
        <v>32</v>
      </c>
    </row>
    <row r="206" spans="1:33" s="17" customFormat="1" ht="12.75">
      <c r="A206" s="60" t="s">
        <v>331</v>
      </c>
      <c r="B206" s="60">
        <v>4000</v>
      </c>
      <c r="C206" s="60"/>
      <c r="D206" s="60">
        <v>3467</v>
      </c>
      <c r="E206" s="188">
        <f t="shared" si="30"/>
        <v>0.86675</v>
      </c>
      <c r="F206" s="98">
        <f>D206-'[5]Maijs'!D206</f>
        <v>-31230</v>
      </c>
      <c r="G206" s="60" t="s">
        <v>331</v>
      </c>
      <c r="H206" s="18">
        <f>ROUND(B206/1000,0)</f>
        <v>4</v>
      </c>
      <c r="I206" s="18">
        <f t="shared" si="32"/>
        <v>0</v>
      </c>
      <c r="J206" s="18">
        <f t="shared" si="32"/>
        <v>3</v>
      </c>
      <c r="K206" s="20">
        <f t="shared" si="31"/>
        <v>0.75</v>
      </c>
      <c r="L206" s="18">
        <f>J206-'[5]Maijs'!J206</f>
        <v>-32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17" customFormat="1" ht="12.75">
      <c r="A207" s="60" t="s">
        <v>279</v>
      </c>
      <c r="B207" s="98">
        <f>SUM(B208:B209)</f>
        <v>65000</v>
      </c>
      <c r="C207" s="98">
        <f>SUM(C208:C209)</f>
        <v>60499</v>
      </c>
      <c r="D207" s="98">
        <f>SUM(D208:D209)</f>
        <v>60427</v>
      </c>
      <c r="E207" s="188">
        <f t="shared" si="30"/>
        <v>0.9296461538461539</v>
      </c>
      <c r="F207" s="98">
        <f>SUM(F208:F209)</f>
        <v>4745</v>
      </c>
      <c r="G207" s="60" t="s">
        <v>279</v>
      </c>
      <c r="H207" s="174">
        <f>SUM(H208:H209)</f>
        <v>65</v>
      </c>
      <c r="I207" s="174">
        <f>SUM(I208:I209)</f>
        <v>61</v>
      </c>
      <c r="J207" s="174">
        <f>SUM(J208:J209)</f>
        <v>61</v>
      </c>
      <c r="K207" s="20">
        <f t="shared" si="31"/>
        <v>0.9384615384615385</v>
      </c>
      <c r="L207" s="174">
        <f>SUM(L208:L209)</f>
        <v>5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12" ht="12.75">
      <c r="A208" s="60" t="s">
        <v>271</v>
      </c>
      <c r="B208" s="98">
        <v>62000</v>
      </c>
      <c r="C208" s="98">
        <v>59749</v>
      </c>
      <c r="D208" s="98">
        <v>59677</v>
      </c>
      <c r="E208" s="188">
        <f t="shared" si="30"/>
        <v>0.9625322580645161</v>
      </c>
      <c r="F208" s="98">
        <f>D208-'[5]Maijs'!D208</f>
        <v>4745</v>
      </c>
      <c r="G208" s="60" t="s">
        <v>271</v>
      </c>
      <c r="H208" s="18">
        <f aca="true" t="shared" si="33" ref="H208:J209">ROUND(B208/1000,0)</f>
        <v>62</v>
      </c>
      <c r="I208" s="18">
        <f t="shared" si="33"/>
        <v>60</v>
      </c>
      <c r="J208" s="18">
        <f t="shared" si="33"/>
        <v>60</v>
      </c>
      <c r="K208" s="20">
        <f t="shared" si="31"/>
        <v>0.967741935483871</v>
      </c>
      <c r="L208" s="18">
        <f>J208-'[5]Maijs'!J208</f>
        <v>5</v>
      </c>
    </row>
    <row r="209" spans="1:12" ht="12.75">
      <c r="A209" s="60" t="s">
        <v>272</v>
      </c>
      <c r="B209" s="98">
        <v>3000</v>
      </c>
      <c r="C209" s="98">
        <v>750</v>
      </c>
      <c r="D209" s="98">
        <v>750</v>
      </c>
      <c r="E209" s="188">
        <f t="shared" si="30"/>
        <v>0.25</v>
      </c>
      <c r="F209" s="98"/>
      <c r="G209" s="60" t="s">
        <v>272</v>
      </c>
      <c r="H209" s="18">
        <f t="shared" si="33"/>
        <v>3</v>
      </c>
      <c r="I209" s="18">
        <f t="shared" si="33"/>
        <v>1</v>
      </c>
      <c r="J209" s="18">
        <f t="shared" si="33"/>
        <v>1</v>
      </c>
      <c r="K209" s="20">
        <f t="shared" si="31"/>
        <v>0.3333333333333333</v>
      </c>
      <c r="L209" s="18">
        <f>J209-'[5]Maijs'!J209</f>
        <v>0</v>
      </c>
    </row>
    <row r="210" spans="1:33" s="17" customFormat="1" ht="27" customHeight="1">
      <c r="A210" s="32" t="s">
        <v>332</v>
      </c>
      <c r="B210" s="60"/>
      <c r="C210" s="60"/>
      <c r="D210" s="60"/>
      <c r="E210" s="188" t="str">
        <f t="shared" si="30"/>
        <v> </v>
      </c>
      <c r="F210" s="60"/>
      <c r="G210" s="32" t="s">
        <v>332</v>
      </c>
      <c r="H210" s="174"/>
      <c r="I210" s="174"/>
      <c r="J210" s="174"/>
      <c r="K210" s="20"/>
      <c r="L210" s="174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17" customFormat="1" ht="12.75">
      <c r="A211" s="60" t="s">
        <v>278</v>
      </c>
      <c r="B211" s="60">
        <f>B212</f>
        <v>69988</v>
      </c>
      <c r="C211" s="60">
        <v>23328</v>
      </c>
      <c r="D211" s="60">
        <f>D212</f>
        <v>3845</v>
      </c>
      <c r="E211" s="188">
        <f t="shared" si="30"/>
        <v>0.05493798936960622</v>
      </c>
      <c r="F211" s="60">
        <f>F212</f>
        <v>3845</v>
      </c>
      <c r="G211" s="60" t="s">
        <v>278</v>
      </c>
      <c r="H211" s="174">
        <f>H212</f>
        <v>70</v>
      </c>
      <c r="I211" s="18">
        <f>ROUND(C211/1000,0)</f>
        <v>23</v>
      </c>
      <c r="J211" s="174">
        <f>J212</f>
        <v>4</v>
      </c>
      <c r="K211" s="20">
        <f t="shared" si="31"/>
        <v>0.05714285714285714</v>
      </c>
      <c r="L211" s="174">
        <f>L212</f>
        <v>4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17" customFormat="1" ht="31.5" customHeight="1">
      <c r="A212" s="63" t="s">
        <v>333</v>
      </c>
      <c r="B212" s="60">
        <v>69988</v>
      </c>
      <c r="C212" s="60"/>
      <c r="D212" s="60">
        <v>3845</v>
      </c>
      <c r="E212" s="188">
        <f t="shared" si="30"/>
        <v>0.05493798936960622</v>
      </c>
      <c r="F212" s="98">
        <f>D212-'[5]Maijs'!D212</f>
        <v>3845</v>
      </c>
      <c r="G212" s="63" t="s">
        <v>333</v>
      </c>
      <c r="H212" s="18">
        <f>ROUND(B212/1000,0)</f>
        <v>70</v>
      </c>
      <c r="I212" s="18">
        <f>ROUND(C212/1000,0)</f>
        <v>0</v>
      </c>
      <c r="J212" s="18">
        <f>ROUND(D212/1000,0)</f>
        <v>4</v>
      </c>
      <c r="K212" s="20">
        <f t="shared" si="31"/>
        <v>0.05714285714285714</v>
      </c>
      <c r="L212" s="18">
        <f>J212-'[5]Maijs'!J212</f>
        <v>4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12" ht="12.75">
      <c r="A213" s="60" t="s">
        <v>279</v>
      </c>
      <c r="B213" s="98">
        <f>SUM(B214:B215)</f>
        <v>132568</v>
      </c>
      <c r="C213" s="98">
        <f>SUM(C214:C215)</f>
        <v>44190</v>
      </c>
      <c r="D213" s="98">
        <f>SUM(D214:D215)</f>
        <v>3845</v>
      </c>
      <c r="E213" s="188">
        <f t="shared" si="30"/>
        <v>0.02900398286162573</v>
      </c>
      <c r="F213" s="98">
        <f>SUM(F214:F215)</f>
        <v>2</v>
      </c>
      <c r="G213" s="60" t="s">
        <v>279</v>
      </c>
      <c r="H213" s="174">
        <f>SUM(H214:H215)</f>
        <v>132</v>
      </c>
      <c r="I213" s="174">
        <f>SUM(I214:I215)</f>
        <v>44</v>
      </c>
      <c r="J213" s="174">
        <f>SUM(J214:J215)</f>
        <v>4</v>
      </c>
      <c r="K213" s="20">
        <f t="shared" si="31"/>
        <v>0.030303030303030304</v>
      </c>
      <c r="L213" s="174">
        <f>SUM(L214:L215)</f>
        <v>0</v>
      </c>
    </row>
    <row r="214" spans="1:12" ht="12.75">
      <c r="A214" s="60" t="s">
        <v>271</v>
      </c>
      <c r="B214" s="98">
        <v>124433</v>
      </c>
      <c r="C214" s="98">
        <v>41478</v>
      </c>
      <c r="D214" s="98">
        <v>3771</v>
      </c>
      <c r="E214" s="188">
        <f t="shared" si="30"/>
        <v>0.03030546559192497</v>
      </c>
      <c r="F214" s="98">
        <f>D214-'[5]Maijs'!D214</f>
        <v>1</v>
      </c>
      <c r="G214" s="60" t="s">
        <v>271</v>
      </c>
      <c r="H214" s="18">
        <f aca="true" t="shared" si="34" ref="H214:J215">ROUND(B214/1000,0)</f>
        <v>124</v>
      </c>
      <c r="I214" s="18">
        <f t="shared" si="34"/>
        <v>41</v>
      </c>
      <c r="J214" s="18">
        <f t="shared" si="34"/>
        <v>4</v>
      </c>
      <c r="K214" s="20">
        <f t="shared" si="31"/>
        <v>0.03225806451612903</v>
      </c>
      <c r="L214" s="18">
        <f>J214-'[5]Maijs'!J214</f>
        <v>0</v>
      </c>
    </row>
    <row r="215" spans="1:12" ht="12.75">
      <c r="A215" s="60" t="s">
        <v>272</v>
      </c>
      <c r="B215" s="98">
        <v>8135</v>
      </c>
      <c r="C215" s="98">
        <v>2712</v>
      </c>
      <c r="D215" s="98">
        <v>74</v>
      </c>
      <c r="E215" s="188">
        <f t="shared" si="30"/>
        <v>0.009096496619545175</v>
      </c>
      <c r="F215" s="98">
        <f>D215-'[5]Maijs'!D215</f>
        <v>1</v>
      </c>
      <c r="G215" s="60" t="s">
        <v>272</v>
      </c>
      <c r="H215" s="18">
        <f t="shared" si="34"/>
        <v>8</v>
      </c>
      <c r="I215" s="18">
        <f t="shared" si="34"/>
        <v>3</v>
      </c>
      <c r="J215" s="18">
        <f t="shared" si="34"/>
        <v>0</v>
      </c>
      <c r="K215" s="20">
        <f t="shared" si="31"/>
        <v>0</v>
      </c>
      <c r="L215" s="18">
        <f>J215-'[5]Maijs'!J215</f>
        <v>0</v>
      </c>
    </row>
    <row r="216" spans="1:12" ht="12.75">
      <c r="A216" s="60" t="s">
        <v>275</v>
      </c>
      <c r="B216" s="98">
        <f>SUM(B211-B213)</f>
        <v>-62580</v>
      </c>
      <c r="C216" s="98">
        <f>SUM(C211-C213)</f>
        <v>-20862</v>
      </c>
      <c r="D216" s="98">
        <f>SUM(D211-D213)</f>
        <v>0</v>
      </c>
      <c r="E216" s="188">
        <f t="shared" si="30"/>
        <v>0</v>
      </c>
      <c r="F216" s="98">
        <f>SUM(F211-F213)</f>
        <v>3843</v>
      </c>
      <c r="G216" s="60" t="s">
        <v>275</v>
      </c>
      <c r="H216" s="174">
        <f>SUM(H211-H213)</f>
        <v>-62</v>
      </c>
      <c r="I216" s="174">
        <f>SUM(I211-I213)</f>
        <v>-21</v>
      </c>
      <c r="J216" s="174">
        <f>SUM(J211-J213)</f>
        <v>0</v>
      </c>
      <c r="K216" s="20">
        <f t="shared" si="31"/>
        <v>0</v>
      </c>
      <c r="L216" s="174">
        <f>SUM(L211-L213)</f>
        <v>4</v>
      </c>
    </row>
    <row r="217" spans="1:12" ht="12.75">
      <c r="A217" s="60" t="s">
        <v>276</v>
      </c>
      <c r="B217" s="98">
        <f>-B216</f>
        <v>62580</v>
      </c>
      <c r="C217" s="98"/>
      <c r="D217" s="98"/>
      <c r="E217" s="188">
        <f t="shared" si="30"/>
        <v>0</v>
      </c>
      <c r="F217" s="98">
        <f>-F216</f>
        <v>-3843</v>
      </c>
      <c r="G217" s="60" t="s">
        <v>276</v>
      </c>
      <c r="H217" s="174">
        <f>-H216</f>
        <v>62</v>
      </c>
      <c r="I217" s="174"/>
      <c r="J217" s="174"/>
      <c r="K217" s="20"/>
      <c r="L217" s="174"/>
    </row>
    <row r="218" spans="1:12" ht="14.25">
      <c r="A218" s="201"/>
      <c r="B218" s="202"/>
      <c r="C218" s="202"/>
      <c r="D218" s="202"/>
      <c r="E218" s="202"/>
      <c r="G218" s="201"/>
      <c r="H218" s="202"/>
      <c r="I218" s="202"/>
      <c r="J218" s="202"/>
      <c r="K218" s="202"/>
      <c r="L218" s="184"/>
    </row>
    <row r="219" spans="1:12" ht="14.25">
      <c r="A219" s="201"/>
      <c r="B219" s="202"/>
      <c r="C219" s="202"/>
      <c r="D219" s="202"/>
      <c r="E219" s="202"/>
      <c r="G219" s="201"/>
      <c r="H219" s="202"/>
      <c r="I219" s="202"/>
      <c r="J219" s="202"/>
      <c r="K219" s="202"/>
      <c r="L219" s="184"/>
    </row>
    <row r="220" spans="1:12" ht="12.75">
      <c r="A220" s="37"/>
      <c r="B220" s="202"/>
      <c r="C220" s="202"/>
      <c r="D220" s="202"/>
      <c r="E220" s="202"/>
      <c r="G220" s="37"/>
      <c r="H220" s="202"/>
      <c r="I220" s="202"/>
      <c r="J220" s="202"/>
      <c r="K220" s="202"/>
      <c r="L220" s="184"/>
    </row>
    <row r="221" spans="1:12" ht="12.75">
      <c r="A221" s="39" t="s">
        <v>334</v>
      </c>
      <c r="B221" s="74"/>
      <c r="C221" s="74"/>
      <c r="D221" s="74"/>
      <c r="E221" s="40"/>
      <c r="G221" s="39"/>
      <c r="H221" s="74"/>
      <c r="I221" s="74"/>
      <c r="J221" s="74"/>
      <c r="K221" s="40"/>
      <c r="L221" s="184"/>
    </row>
    <row r="222" spans="1:12" ht="12.75">
      <c r="A222" s="203"/>
      <c r="B222" s="203"/>
      <c r="C222" s="203"/>
      <c r="D222" s="203"/>
      <c r="E222" s="183"/>
      <c r="G222" s="203"/>
      <c r="H222" s="203"/>
      <c r="I222" s="203"/>
      <c r="J222" s="203"/>
      <c r="K222" s="183"/>
      <c r="L222" s="184"/>
    </row>
    <row r="223" spans="1:12" ht="12.75">
      <c r="A223" s="203"/>
      <c r="B223" s="203"/>
      <c r="C223" s="203"/>
      <c r="D223" s="203"/>
      <c r="E223" s="183"/>
      <c r="G223" s="203"/>
      <c r="H223" s="203"/>
      <c r="I223" s="203"/>
      <c r="J223" s="203"/>
      <c r="K223" s="183"/>
      <c r="L223" s="184"/>
    </row>
    <row r="224" spans="1:12" ht="12.75">
      <c r="A224" s="203"/>
      <c r="B224" s="203"/>
      <c r="C224" s="203"/>
      <c r="D224" s="203"/>
      <c r="E224" s="183"/>
      <c r="G224" s="203"/>
      <c r="H224" s="203"/>
      <c r="I224" s="203"/>
      <c r="J224" s="203"/>
      <c r="K224" s="183"/>
      <c r="L224" s="184"/>
    </row>
    <row r="225" spans="1:12" ht="12.75">
      <c r="A225" s="203" t="s">
        <v>91</v>
      </c>
      <c r="B225" s="203"/>
      <c r="C225" s="203"/>
      <c r="D225" s="203"/>
      <c r="E225" s="183"/>
      <c r="G225" s="203"/>
      <c r="H225" s="203"/>
      <c r="I225" s="203"/>
      <c r="J225" s="203"/>
      <c r="K225" s="183"/>
      <c r="L225" s="184"/>
    </row>
    <row r="226" spans="1:12" ht="12.75">
      <c r="A226" s="203" t="s">
        <v>262</v>
      </c>
      <c r="B226" s="203"/>
      <c r="C226" s="203"/>
      <c r="D226" s="203"/>
      <c r="E226" s="183"/>
      <c r="G226" s="203"/>
      <c r="H226" s="203"/>
      <c r="I226" s="203"/>
      <c r="J226" s="203"/>
      <c r="K226" s="183"/>
      <c r="L226" s="184"/>
    </row>
    <row r="227" spans="1:12" ht="12.75">
      <c r="A227" s="203"/>
      <c r="B227" s="203"/>
      <c r="C227" s="203"/>
      <c r="D227" s="203"/>
      <c r="E227" s="183"/>
      <c r="G227" s="203"/>
      <c r="H227" s="203"/>
      <c r="I227" s="203"/>
      <c r="J227" s="203"/>
      <c r="K227" s="183"/>
      <c r="L227" s="184"/>
    </row>
    <row r="228" spans="1:12" ht="12.75">
      <c r="A228" s="203"/>
      <c r="B228" s="203"/>
      <c r="C228" s="203"/>
      <c r="D228" s="203"/>
      <c r="E228" s="183"/>
      <c r="G228" s="203"/>
      <c r="H228" s="203"/>
      <c r="I228" s="203"/>
      <c r="J228" s="203"/>
      <c r="K228" s="183"/>
      <c r="L228" s="184"/>
    </row>
    <row r="229" spans="2:11" ht="12.75">
      <c r="B229" s="203"/>
      <c r="C229" s="203"/>
      <c r="D229" s="203"/>
      <c r="E229" s="183"/>
      <c r="K229" s="204"/>
    </row>
    <row r="230" spans="1:11" ht="12.75">
      <c r="A230" s="203"/>
      <c r="B230" s="203"/>
      <c r="C230" s="203"/>
      <c r="D230" s="203"/>
      <c r="E230" s="183"/>
      <c r="K230" s="204"/>
    </row>
    <row r="231" spans="1:7" ht="12.75">
      <c r="A231" s="203"/>
      <c r="B231" s="203"/>
      <c r="C231" s="203"/>
      <c r="D231" s="203"/>
      <c r="E231" s="183"/>
      <c r="G231" s="39"/>
    </row>
    <row r="232" spans="1:7" ht="12.75">
      <c r="A232" s="203"/>
      <c r="B232" s="183"/>
      <c r="C232" s="183"/>
      <c r="D232" s="183"/>
      <c r="E232" s="183"/>
      <c r="G232" s="203"/>
    </row>
    <row r="233" spans="1:5" ht="12.75">
      <c r="A233" s="203"/>
      <c r="B233" s="183"/>
      <c r="C233" s="183"/>
      <c r="D233" s="183"/>
      <c r="E233" s="183"/>
    </row>
    <row r="234" spans="1:5" ht="12.75">
      <c r="A234" s="183"/>
      <c r="B234" s="183"/>
      <c r="C234" s="183"/>
      <c r="D234" s="183"/>
      <c r="E234" s="183"/>
    </row>
    <row r="235" spans="1:5" ht="12.75">
      <c r="A235" s="183"/>
      <c r="B235" s="183"/>
      <c r="C235" s="183"/>
      <c r="D235" s="183"/>
      <c r="E235" s="183"/>
    </row>
    <row r="236" spans="1:5" ht="12.75">
      <c r="A236" s="183"/>
      <c r="B236" s="183"/>
      <c r="C236" s="183"/>
      <c r="D236" s="183"/>
      <c r="E236" s="183"/>
    </row>
    <row r="237" spans="1:5" ht="12.75">
      <c r="A237" s="183"/>
      <c r="B237" s="183"/>
      <c r="C237" s="183"/>
      <c r="D237" s="183"/>
      <c r="E237" s="183"/>
    </row>
    <row r="238" spans="1:5" ht="12.75">
      <c r="A238" s="183"/>
      <c r="B238" s="183"/>
      <c r="C238" s="183"/>
      <c r="D238" s="183"/>
      <c r="E238" s="183"/>
    </row>
    <row r="239" spans="1:5" ht="12.75">
      <c r="A239" s="183"/>
      <c r="B239" s="183"/>
      <c r="C239" s="183"/>
      <c r="D239" s="183"/>
      <c r="E239" s="183"/>
    </row>
    <row r="240" spans="1:5" ht="12.75">
      <c r="A240" s="183"/>
      <c r="B240" s="183"/>
      <c r="C240" s="183"/>
      <c r="D240" s="183"/>
      <c r="E240" s="183"/>
    </row>
    <row r="241" spans="1:7" ht="12.75">
      <c r="A241" s="183"/>
      <c r="B241" s="183"/>
      <c r="C241" s="183"/>
      <c r="D241" s="183"/>
      <c r="E241" s="183"/>
      <c r="G241" s="39" t="s">
        <v>334</v>
      </c>
    </row>
    <row r="242" spans="1:5" ht="12.75">
      <c r="A242" s="183"/>
      <c r="B242" s="183"/>
      <c r="C242" s="183"/>
      <c r="D242" s="183"/>
      <c r="E242" s="183"/>
    </row>
    <row r="243" spans="1:5" ht="12.75">
      <c r="A243" s="183"/>
      <c r="B243" s="183"/>
      <c r="C243" s="183"/>
      <c r="D243" s="183"/>
      <c r="E243" s="183"/>
    </row>
    <row r="244" spans="1:5" ht="12.75">
      <c r="A244" s="183"/>
      <c r="B244" s="183"/>
      <c r="C244" s="183"/>
      <c r="D244" s="183"/>
      <c r="E244" s="183"/>
    </row>
    <row r="245" spans="1:5" ht="12.75">
      <c r="A245" s="183"/>
      <c r="B245" s="183"/>
      <c r="C245" s="183"/>
      <c r="D245" s="183"/>
      <c r="E245" s="183"/>
    </row>
    <row r="246" ht="12.75">
      <c r="G246" s="203" t="s">
        <v>91</v>
      </c>
    </row>
    <row r="247" ht="12.75">
      <c r="G247" s="203" t="s">
        <v>93</v>
      </c>
    </row>
  </sheetData>
  <mergeCells count="5">
    <mergeCell ref="G2:L2"/>
    <mergeCell ref="A4:F4"/>
    <mergeCell ref="G4:L4"/>
    <mergeCell ref="A5:F5"/>
    <mergeCell ref="G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23"/>
  <sheetViews>
    <sheetView workbookViewId="0" topLeftCell="H1">
      <selection activeCell="B9" sqref="B9"/>
    </sheetView>
  </sheetViews>
  <sheetFormatPr defaultColWidth="9.140625" defaultRowHeight="12.75"/>
  <cols>
    <col min="1" max="1" width="36.140625" style="1" hidden="1" customWidth="1"/>
    <col min="2" max="2" width="11.7109375" style="1" hidden="1" customWidth="1"/>
    <col min="3" max="4" width="11.421875" style="1" hidden="1" customWidth="1"/>
    <col min="5" max="5" width="9.140625" style="1" hidden="1" customWidth="1"/>
    <col min="6" max="6" width="8.28125" style="1" hidden="1" customWidth="1"/>
    <col min="7" max="7" width="10.28125" style="1" hidden="1" customWidth="1"/>
    <col min="8" max="8" width="32.8515625" style="1" customWidth="1"/>
    <col min="9" max="9" width="11.28125" style="1" customWidth="1"/>
    <col min="10" max="10" width="11.140625" style="1" customWidth="1"/>
    <col min="11" max="11" width="11.57421875" style="1" customWidth="1"/>
    <col min="12" max="12" width="11.421875" style="1" customWidth="1"/>
    <col min="13" max="13" width="11.7109375" style="1" customWidth="1"/>
    <col min="14" max="14" width="11.8515625" style="1" customWidth="1"/>
    <col min="15" max="16384" width="9.140625" style="1" customWidth="1"/>
  </cols>
  <sheetData>
    <row r="1" spans="1:14" ht="21" customHeight="1">
      <c r="A1" s="3" t="s">
        <v>335</v>
      </c>
      <c r="B1" s="3"/>
      <c r="C1" s="40"/>
      <c r="D1" s="40"/>
      <c r="E1" s="3"/>
      <c r="F1" s="3"/>
      <c r="G1" s="1" t="s">
        <v>336</v>
      </c>
      <c r="H1" s="3" t="s">
        <v>335</v>
      </c>
      <c r="I1" s="3"/>
      <c r="J1" s="40"/>
      <c r="K1" s="40"/>
      <c r="L1" s="3"/>
      <c r="M1" s="3"/>
      <c r="N1" s="42" t="s">
        <v>336</v>
      </c>
    </row>
    <row r="2" spans="1:11" ht="0.75" customHeight="1" hidden="1">
      <c r="A2" s="6"/>
      <c r="B2" s="6"/>
      <c r="C2" s="6"/>
      <c r="D2" s="6"/>
      <c r="H2" s="6"/>
      <c r="I2" s="6"/>
      <c r="J2" s="6"/>
      <c r="K2" s="6"/>
    </row>
    <row r="3" spans="1:11" ht="11.25" customHeight="1">
      <c r="A3" s="6"/>
      <c r="B3" s="6"/>
      <c r="C3" s="6"/>
      <c r="D3" s="6"/>
      <c r="H3" s="6"/>
      <c r="I3" s="6"/>
      <c r="J3" s="6"/>
      <c r="K3" s="6"/>
    </row>
    <row r="4" spans="1:14" ht="18.75" customHeight="1">
      <c r="A4" s="78" t="s">
        <v>337</v>
      </c>
      <c r="B4" s="205"/>
      <c r="C4" s="205"/>
      <c r="D4" s="205"/>
      <c r="E4" s="205"/>
      <c r="F4" s="205"/>
      <c r="H4" s="284" t="s">
        <v>337</v>
      </c>
      <c r="I4" s="284"/>
      <c r="J4" s="284"/>
      <c r="K4" s="284"/>
      <c r="L4" s="284"/>
      <c r="M4" s="284"/>
      <c r="N4" s="284"/>
    </row>
    <row r="5" spans="1:14" ht="20.25" customHeight="1">
      <c r="A5" s="78"/>
      <c r="B5" s="205"/>
      <c r="C5" s="205"/>
      <c r="D5" s="205"/>
      <c r="E5" s="205"/>
      <c r="F5" s="205"/>
      <c r="H5" s="284" t="s">
        <v>209</v>
      </c>
      <c r="I5" s="284"/>
      <c r="J5" s="284"/>
      <c r="K5" s="284"/>
      <c r="L5" s="284"/>
      <c r="M5" s="284"/>
      <c r="N5" s="284"/>
    </row>
    <row r="6" spans="1:14" ht="20.25">
      <c r="A6" s="78" t="s">
        <v>99</v>
      </c>
      <c r="B6" s="205"/>
      <c r="C6" s="205"/>
      <c r="D6" s="205"/>
      <c r="E6" s="205"/>
      <c r="F6" s="205"/>
      <c r="H6" s="284" t="s">
        <v>211</v>
      </c>
      <c r="I6" s="284"/>
      <c r="J6" s="284"/>
      <c r="K6" s="284"/>
      <c r="L6" s="284"/>
      <c r="M6" s="284"/>
      <c r="N6" s="284"/>
    </row>
    <row r="7" spans="1:14" ht="17.25" customHeight="1">
      <c r="A7" s="6"/>
      <c r="B7" s="6"/>
      <c r="C7" s="6"/>
      <c r="D7" s="6"/>
      <c r="G7" s="6"/>
      <c r="H7" s="6"/>
      <c r="I7" s="6"/>
      <c r="J7" s="6"/>
      <c r="K7" s="6"/>
      <c r="N7" s="206" t="s">
        <v>100</v>
      </c>
    </row>
    <row r="8" spans="1:14" ht="58.5" customHeight="1">
      <c r="A8" s="7" t="s">
        <v>7</v>
      </c>
      <c r="B8" s="7" t="s">
        <v>8</v>
      </c>
      <c r="C8" s="7" t="s">
        <v>212</v>
      </c>
      <c r="D8" s="7" t="s">
        <v>9</v>
      </c>
      <c r="E8" s="7" t="s">
        <v>213</v>
      </c>
      <c r="F8" s="7" t="s">
        <v>338</v>
      </c>
      <c r="G8" s="7" t="s">
        <v>170</v>
      </c>
      <c r="H8" s="7" t="s">
        <v>7</v>
      </c>
      <c r="I8" s="7" t="s">
        <v>8</v>
      </c>
      <c r="J8" s="7" t="s">
        <v>212</v>
      </c>
      <c r="K8" s="7" t="s">
        <v>9</v>
      </c>
      <c r="L8" s="7" t="s">
        <v>213</v>
      </c>
      <c r="M8" s="7" t="s">
        <v>338</v>
      </c>
      <c r="N8" s="7" t="s">
        <v>170</v>
      </c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1</v>
      </c>
      <c r="I9" s="7">
        <v>2</v>
      </c>
      <c r="J9" s="7">
        <v>3</v>
      </c>
      <c r="K9" s="7">
        <v>4</v>
      </c>
      <c r="L9" s="7">
        <v>5</v>
      </c>
      <c r="M9" s="7">
        <v>6</v>
      </c>
      <c r="N9" s="7">
        <v>7</v>
      </c>
    </row>
    <row r="10" spans="1:14" ht="18.75" customHeight="1">
      <c r="A10" s="176" t="s">
        <v>339</v>
      </c>
      <c r="B10" s="207">
        <f>SUM(B11:B12)</f>
        <v>810358111</v>
      </c>
      <c r="C10" s="207">
        <f>SUM(C11:C12)</f>
        <v>359244436</v>
      </c>
      <c r="D10" s="207">
        <f>SUM(D11:D12)</f>
        <v>331885000</v>
      </c>
      <c r="E10" s="16">
        <f>IF(ISERROR(D10/B10)," ",(D10/B10))</f>
        <v>0.4095534992430032</v>
      </c>
      <c r="F10" s="16">
        <f>IF(ISERROR(D10/C10)," ",(D10/C10))</f>
        <v>0.9238417265285077</v>
      </c>
      <c r="G10" s="207">
        <f>SUM(G11:G12)</f>
        <v>57416000</v>
      </c>
      <c r="H10" s="176" t="s">
        <v>339</v>
      </c>
      <c r="I10" s="208">
        <f>SUM(I11:I12)</f>
        <v>810358</v>
      </c>
      <c r="J10" s="208">
        <f>SUM(J11:J12)</f>
        <v>359244</v>
      </c>
      <c r="K10" s="208">
        <f>SUM(K11:K12)</f>
        <v>331885</v>
      </c>
      <c r="L10" s="209">
        <f>IF(ISERROR(ROUND(K10,0)/ROUND(I10,0))," ",(ROUND(K10,)/ROUND(I10,)))</f>
        <v>0.4095535553422068</v>
      </c>
      <c r="M10" s="209">
        <f>IF(ISERROR(ROUND(K10,0)/ROUND(J10,0))," ",(ROUND(K10,)/ROUND(J10,)))</f>
        <v>0.9238428477580697</v>
      </c>
      <c r="N10" s="208">
        <f>SUM(N11:N12)</f>
        <v>57416</v>
      </c>
    </row>
    <row r="11" spans="1:14" ht="22.5" customHeight="1">
      <c r="A11" s="63" t="s">
        <v>340</v>
      </c>
      <c r="B11" s="84">
        <v>775745348</v>
      </c>
      <c r="C11" s="210">
        <f>123578540+36125915+36707916+37245916+38083147+39168533+40272492</f>
        <v>351182459</v>
      </c>
      <c r="D11" s="84">
        <f>326051000-4000</f>
        <v>326047000</v>
      </c>
      <c r="E11" s="20">
        <f aca="true" t="shared" si="0" ref="E11:E16">IF(ISERROR(D11/B11)," ",(D11/B11))</f>
        <v>0.42030158587557526</v>
      </c>
      <c r="F11" s="20">
        <f aca="true" t="shared" si="1" ref="F11:F16">IF(ISERROR(D11/C11)," ",(D11/C11))</f>
        <v>0.9284262116292089</v>
      </c>
      <c r="G11" s="21">
        <f>D11-'[6]Maijs'!D11</f>
        <v>56395000</v>
      </c>
      <c r="H11" s="63" t="s">
        <v>340</v>
      </c>
      <c r="I11" s="154">
        <f aca="true" t="shared" si="2" ref="I11:K12">ROUND(B11/1000,0)</f>
        <v>775745</v>
      </c>
      <c r="J11" s="154">
        <f t="shared" si="2"/>
        <v>351182</v>
      </c>
      <c r="K11" s="154">
        <f t="shared" si="2"/>
        <v>326047</v>
      </c>
      <c r="L11" s="20">
        <f aca="true" t="shared" si="3" ref="L11:L16">IF(ISERROR(ROUND(K11,0)/ROUND(I11,0))," ",(ROUND(K11,)/ROUND(I11,)))</f>
        <v>0.4203017744232963</v>
      </c>
      <c r="M11" s="20">
        <f aca="true" t="shared" si="4" ref="M11:M16">IF(ISERROR(ROUND(K11,0)/ROUND(J11,0))," ",(ROUND(K11,)/ROUND(J11,)))</f>
        <v>0.9284274250958192</v>
      </c>
      <c r="N11" s="154">
        <f>K11-'[6]Maijs'!K11</f>
        <v>56395</v>
      </c>
    </row>
    <row r="12" spans="1:14" ht="15.75" customHeight="1">
      <c r="A12" s="63" t="s">
        <v>341</v>
      </c>
      <c r="B12" s="84">
        <v>34612763</v>
      </c>
      <c r="C12" s="210">
        <f>8061977</f>
        <v>8061977</v>
      </c>
      <c r="D12" s="84">
        <f>5877000+4000-43000</f>
        <v>5838000</v>
      </c>
      <c r="E12" s="20">
        <f t="shared" si="0"/>
        <v>0.16866610735467724</v>
      </c>
      <c r="F12" s="20">
        <f t="shared" si="1"/>
        <v>0.7241399969263123</v>
      </c>
      <c r="G12" s="21">
        <f>D12-'[6]Maijs'!D12</f>
        <v>1021000</v>
      </c>
      <c r="H12" s="63" t="s">
        <v>341</v>
      </c>
      <c r="I12" s="154">
        <f t="shared" si="2"/>
        <v>34613</v>
      </c>
      <c r="J12" s="154">
        <f t="shared" si="2"/>
        <v>8062</v>
      </c>
      <c r="K12" s="154">
        <f t="shared" si="2"/>
        <v>5838</v>
      </c>
      <c r="L12" s="20">
        <f t="shared" si="3"/>
        <v>0.1686649524745038</v>
      </c>
      <c r="M12" s="20">
        <f t="shared" si="4"/>
        <v>0.7241379310344828</v>
      </c>
      <c r="N12" s="154">
        <f>K12-'[6]Maijs'!K12</f>
        <v>1021</v>
      </c>
    </row>
    <row r="13" spans="1:14" ht="21.75" customHeight="1">
      <c r="A13" s="176" t="s">
        <v>219</v>
      </c>
      <c r="B13" s="86">
        <f>SUM(B14,B40)</f>
        <v>870883731</v>
      </c>
      <c r="C13" s="86">
        <f>SUM(C14,C40)</f>
        <v>403699892</v>
      </c>
      <c r="D13" s="86">
        <f>SUM(D14,D40)</f>
        <v>380038265</v>
      </c>
      <c r="E13" s="16">
        <f t="shared" si="0"/>
        <v>0.4363823223148487</v>
      </c>
      <c r="F13" s="16">
        <f t="shared" si="1"/>
        <v>0.9413880769628742</v>
      </c>
      <c r="G13" s="86">
        <f>SUM(G14,G40)</f>
        <v>72227403</v>
      </c>
      <c r="H13" s="176" t="s">
        <v>219</v>
      </c>
      <c r="I13" s="191">
        <f>SUM(I14,I40)</f>
        <v>870884</v>
      </c>
      <c r="J13" s="191">
        <f>SUM(J14,J40)</f>
        <v>403701</v>
      </c>
      <c r="K13" s="191">
        <f>SUM(K14,K40)</f>
        <v>380038</v>
      </c>
      <c r="L13" s="209">
        <f t="shared" si="3"/>
        <v>0.43638188323588445</v>
      </c>
      <c r="M13" s="209">
        <f t="shared" si="4"/>
        <v>0.9413848367975308</v>
      </c>
      <c r="N13" s="191">
        <f>SUM(N14,N40)</f>
        <v>72227</v>
      </c>
    </row>
    <row r="14" spans="1:14" ht="20.25" customHeight="1">
      <c r="A14" s="90" t="s">
        <v>342</v>
      </c>
      <c r="B14" s="52">
        <f>SUM(B15,B24,B27)</f>
        <v>804930855</v>
      </c>
      <c r="C14" s="52">
        <f>SUM(C15,C24,C27)</f>
        <v>379381500</v>
      </c>
      <c r="D14" s="52">
        <f>SUM(D15,D24,D27)</f>
        <v>363026836</v>
      </c>
      <c r="E14" s="16">
        <f t="shared" si="0"/>
        <v>0.4510037523657855</v>
      </c>
      <c r="F14" s="16">
        <f t="shared" si="1"/>
        <v>0.956891245355928</v>
      </c>
      <c r="G14" s="52">
        <f>SUM(G15,G24,G27)</f>
        <v>66681814</v>
      </c>
      <c r="H14" s="90" t="s">
        <v>342</v>
      </c>
      <c r="I14" s="10">
        <f>SUM(I15,I24,I27)</f>
        <v>804931</v>
      </c>
      <c r="J14" s="10">
        <f>SUM(J15,J24,J27)</f>
        <v>379382</v>
      </c>
      <c r="K14" s="10">
        <f>SUM(K15,K24,K27)</f>
        <v>363027</v>
      </c>
      <c r="L14" s="209">
        <f t="shared" si="3"/>
        <v>0.4510038748662929</v>
      </c>
      <c r="M14" s="209">
        <f t="shared" si="4"/>
        <v>0.9568904165194975</v>
      </c>
      <c r="N14" s="10">
        <f>SUM(N15,N24,N27)</f>
        <v>66682</v>
      </c>
    </row>
    <row r="15" spans="1:14" ht="18.75" customHeight="1">
      <c r="A15" s="94" t="s">
        <v>221</v>
      </c>
      <c r="B15" s="155">
        <v>137219699</v>
      </c>
      <c r="C15" s="155">
        <f>42367188+499787+500727+381090+589889+434889+342889</f>
        <v>45116459</v>
      </c>
      <c r="D15" s="155">
        <f>SUM(D16,D17,D18,D23)</f>
        <v>39070816</v>
      </c>
      <c r="E15" s="16">
        <f t="shared" si="0"/>
        <v>0.28473182993937335</v>
      </c>
      <c r="F15" s="16">
        <f t="shared" si="1"/>
        <v>0.865999168950737</v>
      </c>
      <c r="G15" s="155">
        <f>SUM(G16,G17,G18,G23)</f>
        <v>7010598</v>
      </c>
      <c r="H15" s="94" t="s">
        <v>221</v>
      </c>
      <c r="I15" s="156">
        <f>ROUND(B15/1000,0)</f>
        <v>137220</v>
      </c>
      <c r="J15" s="156">
        <f>ROUND(C15/1000,0)+1</f>
        <v>45117</v>
      </c>
      <c r="K15" s="211">
        <f>SUM(K16,K17,K18,K23)</f>
        <v>39072</v>
      </c>
      <c r="L15" s="16">
        <f t="shared" si="3"/>
        <v>0.2847398338434631</v>
      </c>
      <c r="M15" s="16">
        <f t="shared" si="4"/>
        <v>0.8660150275949199</v>
      </c>
      <c r="N15" s="15">
        <f>SUM(N16,N17,N18,N23)</f>
        <v>7011</v>
      </c>
    </row>
    <row r="16" spans="1:14" ht="12.75">
      <c r="A16" s="60" t="s">
        <v>222</v>
      </c>
      <c r="B16" s="131">
        <v>19960471</v>
      </c>
      <c r="C16" s="131">
        <f>6681507+7037+7037+7037+18086+15000+11000</f>
        <v>6746704</v>
      </c>
      <c r="D16" s="131">
        <v>6978521</v>
      </c>
      <c r="E16" s="20">
        <f t="shared" si="0"/>
        <v>0.3496170506196973</v>
      </c>
      <c r="F16" s="20">
        <f t="shared" si="1"/>
        <v>1.0343600371381345</v>
      </c>
      <c r="G16" s="131">
        <f>D16-'[6]Maijs'!D16</f>
        <v>1700689</v>
      </c>
      <c r="H16" s="60" t="s">
        <v>222</v>
      </c>
      <c r="I16" s="172">
        <f>ROUND(B16/1000,0)</f>
        <v>19960</v>
      </c>
      <c r="J16" s="172">
        <f>ROUND(C16/1000,0)</f>
        <v>6747</v>
      </c>
      <c r="K16" s="154">
        <f>ROUND(D16/1000,0)</f>
        <v>6979</v>
      </c>
      <c r="L16" s="20">
        <f t="shared" si="3"/>
        <v>0.3496492985971944</v>
      </c>
      <c r="M16" s="20">
        <f t="shared" si="4"/>
        <v>1.0343856528827626</v>
      </c>
      <c r="N16" s="154">
        <f>K16-'[6]Maijs'!K16</f>
        <v>1701</v>
      </c>
    </row>
    <row r="17" spans="1:14" ht="22.5">
      <c r="A17" s="63" t="s">
        <v>223</v>
      </c>
      <c r="B17" s="158" t="s">
        <v>224</v>
      </c>
      <c r="C17" s="158" t="s">
        <v>224</v>
      </c>
      <c r="D17" s="131">
        <v>1853324</v>
      </c>
      <c r="E17" s="159" t="s">
        <v>224</v>
      </c>
      <c r="F17" s="158" t="s">
        <v>224</v>
      </c>
      <c r="G17" s="131">
        <f>D17-'[6]Maijs'!D17</f>
        <v>429703</v>
      </c>
      <c r="H17" s="63" t="s">
        <v>223</v>
      </c>
      <c r="I17" s="161" t="s">
        <v>224</v>
      </c>
      <c r="J17" s="161" t="s">
        <v>224</v>
      </c>
      <c r="K17" s="154">
        <f aca="true" t="shared" si="5" ref="K17:K22">ROUND(D17/1000,0)</f>
        <v>1853</v>
      </c>
      <c r="L17" s="159" t="s">
        <v>224</v>
      </c>
      <c r="M17" s="158" t="s">
        <v>224</v>
      </c>
      <c r="N17" s="154">
        <f>K17-'[6]Maijs'!K17</f>
        <v>429</v>
      </c>
    </row>
    <row r="18" spans="1:14" ht="12.75">
      <c r="A18" s="63" t="s">
        <v>225</v>
      </c>
      <c r="B18" s="158" t="s">
        <v>224</v>
      </c>
      <c r="C18" s="158" t="s">
        <v>224</v>
      </c>
      <c r="D18" s="131">
        <f>SUM(D19:D22)</f>
        <v>29420326</v>
      </c>
      <c r="E18" s="159" t="s">
        <v>224</v>
      </c>
      <c r="F18" s="158" t="s">
        <v>224</v>
      </c>
      <c r="G18" s="131">
        <f>D18-'[6]Maijs'!D18</f>
        <v>4783956</v>
      </c>
      <c r="H18" s="63" t="s">
        <v>225</v>
      </c>
      <c r="I18" s="161" t="s">
        <v>224</v>
      </c>
      <c r="J18" s="161" t="s">
        <v>224</v>
      </c>
      <c r="K18" s="131">
        <f>SUM(K19:K22)</f>
        <v>29421</v>
      </c>
      <c r="L18" s="159" t="s">
        <v>224</v>
      </c>
      <c r="M18" s="158" t="s">
        <v>224</v>
      </c>
      <c r="N18" s="154">
        <f>K18-'[6]Maijs'!K18</f>
        <v>4785</v>
      </c>
    </row>
    <row r="19" spans="1:14" s="175" customFormat="1" ht="22.5" customHeight="1">
      <c r="A19" s="104" t="s">
        <v>343</v>
      </c>
      <c r="B19" s="162" t="s">
        <v>224</v>
      </c>
      <c r="C19" s="162" t="s">
        <v>224</v>
      </c>
      <c r="D19" s="163">
        <v>22204540</v>
      </c>
      <c r="E19" s="164" t="s">
        <v>224</v>
      </c>
      <c r="F19" s="162" t="s">
        <v>224</v>
      </c>
      <c r="G19" s="131">
        <f>D19-'[6]Maijs'!D19</f>
        <v>3359445</v>
      </c>
      <c r="H19" s="104" t="s">
        <v>343</v>
      </c>
      <c r="I19" s="166" t="s">
        <v>224</v>
      </c>
      <c r="J19" s="166" t="s">
        <v>224</v>
      </c>
      <c r="K19" s="167">
        <f>ROUND(D19/1000,0)</f>
        <v>22205</v>
      </c>
      <c r="L19" s="164" t="s">
        <v>224</v>
      </c>
      <c r="M19" s="162" t="s">
        <v>224</v>
      </c>
      <c r="N19" s="154">
        <f>K19-'[6]Maijs'!K19</f>
        <v>3360</v>
      </c>
    </row>
    <row r="20" spans="1:14" s="175" customFormat="1" ht="18.75" customHeight="1">
      <c r="A20" s="104" t="s">
        <v>344</v>
      </c>
      <c r="B20" s="212">
        <v>48012000</v>
      </c>
      <c r="C20" s="162" t="s">
        <v>224</v>
      </c>
      <c r="D20" s="163">
        <f>4161927-400399</f>
        <v>3761528</v>
      </c>
      <c r="E20" s="27">
        <f>IF(ISERROR(D20/B20)," ",(D20/B20))</f>
        <v>0.07834558027159877</v>
      </c>
      <c r="F20" s="213" t="s">
        <v>224</v>
      </c>
      <c r="G20" s="131">
        <f>D20-'[6]Maijs'!D20</f>
        <v>840308</v>
      </c>
      <c r="H20" s="104" t="s">
        <v>344</v>
      </c>
      <c r="I20" s="166"/>
      <c r="J20" s="166" t="s">
        <v>224</v>
      </c>
      <c r="K20" s="167">
        <f t="shared" si="5"/>
        <v>3762</v>
      </c>
      <c r="L20" s="27" t="str">
        <f>IF(ISERROR(ROUND(K20,0)/ROUND(I20,0))," ",(ROUND(K20,)/ROUND(I20,)))</f>
        <v> </v>
      </c>
      <c r="M20" s="213" t="s">
        <v>224</v>
      </c>
      <c r="N20" s="154">
        <f>K20-'[6]Maijs'!K20</f>
        <v>841</v>
      </c>
    </row>
    <row r="21" spans="1:14" s="175" customFormat="1" ht="25.5" customHeight="1">
      <c r="A21" s="104" t="s">
        <v>345</v>
      </c>
      <c r="B21" s="212">
        <v>8578000</v>
      </c>
      <c r="C21" s="162" t="s">
        <v>224</v>
      </c>
      <c r="D21" s="163">
        <v>3512000</v>
      </c>
      <c r="E21" s="27">
        <f>IF(ISERROR(D21/B21)," ",(D21/B21))</f>
        <v>0.40941944509209605</v>
      </c>
      <c r="F21" s="162" t="s">
        <v>224</v>
      </c>
      <c r="G21" s="131">
        <f>D21-'[6]Maijs'!D21</f>
        <v>1412000</v>
      </c>
      <c r="H21" s="104" t="s">
        <v>345</v>
      </c>
      <c r="I21" s="167">
        <f>ROUND(B21/1000,0)</f>
        <v>8578</v>
      </c>
      <c r="J21" s="166" t="s">
        <v>224</v>
      </c>
      <c r="K21" s="167">
        <f t="shared" si="5"/>
        <v>3512</v>
      </c>
      <c r="L21" s="27">
        <f>IF(ISERROR(ROUND(K21,0)/ROUND(I21,0))," ",(ROUND(K21,)/ROUND(I21,)))</f>
        <v>0.40941944509209605</v>
      </c>
      <c r="M21" s="162" t="s">
        <v>224</v>
      </c>
      <c r="N21" s="154">
        <f>K21-'[6]Maijs'!K21</f>
        <v>1412</v>
      </c>
    </row>
    <row r="22" spans="1:14" s="175" customFormat="1" ht="12.75">
      <c r="A22" s="104" t="s">
        <v>228</v>
      </c>
      <c r="B22" s="162" t="s">
        <v>224</v>
      </c>
      <c r="C22" s="162" t="s">
        <v>224</v>
      </c>
      <c r="D22" s="163">
        <v>-57742</v>
      </c>
      <c r="E22" s="164" t="s">
        <v>224</v>
      </c>
      <c r="F22" s="162" t="s">
        <v>224</v>
      </c>
      <c r="G22" s="131">
        <f>D22-'[6]Maijs'!D22</f>
        <v>-827797</v>
      </c>
      <c r="H22" s="104" t="s">
        <v>228</v>
      </c>
      <c r="I22" s="166" t="s">
        <v>224</v>
      </c>
      <c r="J22" s="166" t="s">
        <v>224</v>
      </c>
      <c r="K22" s="167">
        <f t="shared" si="5"/>
        <v>-58</v>
      </c>
      <c r="L22" s="164" t="s">
        <v>224</v>
      </c>
      <c r="M22" s="162" t="s">
        <v>224</v>
      </c>
      <c r="N22" s="154">
        <f>K22-'[6]Maijs'!K22</f>
        <v>-828</v>
      </c>
    </row>
    <row r="23" spans="1:14" ht="12.75">
      <c r="A23" s="63" t="s">
        <v>346</v>
      </c>
      <c r="B23" s="158" t="s">
        <v>224</v>
      </c>
      <c r="C23" s="158" t="s">
        <v>224</v>
      </c>
      <c r="D23" s="131">
        <v>818645</v>
      </c>
      <c r="E23" s="159" t="s">
        <v>224</v>
      </c>
      <c r="F23" s="158" t="s">
        <v>224</v>
      </c>
      <c r="G23" s="131">
        <f>D23-'[6]Maijs'!D23</f>
        <v>96250</v>
      </c>
      <c r="H23" s="63" t="s">
        <v>346</v>
      </c>
      <c r="I23" s="161" t="s">
        <v>224</v>
      </c>
      <c r="J23" s="161" t="s">
        <v>224</v>
      </c>
      <c r="K23" s="154">
        <f>ROUND(D23/1000,0)</f>
        <v>819</v>
      </c>
      <c r="L23" s="159" t="s">
        <v>224</v>
      </c>
      <c r="M23" s="158" t="s">
        <v>224</v>
      </c>
      <c r="N23" s="154">
        <f>K23-'[6]Maijs'!K23</f>
        <v>96</v>
      </c>
    </row>
    <row r="24" spans="1:14" ht="26.25" customHeight="1">
      <c r="A24" s="103" t="s">
        <v>231</v>
      </c>
      <c r="B24" s="131">
        <v>3475250</v>
      </c>
      <c r="C24" s="131">
        <f>958112+90000+95000+30000</f>
        <v>1173112</v>
      </c>
      <c r="D24" s="131">
        <f>SUM(D25:D26)</f>
        <v>815366</v>
      </c>
      <c r="E24" s="20">
        <f>IF(ISERROR(D24/B24)," ",(D24/B24))</f>
        <v>0.23462081864614057</v>
      </c>
      <c r="F24" s="20">
        <f>IF(ISERROR(D24/C24)," ",(D24/C24))</f>
        <v>0.6950453153663078</v>
      </c>
      <c r="G24" s="131">
        <f>SUM(G25:G26)</f>
        <v>25516</v>
      </c>
      <c r="H24" s="103" t="s">
        <v>231</v>
      </c>
      <c r="I24" s="156">
        <f>ROUND(B24/1000,0)</f>
        <v>3475</v>
      </c>
      <c r="J24" s="156">
        <f>ROUND(C24/1000,0)</f>
        <v>1173</v>
      </c>
      <c r="K24" s="211">
        <f>SUM(K25:K26)</f>
        <v>815</v>
      </c>
      <c r="L24" s="16">
        <f>IF(ISERROR(ROUND(K24,0)/ROUND(I24,0))," ",(ROUND(K24,)/ROUND(I24,)))</f>
        <v>0.23453237410071942</v>
      </c>
      <c r="M24" s="16">
        <f>IF(ISERROR(ROUND(K24,0)/ROUND(J24,0))," ",(ROUND(K24,)/ROUND(J24,)))</f>
        <v>0.6947996589940324</v>
      </c>
      <c r="N24" s="211">
        <f>SUM(N25:N26)</f>
        <v>25</v>
      </c>
    </row>
    <row r="25" spans="1:14" ht="23.25" customHeight="1">
      <c r="A25" s="63" t="s">
        <v>347</v>
      </c>
      <c r="B25" s="158" t="s">
        <v>224</v>
      </c>
      <c r="C25" s="158" t="s">
        <v>224</v>
      </c>
      <c r="D25" s="131">
        <v>321104</v>
      </c>
      <c r="E25" s="159" t="s">
        <v>224</v>
      </c>
      <c r="F25" s="158" t="s">
        <v>224</v>
      </c>
      <c r="G25" s="131">
        <f>D25-'[6]Maijs'!D25</f>
        <v>25516</v>
      </c>
      <c r="H25" s="63" t="s">
        <v>347</v>
      </c>
      <c r="I25" s="161" t="s">
        <v>224</v>
      </c>
      <c r="J25" s="161" t="s">
        <v>224</v>
      </c>
      <c r="K25" s="154">
        <f>ROUND(D25/1000,0)</f>
        <v>321</v>
      </c>
      <c r="L25" s="159" t="s">
        <v>224</v>
      </c>
      <c r="M25" s="158" t="s">
        <v>224</v>
      </c>
      <c r="N25" s="154">
        <f>K25-'[6]Maijs'!K25</f>
        <v>25</v>
      </c>
    </row>
    <row r="26" spans="1:14" ht="24.75" customHeight="1">
      <c r="A26" s="63" t="s">
        <v>348</v>
      </c>
      <c r="B26" s="158" t="s">
        <v>224</v>
      </c>
      <c r="C26" s="158" t="s">
        <v>224</v>
      </c>
      <c r="D26" s="131">
        <v>494262</v>
      </c>
      <c r="E26" s="159" t="s">
        <v>224</v>
      </c>
      <c r="F26" s="158" t="s">
        <v>224</v>
      </c>
      <c r="G26" s="131">
        <f>D26-'[6]Maijs'!D26</f>
        <v>0</v>
      </c>
      <c r="H26" s="63" t="s">
        <v>348</v>
      </c>
      <c r="I26" s="161" t="s">
        <v>224</v>
      </c>
      <c r="J26" s="161" t="s">
        <v>224</v>
      </c>
      <c r="K26" s="154">
        <f>ROUND(D26/1000,0)</f>
        <v>494</v>
      </c>
      <c r="L26" s="159" t="s">
        <v>224</v>
      </c>
      <c r="M26" s="158" t="s">
        <v>224</v>
      </c>
      <c r="N26" s="154">
        <f>K26-'[6]Maijs'!K26</f>
        <v>0</v>
      </c>
    </row>
    <row r="27" spans="1:14" ht="16.5" customHeight="1">
      <c r="A27" s="214" t="s">
        <v>235</v>
      </c>
      <c r="B27" s="131">
        <v>664235906</v>
      </c>
      <c r="C27" s="131">
        <f>80502485+37328650+41271350+45237942+39713819+43384196+45653487</f>
        <v>333091929</v>
      </c>
      <c r="D27" s="131">
        <f>SUM(D28,D29,D30,D31,D34,D39)</f>
        <v>323140654</v>
      </c>
      <c r="E27" s="20">
        <f>IF(ISERROR(D27/B27)," ",(D27/B27))</f>
        <v>0.48648477307699173</v>
      </c>
      <c r="F27" s="20">
        <f>IF(ISERROR(D27/C27)," ",(D27/C27))</f>
        <v>0.9701245388026198</v>
      </c>
      <c r="G27" s="215">
        <f>SUM(G28,G29,G30,G31,G34,G39)</f>
        <v>59645700</v>
      </c>
      <c r="H27" s="214" t="s">
        <v>235</v>
      </c>
      <c r="I27" s="156">
        <f>ROUND(B27/1000,0)</f>
        <v>664236</v>
      </c>
      <c r="J27" s="156">
        <f>ROUND(C27/1000,0)</f>
        <v>333092</v>
      </c>
      <c r="K27" s="211">
        <f>SUM(K28,K29,K30,K31,K34,K39)</f>
        <v>323140</v>
      </c>
      <c r="L27" s="16">
        <f>IF(ISERROR(ROUND(K27,0)/ROUND(I27,0))," ",(ROUND(K27,)/ROUND(I27,)))</f>
        <v>0.486483719641814</v>
      </c>
      <c r="M27" s="16">
        <f>IF(ISERROR(ROUND(K27,0)/ROUND(J27,0))," ",(ROUND(K27,)/ROUND(J27,)))</f>
        <v>0.9701223685948627</v>
      </c>
      <c r="N27" s="211">
        <f>SUM(N28,N29,N30,N31,N34,N39)</f>
        <v>59646</v>
      </c>
    </row>
    <row r="28" spans="1:14" ht="15.75" customHeight="1">
      <c r="A28" s="60" t="s">
        <v>236</v>
      </c>
      <c r="B28" s="158" t="s">
        <v>224</v>
      </c>
      <c r="C28" s="158" t="s">
        <v>224</v>
      </c>
      <c r="D28" s="131">
        <v>1452975</v>
      </c>
      <c r="E28" s="159" t="s">
        <v>224</v>
      </c>
      <c r="F28" s="158" t="s">
        <v>224</v>
      </c>
      <c r="G28" s="131">
        <f>D28-'[6]Maijs'!D28</f>
        <v>236784</v>
      </c>
      <c r="H28" s="60" t="s">
        <v>236</v>
      </c>
      <c r="I28" s="161" t="s">
        <v>224</v>
      </c>
      <c r="J28" s="161" t="s">
        <v>224</v>
      </c>
      <c r="K28" s="154">
        <f>ROUND(D28/1000,0)</f>
        <v>1453</v>
      </c>
      <c r="L28" s="159" t="s">
        <v>224</v>
      </c>
      <c r="M28" s="158" t="s">
        <v>224</v>
      </c>
      <c r="N28" s="154">
        <f>K28-'[6]Maijs'!K28</f>
        <v>237</v>
      </c>
    </row>
    <row r="29" spans="1:14" ht="15.75" customHeight="1">
      <c r="A29" s="60" t="s">
        <v>237</v>
      </c>
      <c r="B29" s="158" t="s">
        <v>224</v>
      </c>
      <c r="C29" s="158" t="s">
        <v>224</v>
      </c>
      <c r="D29" s="131">
        <f>9156598-3924876</f>
        <v>5231722</v>
      </c>
      <c r="E29" s="159" t="s">
        <v>224</v>
      </c>
      <c r="F29" s="158" t="s">
        <v>224</v>
      </c>
      <c r="G29" s="131">
        <f>D29-'[6]Maijs'!D29</f>
        <v>738121</v>
      </c>
      <c r="H29" s="60" t="s">
        <v>237</v>
      </c>
      <c r="I29" s="161" t="s">
        <v>224</v>
      </c>
      <c r="J29" s="161" t="s">
        <v>224</v>
      </c>
      <c r="K29" s="154">
        <f>ROUND(D29/1000,0)</f>
        <v>5232</v>
      </c>
      <c r="L29" s="159" t="s">
        <v>224</v>
      </c>
      <c r="M29" s="158" t="s">
        <v>224</v>
      </c>
      <c r="N29" s="154">
        <f>K29-'[6]Maijs'!K29</f>
        <v>738</v>
      </c>
    </row>
    <row r="30" spans="1:14" ht="17.25" customHeight="1">
      <c r="A30" s="63" t="s">
        <v>238</v>
      </c>
      <c r="B30" s="158" t="s">
        <v>224</v>
      </c>
      <c r="C30" s="158" t="s">
        <v>224</v>
      </c>
      <c r="D30" s="131"/>
      <c r="E30" s="159" t="s">
        <v>224</v>
      </c>
      <c r="F30" s="158" t="s">
        <v>224</v>
      </c>
      <c r="G30" s="131">
        <f>D30-'[6]Maijs'!D30</f>
        <v>0</v>
      </c>
      <c r="H30" s="63" t="s">
        <v>238</v>
      </c>
      <c r="I30" s="161" t="s">
        <v>224</v>
      </c>
      <c r="J30" s="161" t="s">
        <v>224</v>
      </c>
      <c r="K30" s="154">
        <f>ROUND(D30/1000,0)</f>
        <v>0</v>
      </c>
      <c r="L30" s="159" t="s">
        <v>224</v>
      </c>
      <c r="M30" s="158" t="s">
        <v>224</v>
      </c>
      <c r="N30" s="154">
        <f>K30-'[6]Maijs'!K30</f>
        <v>0</v>
      </c>
    </row>
    <row r="31" spans="1:14" ht="12.75">
      <c r="A31" s="63" t="s">
        <v>239</v>
      </c>
      <c r="B31" s="158" t="s">
        <v>224</v>
      </c>
      <c r="C31" s="158" t="s">
        <v>224</v>
      </c>
      <c r="D31" s="131">
        <f>SUM(D32:D33)</f>
        <v>69734495</v>
      </c>
      <c r="E31" s="159" t="s">
        <v>224</v>
      </c>
      <c r="F31" s="158" t="s">
        <v>224</v>
      </c>
      <c r="G31" s="131">
        <f>SUM(G32:G33)</f>
        <v>11507574</v>
      </c>
      <c r="H31" s="63" t="s">
        <v>239</v>
      </c>
      <c r="I31" s="161" t="s">
        <v>224</v>
      </c>
      <c r="J31" s="161" t="s">
        <v>224</v>
      </c>
      <c r="K31" s="174">
        <f>SUM(K32:K33)</f>
        <v>69734</v>
      </c>
      <c r="L31" s="159" t="s">
        <v>224</v>
      </c>
      <c r="M31" s="158" t="s">
        <v>224</v>
      </c>
      <c r="N31" s="174">
        <f>SUM(N32:N33)</f>
        <v>11508</v>
      </c>
    </row>
    <row r="32" spans="1:14" s="175" customFormat="1" ht="26.25" customHeight="1">
      <c r="A32" s="104" t="s">
        <v>349</v>
      </c>
      <c r="B32" s="212">
        <v>1201200</v>
      </c>
      <c r="C32" s="162" t="s">
        <v>224</v>
      </c>
      <c r="D32" s="163">
        <v>400399</v>
      </c>
      <c r="E32" s="20">
        <f>IF(ISERROR(D32/B32)," ",(D32/B32))</f>
        <v>0.3333325008325008</v>
      </c>
      <c r="F32" s="162" t="s">
        <v>224</v>
      </c>
      <c r="G32" s="131">
        <f>D32-'[6]Maijs'!D32</f>
        <v>0</v>
      </c>
      <c r="H32" s="104" t="s">
        <v>349</v>
      </c>
      <c r="I32" s="167">
        <f>ROUND(B32/1000,0)</f>
        <v>1201</v>
      </c>
      <c r="J32" s="166" t="s">
        <v>224</v>
      </c>
      <c r="K32" s="167">
        <f>ROUND(D32/1000,0)</f>
        <v>400</v>
      </c>
      <c r="L32" s="27">
        <f>IF(ISERROR(ROUND(K32,0)/ROUND(I32,0))," ",(ROUND(K32,)/ROUND(I32,)))</f>
        <v>0.33305578684429643</v>
      </c>
      <c r="M32" s="162" t="s">
        <v>224</v>
      </c>
      <c r="N32" s="154">
        <f>K32-'[6]Maijs'!K32</f>
        <v>0</v>
      </c>
    </row>
    <row r="33" spans="1:14" s="175" customFormat="1" ht="12.75">
      <c r="A33" s="104" t="s">
        <v>350</v>
      </c>
      <c r="B33" s="162" t="s">
        <v>224</v>
      </c>
      <c r="C33" s="162" t="s">
        <v>224</v>
      </c>
      <c r="D33" s="163">
        <f>65409220+3924876</f>
        <v>69334096</v>
      </c>
      <c r="E33" s="164" t="s">
        <v>224</v>
      </c>
      <c r="F33" s="162" t="s">
        <v>224</v>
      </c>
      <c r="G33" s="131">
        <f>D33-'[6]Maijs'!D33</f>
        <v>11507574</v>
      </c>
      <c r="H33" s="104" t="s">
        <v>350</v>
      </c>
      <c r="I33" s="166" t="s">
        <v>224</v>
      </c>
      <c r="J33" s="166" t="s">
        <v>224</v>
      </c>
      <c r="K33" s="167">
        <f>ROUND(D33/1000,0)</f>
        <v>69334</v>
      </c>
      <c r="L33" s="164" t="s">
        <v>224</v>
      </c>
      <c r="M33" s="162" t="s">
        <v>224</v>
      </c>
      <c r="N33" s="154">
        <f>K33-'[6]Maijs'!K33</f>
        <v>11508</v>
      </c>
    </row>
    <row r="34" spans="1:14" ht="15" customHeight="1">
      <c r="A34" s="63" t="s">
        <v>244</v>
      </c>
      <c r="B34" s="158" t="s">
        <v>224</v>
      </c>
      <c r="C34" s="158" t="s">
        <v>224</v>
      </c>
      <c r="D34" s="131">
        <f>SUM(D35:D38)</f>
        <v>246680499</v>
      </c>
      <c r="E34" s="159" t="s">
        <v>224</v>
      </c>
      <c r="F34" s="158" t="s">
        <v>224</v>
      </c>
      <c r="G34" s="131">
        <f>SUM(G35:G38)</f>
        <v>47163221</v>
      </c>
      <c r="H34" s="63" t="s">
        <v>244</v>
      </c>
      <c r="I34" s="161" t="s">
        <v>224</v>
      </c>
      <c r="J34" s="161" t="s">
        <v>224</v>
      </c>
      <c r="K34" s="174">
        <f>SUM(K35:K38)</f>
        <v>246680</v>
      </c>
      <c r="L34" s="159" t="s">
        <v>224</v>
      </c>
      <c r="M34" s="158" t="s">
        <v>224</v>
      </c>
      <c r="N34" s="174">
        <f>SUM(N35:N38)</f>
        <v>47163</v>
      </c>
    </row>
    <row r="35" spans="1:14" s="175" customFormat="1" ht="15" customHeight="1">
      <c r="A35" s="104" t="s">
        <v>351</v>
      </c>
      <c r="B35" s="162" t="s">
        <v>224</v>
      </c>
      <c r="C35" s="162" t="s">
        <v>224</v>
      </c>
      <c r="D35" s="163">
        <f>221986092</f>
        <v>221986092</v>
      </c>
      <c r="E35" s="164" t="s">
        <v>224</v>
      </c>
      <c r="F35" s="162" t="s">
        <v>224</v>
      </c>
      <c r="G35" s="131">
        <f>D35-'[6]Maijs'!D35</f>
        <v>59424949</v>
      </c>
      <c r="H35" s="104" t="s">
        <v>351</v>
      </c>
      <c r="I35" s="166" t="s">
        <v>224</v>
      </c>
      <c r="J35" s="166" t="s">
        <v>224</v>
      </c>
      <c r="K35" s="154">
        <f>ROUND(D35/1000,0)</f>
        <v>221986</v>
      </c>
      <c r="L35" s="164" t="s">
        <v>224</v>
      </c>
      <c r="M35" s="162" t="s">
        <v>224</v>
      </c>
      <c r="N35" s="154">
        <f>K35-'[6]Maijs'!K35</f>
        <v>59425</v>
      </c>
    </row>
    <row r="36" spans="1:14" s="175" customFormat="1" ht="15" customHeight="1">
      <c r="A36" s="104" t="s">
        <v>352</v>
      </c>
      <c r="B36" s="162" t="s">
        <v>224</v>
      </c>
      <c r="C36" s="162" t="s">
        <v>224</v>
      </c>
      <c r="D36" s="163">
        <v>22948908</v>
      </c>
      <c r="E36" s="164" t="s">
        <v>224</v>
      </c>
      <c r="F36" s="162" t="s">
        <v>224</v>
      </c>
      <c r="G36" s="131">
        <f>D36-'[6]Maijs'!D36</f>
        <v>3748162</v>
      </c>
      <c r="H36" s="104" t="s">
        <v>352</v>
      </c>
      <c r="I36" s="166" t="s">
        <v>224</v>
      </c>
      <c r="J36" s="166" t="s">
        <v>224</v>
      </c>
      <c r="K36" s="154">
        <f>ROUND(D36/1000,0)</f>
        <v>22949</v>
      </c>
      <c r="L36" s="164" t="s">
        <v>224</v>
      </c>
      <c r="M36" s="162" t="s">
        <v>224</v>
      </c>
      <c r="N36" s="154">
        <f>K36-'[6]Maijs'!K36</f>
        <v>3748</v>
      </c>
    </row>
    <row r="37" spans="1:14" s="175" customFormat="1" ht="15" customHeight="1">
      <c r="A37" s="104" t="s">
        <v>353</v>
      </c>
      <c r="B37" s="162" t="s">
        <v>224</v>
      </c>
      <c r="C37" s="162" t="s">
        <v>224</v>
      </c>
      <c r="D37" s="163">
        <v>654254</v>
      </c>
      <c r="E37" s="164" t="s">
        <v>224</v>
      </c>
      <c r="F37" s="162" t="s">
        <v>224</v>
      </c>
      <c r="G37" s="131">
        <f>D37-'[6]Maijs'!D37</f>
        <v>90116</v>
      </c>
      <c r="H37" s="104" t="s">
        <v>353</v>
      </c>
      <c r="I37" s="166" t="s">
        <v>224</v>
      </c>
      <c r="J37" s="166" t="s">
        <v>224</v>
      </c>
      <c r="K37" s="154">
        <f>ROUND(D37/1000,0)</f>
        <v>654</v>
      </c>
      <c r="L37" s="164" t="s">
        <v>224</v>
      </c>
      <c r="M37" s="162" t="s">
        <v>224</v>
      </c>
      <c r="N37" s="154">
        <f>K37-'[6]Maijs'!K37</f>
        <v>90</v>
      </c>
    </row>
    <row r="38" spans="1:14" s="175" customFormat="1" ht="15" customHeight="1">
      <c r="A38" s="104" t="s">
        <v>354</v>
      </c>
      <c r="B38" s="162" t="s">
        <v>224</v>
      </c>
      <c r="C38" s="162" t="s">
        <v>224</v>
      </c>
      <c r="D38" s="163">
        <f>5500+6893+1078852</f>
        <v>1091245</v>
      </c>
      <c r="E38" s="164" t="s">
        <v>224</v>
      </c>
      <c r="F38" s="162" t="s">
        <v>224</v>
      </c>
      <c r="G38" s="131">
        <f>D38-'[6]Maijs'!D38</f>
        <v>-16100006</v>
      </c>
      <c r="H38" s="104" t="s">
        <v>354</v>
      </c>
      <c r="I38" s="166" t="s">
        <v>224</v>
      </c>
      <c r="J38" s="166" t="s">
        <v>224</v>
      </c>
      <c r="K38" s="167">
        <f>ROUND(D38/1000,0)</f>
        <v>1091</v>
      </c>
      <c r="L38" s="164" t="s">
        <v>224</v>
      </c>
      <c r="M38" s="162" t="s">
        <v>224</v>
      </c>
      <c r="N38" s="154">
        <f>K38-'[6]Maijs'!K38</f>
        <v>-16100</v>
      </c>
    </row>
    <row r="39" spans="1:14" ht="12.75">
      <c r="A39" s="63" t="s">
        <v>355</v>
      </c>
      <c r="B39" s="127">
        <v>84198</v>
      </c>
      <c r="C39" s="127">
        <f>70632</f>
        <v>70632</v>
      </c>
      <c r="D39" s="131">
        <v>40963</v>
      </c>
      <c r="E39" s="20">
        <f>IF(ISERROR(D39/B39)," ",(D39/B39))</f>
        <v>0.48650799306396825</v>
      </c>
      <c r="F39" s="20">
        <f>IF(ISERROR(D39/C39)," ",(D39/C39))</f>
        <v>0.5799495979159588</v>
      </c>
      <c r="G39" s="131">
        <f>D39-'[6]Maijs'!D39</f>
        <v>0</v>
      </c>
      <c r="H39" s="63" t="s">
        <v>355</v>
      </c>
      <c r="I39" s="154">
        <f>ROUND(B39/1000,0)</f>
        <v>84</v>
      </c>
      <c r="J39" s="154">
        <f>ROUND(C39/1000,0)</f>
        <v>71</v>
      </c>
      <c r="K39" s="154">
        <f>ROUND(D39/1000,0)</f>
        <v>41</v>
      </c>
      <c r="L39" s="20">
        <f>IF(ISERROR(ROUND(K39,0)/ROUND(I39,0))," ",(ROUND(K39,)/ROUND(I39,)))</f>
        <v>0.4880952380952381</v>
      </c>
      <c r="M39" s="20">
        <f>IF(ISERROR(ROUND(K39,0)/ROUND(J39,0))," ",(ROUND(K39,)/ROUND(J39,)))</f>
        <v>0.5774647887323944</v>
      </c>
      <c r="N39" s="154">
        <f>K39-'[6]Maijs'!K39</f>
        <v>0</v>
      </c>
    </row>
    <row r="40" spans="1:14" ht="32.25" customHeight="1">
      <c r="A40" s="109" t="s">
        <v>254</v>
      </c>
      <c r="B40" s="122">
        <f>SUM(B41:B42)</f>
        <v>65952876</v>
      </c>
      <c r="C40" s="122">
        <f>SUM(C41:C42)</f>
        <v>24318392</v>
      </c>
      <c r="D40" s="122">
        <f>SUM(D41:D42)</f>
        <v>17011429</v>
      </c>
      <c r="E40" s="16">
        <f>IF(ISERROR(D40/B40)," ",(D40/B40))</f>
        <v>0.2579330884675901</v>
      </c>
      <c r="F40" s="16">
        <f>IF(ISERROR(D40/C40)," ",(D40/C40))</f>
        <v>0.6995293521051885</v>
      </c>
      <c r="G40" s="122">
        <f>SUM(G41:G42)</f>
        <v>5545589</v>
      </c>
      <c r="H40" s="109" t="s">
        <v>254</v>
      </c>
      <c r="I40" s="54">
        <f>SUM(I41:I42)</f>
        <v>65953</v>
      </c>
      <c r="J40" s="54">
        <f>SUM(J41:J42)</f>
        <v>24319</v>
      </c>
      <c r="K40" s="54">
        <f>SUM(K41:K42)</f>
        <v>17011</v>
      </c>
      <c r="L40" s="13">
        <f>IF(ISERROR(ROUND(K40,0)/ROUND(I40,0))," ",(ROUND(K40,)/ROUND(I40,)))</f>
        <v>0.25792609888860246</v>
      </c>
      <c r="M40" s="13">
        <f>IF(ISERROR(ROUND(K40,0)/ROUND(J40,0))," ",(ROUND(K40,)/ROUND(J40,)))</f>
        <v>0.6994942226242855</v>
      </c>
      <c r="N40" s="54">
        <f>SUM(N41:N42)</f>
        <v>5545</v>
      </c>
    </row>
    <row r="41" spans="1:14" ht="18" customHeight="1">
      <c r="A41" s="63" t="s">
        <v>255</v>
      </c>
      <c r="B41" s="127">
        <v>28417355</v>
      </c>
      <c r="C41" s="127">
        <f>10705489+5000+10000</f>
        <v>10720489</v>
      </c>
      <c r="D41" s="131">
        <v>6365863</v>
      </c>
      <c r="E41" s="20">
        <f>IF(ISERROR(D41/B41)," ",(D41/B41))</f>
        <v>0.22401321305237593</v>
      </c>
      <c r="F41" s="20">
        <f>IF(ISERROR(D41/C41)," ",(D41/C41))</f>
        <v>0.5938034169896541</v>
      </c>
      <c r="G41" s="131">
        <f>D41-'[6]Maijs'!D41</f>
        <v>1438832</v>
      </c>
      <c r="H41" s="63" t="s">
        <v>255</v>
      </c>
      <c r="I41" s="172">
        <f>ROUND(B41/1000,0)</f>
        <v>28417</v>
      </c>
      <c r="J41" s="172">
        <f>ROUND(C41/1000,0)+1</f>
        <v>10721</v>
      </c>
      <c r="K41" s="154">
        <f>ROUND(D41/1000,0)</f>
        <v>6366</v>
      </c>
      <c r="L41" s="20">
        <f>IF(ISERROR(ROUND(K41,0)/ROUND(I41,0))," ",(ROUND(K41,)/ROUND(I41,)))</f>
        <v>0.2240208326002041</v>
      </c>
      <c r="M41" s="20">
        <f>IF(ISERROR(ROUND(K41,0)/ROUND(J41,0))," ",(ROUND(K41,)/ROUND(J41,)))</f>
        <v>0.5937878929204365</v>
      </c>
      <c r="N41" s="154">
        <f>K41-'[6]Maijs'!K41</f>
        <v>1439</v>
      </c>
    </row>
    <row r="42" spans="1:14" ht="15.75" customHeight="1">
      <c r="A42" s="63" t="s">
        <v>256</v>
      </c>
      <c r="B42" s="212">
        <v>37535521</v>
      </c>
      <c r="C42" s="127">
        <f>11164717+58000+66182+95182+782839+656269+774714</f>
        <v>13597903</v>
      </c>
      <c r="D42" s="163">
        <v>10645566</v>
      </c>
      <c r="E42" s="20">
        <f>IF(ISERROR(D42/B42)," ",(D42/B42))</f>
        <v>0.28361311409531254</v>
      </c>
      <c r="F42" s="20">
        <f>IF(ISERROR(D42/C42)," ",(D42/C42))</f>
        <v>0.7828829195207526</v>
      </c>
      <c r="G42" s="131">
        <f>D42-'[6]Maijs'!D42</f>
        <v>4106757</v>
      </c>
      <c r="H42" s="63" t="s">
        <v>256</v>
      </c>
      <c r="I42" s="172">
        <f>ROUND(B42/1000,0)</f>
        <v>37536</v>
      </c>
      <c r="J42" s="172">
        <f>ROUND(C42/1000,0)</f>
        <v>13598</v>
      </c>
      <c r="K42" s="154">
        <f>ROUND(D42/1000,0)-1</f>
        <v>10645</v>
      </c>
      <c r="L42" s="20">
        <f>IF(ISERROR(ROUND(K42,0)/ROUND(I42,0))," ",(ROUND(K42,)/ROUND(I42,)))</f>
        <v>0.28359441602728047</v>
      </c>
      <c r="M42" s="20">
        <f>IF(ISERROR(ROUND(K42,0)/ROUND(J42,0))," ",(ROUND(K42,)/ROUND(J42,)))</f>
        <v>0.7828357111339903</v>
      </c>
      <c r="N42" s="154">
        <f>K42-'[6]Maijs'!K42</f>
        <v>4106</v>
      </c>
    </row>
    <row r="43" spans="1:14" ht="67.5" customHeight="1" hidden="1">
      <c r="A43" s="7" t="s">
        <v>7</v>
      </c>
      <c r="B43" s="7" t="s">
        <v>8</v>
      </c>
      <c r="C43" s="7" t="s">
        <v>212</v>
      </c>
      <c r="D43" s="7" t="s">
        <v>9</v>
      </c>
      <c r="E43" s="7" t="s">
        <v>213</v>
      </c>
      <c r="F43" s="7" t="s">
        <v>338</v>
      </c>
      <c r="G43" s="7" t="s">
        <v>356</v>
      </c>
      <c r="H43" s="7" t="s">
        <v>7</v>
      </c>
      <c r="I43" s="8" t="s">
        <v>8</v>
      </c>
      <c r="J43" s="7" t="s">
        <v>212</v>
      </c>
      <c r="K43" s="7" t="s">
        <v>9</v>
      </c>
      <c r="L43" s="7" t="s">
        <v>213</v>
      </c>
      <c r="M43" s="7" t="s">
        <v>338</v>
      </c>
      <c r="N43" s="7" t="s">
        <v>356</v>
      </c>
    </row>
    <row r="44" spans="1:14" ht="12.75" hidden="1">
      <c r="A44" s="7">
        <v>1</v>
      </c>
      <c r="B44" s="7">
        <v>2</v>
      </c>
      <c r="C44" s="7">
        <v>3</v>
      </c>
      <c r="D44" s="7">
        <v>4</v>
      </c>
      <c r="E44" s="7">
        <v>5</v>
      </c>
      <c r="F44" s="7">
        <v>6</v>
      </c>
      <c r="G44" s="7">
        <v>8</v>
      </c>
      <c r="H44" s="7">
        <v>1</v>
      </c>
      <c r="I44" s="8">
        <v>2</v>
      </c>
      <c r="J44" s="7">
        <v>3</v>
      </c>
      <c r="K44" s="7">
        <v>4</v>
      </c>
      <c r="L44" s="7">
        <v>5</v>
      </c>
      <c r="M44" s="7">
        <v>6</v>
      </c>
      <c r="N44" s="7">
        <v>8</v>
      </c>
    </row>
    <row r="45" spans="1:14" ht="30.75" customHeight="1">
      <c r="A45" s="32" t="s">
        <v>357</v>
      </c>
      <c r="B45" s="158" t="s">
        <v>224</v>
      </c>
      <c r="C45" s="158" t="s">
        <v>224</v>
      </c>
      <c r="D45" s="52">
        <f>SUM(D46-D47)</f>
        <v>1492639</v>
      </c>
      <c r="E45" s="159" t="s">
        <v>224</v>
      </c>
      <c r="F45" s="158" t="s">
        <v>224</v>
      </c>
      <c r="G45" s="52">
        <f>SUM(G46-G47)</f>
        <v>259151</v>
      </c>
      <c r="H45" s="32" t="s">
        <v>357</v>
      </c>
      <c r="I45" s="161" t="s">
        <v>224</v>
      </c>
      <c r="J45" s="161" t="s">
        <v>224</v>
      </c>
      <c r="K45" s="10">
        <f>SUM(K46-K47)</f>
        <v>1493</v>
      </c>
      <c r="L45" s="159" t="s">
        <v>224</v>
      </c>
      <c r="M45" s="158" t="s">
        <v>224</v>
      </c>
      <c r="N45" s="10">
        <f>SUM(N46-N47)</f>
        <v>260</v>
      </c>
    </row>
    <row r="46" spans="1:14" ht="19.5" customHeight="1">
      <c r="A46" s="60" t="s">
        <v>258</v>
      </c>
      <c r="B46" s="127">
        <v>12756000</v>
      </c>
      <c r="C46" s="158"/>
      <c r="D46" s="131">
        <v>1492639</v>
      </c>
      <c r="E46" s="20">
        <f aca="true" t="shared" si="6" ref="E46:E51">IF(ISERROR(D46/B46)," ",(D46/B46))</f>
        <v>0.11701465976795233</v>
      </c>
      <c r="F46" s="20" t="str">
        <f>IF(ISERROR(D46/C46)," ",(D46/C46))</f>
        <v> </v>
      </c>
      <c r="G46" s="131">
        <f>D46-'[6]Maijs'!D46</f>
        <v>259151</v>
      </c>
      <c r="H46" s="60" t="s">
        <v>258</v>
      </c>
      <c r="I46" s="154">
        <f aca="true" t="shared" si="7" ref="I46:I51">ROUND(B46/1000,0)</f>
        <v>12756</v>
      </c>
      <c r="J46" s="154">
        <f>ROUND(C46/1000,0)</f>
        <v>0</v>
      </c>
      <c r="K46" s="154">
        <f>ROUND(D46/1000,0)</f>
        <v>1493</v>
      </c>
      <c r="L46" s="20">
        <f aca="true" t="shared" si="8" ref="L46:L51">IF(ISERROR(ROUND(K46,0)/ROUND(I46,0))," ",(ROUND(K46,)/ROUND(I46,)))</f>
        <v>0.11704296017560364</v>
      </c>
      <c r="M46" s="20" t="str">
        <f>IF(ISERROR(ROUND(K46,0)/ROUND(J46,0))," ",(ROUND(K46,)/ROUND(J46,)))</f>
        <v> </v>
      </c>
      <c r="N46" s="154">
        <f>K46-'[6]Maijs'!K46</f>
        <v>260</v>
      </c>
    </row>
    <row r="47" spans="1:14" ht="27.75" customHeight="1">
      <c r="A47" s="133" t="s">
        <v>259</v>
      </c>
      <c r="B47" s="127">
        <v>5250</v>
      </c>
      <c r="C47" s="158"/>
      <c r="D47" s="131"/>
      <c r="E47" s="20">
        <f t="shared" si="6"/>
        <v>0</v>
      </c>
      <c r="F47" s="20" t="str">
        <f>IF(ISERROR(D47/C47)," ",(D47/C47))</f>
        <v> </v>
      </c>
      <c r="G47" s="131">
        <f>D47-'[6]Maijs'!D47</f>
        <v>0</v>
      </c>
      <c r="H47" s="133" t="s">
        <v>259</v>
      </c>
      <c r="I47" s="154">
        <f t="shared" si="7"/>
        <v>5</v>
      </c>
      <c r="J47" s="154">
        <f>ROUND(C47/1000,0)</f>
        <v>0</v>
      </c>
      <c r="K47" s="154">
        <f>ROUND(D47/1000,0)</f>
        <v>0</v>
      </c>
      <c r="L47" s="20">
        <f t="shared" si="8"/>
        <v>0</v>
      </c>
      <c r="M47" s="20" t="str">
        <f>IF(ISERROR(ROUND(K47,0)/ROUND(J47,0))," ",(ROUND(K47,)/ROUND(J47,)))</f>
        <v> </v>
      </c>
      <c r="N47" s="154">
        <f>K47-'[6]Maijs'!K47</f>
        <v>0</v>
      </c>
    </row>
    <row r="48" spans="1:163" s="17" customFormat="1" ht="21.75" customHeight="1">
      <c r="A48" s="32" t="s">
        <v>260</v>
      </c>
      <c r="B48" s="122">
        <v>-73276370</v>
      </c>
      <c r="C48" s="158" t="s">
        <v>224</v>
      </c>
      <c r="D48" s="122">
        <f>SUM(D10-D13-D45)</f>
        <v>-49645904</v>
      </c>
      <c r="E48" s="16">
        <f t="shared" si="6"/>
        <v>0.6775158758546582</v>
      </c>
      <c r="F48" s="158" t="s">
        <v>224</v>
      </c>
      <c r="G48" s="122">
        <f>SUM(G10-G13-G45)</f>
        <v>-15070554</v>
      </c>
      <c r="H48" s="32" t="s">
        <v>260</v>
      </c>
      <c r="I48" s="152">
        <f t="shared" si="7"/>
        <v>-73276</v>
      </c>
      <c r="J48" s="216" t="s">
        <v>224</v>
      </c>
      <c r="K48" s="54">
        <f>SUM(K10-K13-K45)</f>
        <v>-49646</v>
      </c>
      <c r="L48" s="13">
        <f t="shared" si="8"/>
        <v>0.6775206070200338</v>
      </c>
      <c r="M48" s="217" t="s">
        <v>224</v>
      </c>
      <c r="N48" s="54">
        <f>SUM(N10-N13-N45)</f>
        <v>-15071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s="17" customFormat="1" ht="18" customHeight="1">
      <c r="A49" s="32" t="s">
        <v>358</v>
      </c>
      <c r="B49" s="52">
        <f>SUM(B50:B51)</f>
        <v>73276370</v>
      </c>
      <c r="C49" s="158" t="s">
        <v>224</v>
      </c>
      <c r="D49" s="52">
        <f>SUM(D50:D51)</f>
        <v>49645870</v>
      </c>
      <c r="E49" s="20">
        <f t="shared" si="6"/>
        <v>0.6775154118578746</v>
      </c>
      <c r="F49" s="158" t="s">
        <v>224</v>
      </c>
      <c r="G49" s="52">
        <f>SUM(G50:G51)</f>
        <v>15070520</v>
      </c>
      <c r="H49" s="32" t="s">
        <v>358</v>
      </c>
      <c r="I49" s="152">
        <f t="shared" si="7"/>
        <v>73276</v>
      </c>
      <c r="J49" s="216" t="s">
        <v>224</v>
      </c>
      <c r="K49" s="52">
        <f>SUM(K50:K51)</f>
        <v>49646</v>
      </c>
      <c r="L49" s="13">
        <f t="shared" si="8"/>
        <v>0.6775206070200338</v>
      </c>
      <c r="M49" s="217" t="s">
        <v>224</v>
      </c>
      <c r="N49" s="129">
        <f>SUM(N50:N51)</f>
        <v>15071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s="17" customFormat="1" ht="17.25" customHeight="1">
      <c r="A50" s="63" t="s">
        <v>276</v>
      </c>
      <c r="B50" s="127">
        <v>58334396</v>
      </c>
      <c r="C50" s="158" t="s">
        <v>224</v>
      </c>
      <c r="D50" s="131">
        <v>30395000</v>
      </c>
      <c r="E50" s="20">
        <f t="shared" si="6"/>
        <v>0.5210476508576518</v>
      </c>
      <c r="F50" s="158" t="s">
        <v>224</v>
      </c>
      <c r="G50" s="131">
        <f>D50-'[6]Maijs'!D50</f>
        <v>10886000</v>
      </c>
      <c r="H50" s="63" t="s">
        <v>276</v>
      </c>
      <c r="I50" s="154">
        <f t="shared" si="7"/>
        <v>58334</v>
      </c>
      <c r="J50" s="161" t="s">
        <v>224</v>
      </c>
      <c r="K50" s="154">
        <f>ROUND(D50/1000,0)</f>
        <v>30395</v>
      </c>
      <c r="L50" s="20">
        <f t="shared" si="8"/>
        <v>0.521051187986423</v>
      </c>
      <c r="M50" s="158" t="s">
        <v>224</v>
      </c>
      <c r="N50" s="154">
        <f>K50-'[6]Maijs'!K50</f>
        <v>10886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s="17" customFormat="1" ht="39.75" customHeight="1">
      <c r="A51" s="63" t="s">
        <v>359</v>
      </c>
      <c r="B51" s="127">
        <v>14941974</v>
      </c>
      <c r="C51" s="158" t="s">
        <v>224</v>
      </c>
      <c r="D51" s="131">
        <v>19250870</v>
      </c>
      <c r="E51" s="20">
        <f t="shared" si="6"/>
        <v>1.2883752842830538</v>
      </c>
      <c r="F51" s="158" t="s">
        <v>224</v>
      </c>
      <c r="G51" s="131">
        <f>D51-'[6]Maijs'!D51</f>
        <v>4184520</v>
      </c>
      <c r="H51" s="63" t="s">
        <v>359</v>
      </c>
      <c r="I51" s="154">
        <f t="shared" si="7"/>
        <v>14942</v>
      </c>
      <c r="J51" s="161" t="s">
        <v>224</v>
      </c>
      <c r="K51" s="154">
        <f>ROUND(D51/1000,0)</f>
        <v>19251</v>
      </c>
      <c r="L51" s="20">
        <f t="shared" si="8"/>
        <v>1.2883817427385893</v>
      </c>
      <c r="M51" s="158" t="s">
        <v>224</v>
      </c>
      <c r="N51" s="154">
        <f>K51-'[6]Maijs'!K51</f>
        <v>4185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3" s="36" customFormat="1" ht="12.75">
      <c r="A52" s="135"/>
      <c r="B52" s="218"/>
      <c r="C52" s="218"/>
      <c r="D52" s="139"/>
      <c r="E52" s="219"/>
      <c r="F52" s="220"/>
      <c r="H52" s="135"/>
      <c r="I52" s="218"/>
      <c r="J52" s="218"/>
      <c r="K52" s="139"/>
      <c r="L52" s="219"/>
      <c r="M52" s="220"/>
    </row>
    <row r="53" spans="1:13" s="36" customFormat="1" ht="12.75">
      <c r="A53" s="135"/>
      <c r="B53" s="218"/>
      <c r="C53" s="218"/>
      <c r="D53" s="139"/>
      <c r="E53" s="219"/>
      <c r="F53" s="220"/>
      <c r="H53" s="135"/>
      <c r="I53" s="218"/>
      <c r="J53" s="218"/>
      <c r="K53" s="139"/>
      <c r="L53" s="219"/>
      <c r="M53" s="220"/>
    </row>
    <row r="54" spans="1:13" s="36" customFormat="1" ht="12.75">
      <c r="A54" s="135"/>
      <c r="B54" s="218"/>
      <c r="C54" s="218"/>
      <c r="D54" s="139"/>
      <c r="E54" s="219"/>
      <c r="F54" s="220"/>
      <c r="H54" s="135"/>
      <c r="I54" s="218"/>
      <c r="J54" s="218"/>
      <c r="K54" s="139"/>
      <c r="L54" s="219"/>
      <c r="M54" s="220"/>
    </row>
    <row r="55" spans="1:13" s="36" customFormat="1" ht="12.75">
      <c r="A55" s="135"/>
      <c r="B55" s="218"/>
      <c r="C55" s="218"/>
      <c r="D55" s="139"/>
      <c r="E55" s="219"/>
      <c r="F55" s="220"/>
      <c r="I55" s="218"/>
      <c r="J55" s="218"/>
      <c r="K55" s="139"/>
      <c r="L55" s="219"/>
      <c r="M55" s="220"/>
    </row>
    <row r="56" spans="1:13" s="36" customFormat="1" ht="12.75">
      <c r="A56" s="135"/>
      <c r="B56" s="218"/>
      <c r="C56" s="218"/>
      <c r="D56" s="139"/>
      <c r="E56" s="219"/>
      <c r="F56" s="220"/>
      <c r="I56" s="218"/>
      <c r="J56" s="218"/>
      <c r="K56" s="139"/>
      <c r="L56" s="219"/>
      <c r="M56" s="220"/>
    </row>
    <row r="57" spans="1:13" s="36" customFormat="1" ht="12.75">
      <c r="A57" s="135"/>
      <c r="B57" s="218"/>
      <c r="C57" s="218"/>
      <c r="D57" s="139"/>
      <c r="E57" s="219"/>
      <c r="F57" s="220"/>
      <c r="I57" s="218"/>
      <c r="J57" s="218"/>
      <c r="K57" s="139"/>
      <c r="L57" s="219"/>
      <c r="M57" s="220"/>
    </row>
    <row r="58" spans="1:13" ht="12.75">
      <c r="A58" s="221"/>
      <c r="B58" s="222"/>
      <c r="C58" s="222"/>
      <c r="D58" s="65"/>
      <c r="E58" s="219"/>
      <c r="F58" s="223"/>
      <c r="I58" s="222"/>
      <c r="J58" s="222"/>
      <c r="K58" s="65"/>
      <c r="L58" s="219"/>
      <c r="M58" s="223"/>
    </row>
    <row r="59" spans="1:13" ht="14.25">
      <c r="A59" s="67"/>
      <c r="B59" s="222"/>
      <c r="C59" s="222"/>
      <c r="D59" s="65"/>
      <c r="E59" s="181"/>
      <c r="F59" s="223"/>
      <c r="I59" s="222"/>
      <c r="J59" s="222"/>
      <c r="K59" s="65"/>
      <c r="L59" s="181"/>
      <c r="M59" s="223"/>
    </row>
    <row r="60" spans="1:13" ht="12.75">
      <c r="A60" s="39" t="s">
        <v>263</v>
      </c>
      <c r="B60" s="117"/>
      <c r="C60" s="117"/>
      <c r="D60" s="117"/>
      <c r="E60" s="143"/>
      <c r="F60" s="182"/>
      <c r="I60" s="117"/>
      <c r="J60" s="117"/>
      <c r="K60" s="117"/>
      <c r="L60" s="143"/>
      <c r="M60" s="182"/>
    </row>
    <row r="61" spans="1:13" ht="12.75">
      <c r="A61" s="29"/>
      <c r="B61" s="224"/>
      <c r="C61" s="225"/>
      <c r="D61" s="69"/>
      <c r="E61" s="64"/>
      <c r="F61" s="226"/>
      <c r="I61" s="224"/>
      <c r="J61" s="225"/>
      <c r="K61" s="69"/>
      <c r="L61" s="64"/>
      <c r="M61" s="226"/>
    </row>
    <row r="62" spans="1:13" ht="12.75">
      <c r="A62" s="29"/>
      <c r="B62" s="224"/>
      <c r="C62" s="225"/>
      <c r="D62" s="69"/>
      <c r="E62" s="64"/>
      <c r="F62" s="227"/>
      <c r="I62" s="224"/>
      <c r="J62" s="225"/>
      <c r="K62" s="69"/>
      <c r="L62" s="64"/>
      <c r="M62" s="227"/>
    </row>
    <row r="63" spans="1:13" ht="12.75">
      <c r="A63" s="29"/>
      <c r="B63" s="224"/>
      <c r="C63" s="225"/>
      <c r="D63" s="69"/>
      <c r="E63" s="64"/>
      <c r="F63" s="227"/>
      <c r="I63" s="224"/>
      <c r="J63" s="225"/>
      <c r="K63" s="69"/>
      <c r="L63" s="64"/>
      <c r="M63" s="227"/>
    </row>
    <row r="64" spans="1:13" ht="12.75">
      <c r="A64" s="29"/>
      <c r="B64" s="224"/>
      <c r="C64" s="225"/>
      <c r="D64" s="69"/>
      <c r="E64" s="64"/>
      <c r="F64" s="227"/>
      <c r="H64" s="29"/>
      <c r="I64" s="224"/>
      <c r="J64" s="225"/>
      <c r="K64" s="69"/>
      <c r="L64" s="64"/>
      <c r="M64" s="227"/>
    </row>
    <row r="65" spans="1:13" ht="12.75">
      <c r="A65" s="29"/>
      <c r="B65" s="224"/>
      <c r="C65" s="225"/>
      <c r="D65" s="69"/>
      <c r="E65" s="64"/>
      <c r="F65" s="227"/>
      <c r="H65" s="29"/>
      <c r="I65" s="224"/>
      <c r="J65" s="225"/>
      <c r="K65" s="69"/>
      <c r="L65" s="64"/>
      <c r="M65" s="227"/>
    </row>
    <row r="66" spans="1:13" ht="12.75">
      <c r="A66" s="29"/>
      <c r="B66" s="224"/>
      <c r="C66" s="225"/>
      <c r="D66" s="69"/>
      <c r="E66" s="64"/>
      <c r="F66" s="227"/>
      <c r="H66" s="29"/>
      <c r="I66" s="224"/>
      <c r="J66" s="225"/>
      <c r="K66" s="69"/>
      <c r="L66" s="64"/>
      <c r="M66" s="227"/>
    </row>
    <row r="67" spans="2:13" ht="12.75">
      <c r="B67" s="121"/>
      <c r="C67" s="121"/>
      <c r="E67" s="121"/>
      <c r="F67" s="121"/>
      <c r="I67" s="121"/>
      <c r="J67" s="121"/>
      <c r="L67" s="121"/>
      <c r="M67" s="121"/>
    </row>
    <row r="68" spans="2:13" ht="12.75">
      <c r="B68" s="121"/>
      <c r="C68" s="121"/>
      <c r="E68" s="121"/>
      <c r="F68" s="121"/>
      <c r="I68" s="121"/>
      <c r="J68" s="121"/>
      <c r="L68" s="121"/>
      <c r="M68" s="121"/>
    </row>
    <row r="69" spans="1:13" ht="12.75">
      <c r="A69" s="29" t="s">
        <v>91</v>
      </c>
      <c r="B69" s="121"/>
      <c r="C69" s="121"/>
      <c r="D69" s="6"/>
      <c r="E69" s="121"/>
      <c r="F69" s="121"/>
      <c r="H69" s="39" t="s">
        <v>263</v>
      </c>
      <c r="I69" s="121"/>
      <c r="J69" s="121"/>
      <c r="K69" s="6"/>
      <c r="L69" s="121"/>
      <c r="M69" s="121"/>
    </row>
    <row r="70" spans="1:13" ht="12.75">
      <c r="A70" s="29" t="s">
        <v>92</v>
      </c>
      <c r="B70" s="6"/>
      <c r="C70" s="6"/>
      <c r="D70" s="6"/>
      <c r="E70" s="121"/>
      <c r="F70" s="121"/>
      <c r="H70" s="135"/>
      <c r="I70" s="6"/>
      <c r="J70" s="6"/>
      <c r="K70" s="6"/>
      <c r="L70" s="121"/>
      <c r="M70" s="121"/>
    </row>
    <row r="71" spans="1:13" ht="12.75">
      <c r="A71" s="6"/>
      <c r="B71" s="6"/>
      <c r="C71" s="6"/>
      <c r="D71" s="6"/>
      <c r="E71" s="121"/>
      <c r="F71" s="121"/>
      <c r="I71" s="6"/>
      <c r="J71" s="6"/>
      <c r="K71" s="6"/>
      <c r="L71" s="121"/>
      <c r="M71" s="121"/>
    </row>
    <row r="72" spans="1:13" ht="12.75">
      <c r="A72" s="6"/>
      <c r="B72" s="6"/>
      <c r="C72" s="6"/>
      <c r="D72" s="6"/>
      <c r="E72" s="121"/>
      <c r="F72" s="121"/>
      <c r="I72" s="6"/>
      <c r="J72" s="6"/>
      <c r="K72" s="6"/>
      <c r="L72" s="121"/>
      <c r="M72" s="121"/>
    </row>
    <row r="73" spans="1:8" ht="14.25">
      <c r="A73" s="6"/>
      <c r="B73" s="6"/>
      <c r="C73" s="6"/>
      <c r="D73" s="6"/>
      <c r="E73" s="121"/>
      <c r="F73" s="121"/>
      <c r="H73" s="67"/>
    </row>
    <row r="74" spans="1:8" ht="12.75">
      <c r="A74" s="6"/>
      <c r="B74" s="6"/>
      <c r="C74" s="6"/>
      <c r="D74" s="6"/>
      <c r="E74" s="121"/>
      <c r="F74" s="121"/>
      <c r="H74" s="29" t="s">
        <v>91</v>
      </c>
    </row>
    <row r="75" spans="1:8" ht="12.75">
      <c r="A75" s="6"/>
      <c r="B75" s="6"/>
      <c r="C75" s="6"/>
      <c r="D75" s="6"/>
      <c r="E75" s="121"/>
      <c r="F75" s="121"/>
      <c r="H75" s="29" t="s">
        <v>93</v>
      </c>
    </row>
    <row r="76" spans="1:6" ht="12.75">
      <c r="A76" s="6"/>
      <c r="B76" s="6"/>
      <c r="C76" s="6"/>
      <c r="D76" s="6"/>
      <c r="E76" s="121"/>
      <c r="F76" s="121"/>
    </row>
    <row r="77" spans="1:6" ht="12.75">
      <c r="A77" s="6"/>
      <c r="B77" s="6"/>
      <c r="C77" s="6"/>
      <c r="D77" s="6"/>
      <c r="E77" s="121"/>
      <c r="F77" s="121"/>
    </row>
    <row r="78" spans="1:6" ht="12.75">
      <c r="A78" s="6"/>
      <c r="B78" s="6"/>
      <c r="C78" s="6"/>
      <c r="D78" s="6"/>
      <c r="E78" s="121"/>
      <c r="F78" s="121"/>
    </row>
    <row r="79" spans="1:6" ht="12.75">
      <c r="A79" s="6"/>
      <c r="B79" s="6"/>
      <c r="C79" s="6"/>
      <c r="D79" s="6"/>
      <c r="E79" s="121"/>
      <c r="F79" s="121"/>
    </row>
    <row r="80" spans="1:6" ht="12.75">
      <c r="A80" s="6"/>
      <c r="B80" s="6"/>
      <c r="C80" s="6"/>
      <c r="D80" s="6"/>
      <c r="E80" s="121"/>
      <c r="F80" s="121"/>
    </row>
    <row r="81" spans="1:6" ht="12.75">
      <c r="A81" s="6"/>
      <c r="B81" s="6"/>
      <c r="C81" s="6"/>
      <c r="D81" s="6"/>
      <c r="E81" s="121"/>
      <c r="F81" s="121"/>
    </row>
    <row r="82" spans="1:6" ht="12.75">
      <c r="A82" s="6"/>
      <c r="B82" s="6"/>
      <c r="C82" s="6"/>
      <c r="D82" s="6"/>
      <c r="E82" s="121"/>
      <c r="F82" s="121"/>
    </row>
    <row r="83" spans="1:6" ht="12.75">
      <c r="A83" s="6"/>
      <c r="B83" s="6"/>
      <c r="C83" s="6"/>
      <c r="D83" s="6"/>
      <c r="E83" s="121"/>
      <c r="F83" s="121"/>
    </row>
    <row r="84" spans="1:6" ht="12.75">
      <c r="A84" s="6"/>
      <c r="B84" s="6"/>
      <c r="C84" s="6"/>
      <c r="D84" s="6"/>
      <c r="E84" s="121"/>
      <c r="F84" s="121"/>
    </row>
    <row r="85" spans="5:6" ht="12.75">
      <c r="E85" s="73"/>
      <c r="F85" s="73"/>
    </row>
    <row r="86" spans="5:6" ht="12.75">
      <c r="E86" s="73"/>
      <c r="F86" s="73"/>
    </row>
    <row r="87" spans="5:6" ht="12.75">
      <c r="E87" s="73"/>
      <c r="F87" s="73"/>
    </row>
    <row r="88" spans="5:6" ht="12.75">
      <c r="E88" s="73"/>
      <c r="F88" s="73"/>
    </row>
    <row r="89" spans="5:6" ht="12.75">
      <c r="E89" s="73"/>
      <c r="F89" s="73"/>
    </row>
    <row r="90" spans="5:6" ht="12.75">
      <c r="E90" s="73"/>
      <c r="F90" s="73"/>
    </row>
    <row r="91" spans="5:6" ht="12.75">
      <c r="E91" s="73"/>
      <c r="F91" s="73"/>
    </row>
    <row r="92" spans="5:6" ht="12.75">
      <c r="E92" s="73"/>
      <c r="F92" s="73"/>
    </row>
    <row r="93" spans="5:6" ht="12.75">
      <c r="E93" s="73"/>
      <c r="F93" s="73"/>
    </row>
    <row r="94" spans="5:6" ht="12.75">
      <c r="E94" s="73"/>
      <c r="F94" s="73"/>
    </row>
    <row r="95" spans="5:6" ht="12.75">
      <c r="E95" s="73"/>
      <c r="F95" s="73"/>
    </row>
    <row r="96" spans="5:6" ht="12.75">
      <c r="E96" s="73"/>
      <c r="F96" s="73"/>
    </row>
    <row r="97" spans="5:6" ht="12.75">
      <c r="E97" s="73"/>
      <c r="F97" s="73"/>
    </row>
    <row r="98" spans="5:6" ht="12.75">
      <c r="E98" s="73"/>
      <c r="F98" s="73"/>
    </row>
    <row r="99" spans="5:6" ht="12.75">
      <c r="E99" s="73"/>
      <c r="F99" s="73"/>
    </row>
    <row r="100" spans="5:6" ht="12.75">
      <c r="E100" s="73"/>
      <c r="F100" s="73"/>
    </row>
    <row r="101" spans="5:6" ht="12.75">
      <c r="E101" s="73"/>
      <c r="F101" s="73"/>
    </row>
    <row r="102" spans="5:6" ht="12.75">
      <c r="E102" s="73"/>
      <c r="F102" s="73"/>
    </row>
    <row r="103" spans="5:6" ht="12.75">
      <c r="E103" s="73"/>
      <c r="F103" s="73"/>
    </row>
    <row r="104" spans="5:6" ht="12.75">
      <c r="E104" s="73"/>
      <c r="F104" s="73"/>
    </row>
    <row r="105" spans="5:6" ht="12.75">
      <c r="E105" s="73"/>
      <c r="F105" s="73"/>
    </row>
    <row r="106" spans="5:6" ht="12.75">
      <c r="E106" s="73"/>
      <c r="F106" s="73"/>
    </row>
    <row r="107" spans="5:6" ht="12.75">
      <c r="E107" s="73"/>
      <c r="F107" s="73"/>
    </row>
    <row r="108" spans="5:6" ht="12.75">
      <c r="E108" s="73"/>
      <c r="F108" s="73"/>
    </row>
    <row r="109" spans="5:6" ht="12.75">
      <c r="E109" s="73"/>
      <c r="F109" s="73"/>
    </row>
    <row r="110" spans="5:6" ht="12.75">
      <c r="E110" s="73"/>
      <c r="F110" s="73"/>
    </row>
    <row r="111" spans="5:6" ht="12.75">
      <c r="E111" s="73"/>
      <c r="F111" s="73"/>
    </row>
    <row r="112" spans="5:6" ht="12.75">
      <c r="E112" s="73"/>
      <c r="F112" s="73"/>
    </row>
    <row r="113" spans="5:6" ht="12.75">
      <c r="E113" s="73"/>
      <c r="F113" s="73"/>
    </row>
    <row r="114" spans="5:6" ht="12.75">
      <c r="E114" s="73"/>
      <c r="F114" s="73"/>
    </row>
    <row r="115" spans="5:6" ht="12.75">
      <c r="E115" s="73"/>
      <c r="F115" s="73"/>
    </row>
    <row r="116" spans="5:6" ht="12.75">
      <c r="E116" s="73"/>
      <c r="F116" s="73"/>
    </row>
    <row r="117" spans="5:6" ht="12.75">
      <c r="E117" s="73"/>
      <c r="F117" s="73"/>
    </row>
    <row r="118" spans="5:6" ht="12.75">
      <c r="E118" s="73"/>
      <c r="F118" s="73"/>
    </row>
    <row r="119" spans="5:6" ht="12.75">
      <c r="E119" s="73"/>
      <c r="F119" s="73"/>
    </row>
    <row r="120" spans="5:6" ht="12.75">
      <c r="E120" s="73"/>
      <c r="F120" s="73"/>
    </row>
    <row r="121" spans="5:6" ht="12.75">
      <c r="E121" s="73"/>
      <c r="F121" s="73"/>
    </row>
    <row r="122" spans="5:6" ht="12.75">
      <c r="E122" s="73"/>
      <c r="F122" s="73"/>
    </row>
    <row r="123" spans="5:6" ht="12.75">
      <c r="E123" s="73"/>
      <c r="F123" s="73"/>
    </row>
    <row r="124" spans="5:6" ht="12.75">
      <c r="E124" s="73"/>
      <c r="F124" s="73"/>
    </row>
    <row r="125" spans="5:6" ht="12.75">
      <c r="E125" s="73"/>
      <c r="F125" s="73"/>
    </row>
    <row r="126" spans="5:6" ht="12.75">
      <c r="E126" s="73"/>
      <c r="F126" s="73"/>
    </row>
    <row r="127" spans="5:6" ht="12.75">
      <c r="E127" s="73"/>
      <c r="F127" s="73"/>
    </row>
    <row r="128" spans="5:6" ht="12.75">
      <c r="E128" s="73"/>
      <c r="F128" s="73"/>
    </row>
    <row r="129" spans="5:6" ht="12.75">
      <c r="E129" s="73"/>
      <c r="F129" s="73"/>
    </row>
    <row r="130" spans="5:6" ht="12.75">
      <c r="E130" s="73"/>
      <c r="F130" s="73"/>
    </row>
    <row r="131" spans="5:6" ht="12.75">
      <c r="E131" s="73"/>
      <c r="F131" s="73"/>
    </row>
    <row r="132" spans="5:6" ht="12.75">
      <c r="E132" s="73"/>
      <c r="F132" s="73"/>
    </row>
    <row r="133" spans="5:6" ht="12.75">
      <c r="E133" s="73"/>
      <c r="F133" s="73"/>
    </row>
    <row r="134" spans="5:6" ht="12.75">
      <c r="E134" s="73"/>
      <c r="F134" s="73"/>
    </row>
    <row r="135" spans="5:6" ht="12.75">
      <c r="E135" s="73"/>
      <c r="F135" s="73"/>
    </row>
    <row r="136" spans="5:6" ht="12.75">
      <c r="E136" s="73"/>
      <c r="F136" s="73"/>
    </row>
    <row r="137" spans="5:6" ht="12.75">
      <c r="E137" s="73"/>
      <c r="F137" s="73"/>
    </row>
    <row r="138" spans="5:6" ht="12.75">
      <c r="E138" s="73"/>
      <c r="F138" s="73"/>
    </row>
    <row r="139" spans="5:6" ht="12.75">
      <c r="E139" s="73"/>
      <c r="F139" s="73"/>
    </row>
    <row r="140" spans="5:6" ht="12.75">
      <c r="E140" s="73"/>
      <c r="F140" s="73"/>
    </row>
    <row r="141" spans="5:6" ht="12.75">
      <c r="E141" s="73"/>
      <c r="F141" s="73"/>
    </row>
    <row r="142" spans="5:6" ht="12.75">
      <c r="E142" s="73"/>
      <c r="F142" s="73"/>
    </row>
    <row r="143" spans="5:6" ht="12.75">
      <c r="E143" s="73"/>
      <c r="F143" s="73"/>
    </row>
    <row r="144" spans="5:6" ht="12.75">
      <c r="E144" s="73"/>
      <c r="F144" s="73"/>
    </row>
    <row r="145" spans="5:6" ht="12.75">
      <c r="E145" s="73"/>
      <c r="F145" s="73"/>
    </row>
    <row r="146" spans="5:6" ht="12.75">
      <c r="E146" s="73"/>
      <c r="F146" s="73"/>
    </row>
    <row r="147" spans="5:6" ht="12.75">
      <c r="E147" s="73"/>
      <c r="F147" s="73"/>
    </row>
    <row r="148" spans="5:6" ht="12.75">
      <c r="E148" s="73"/>
      <c r="F148" s="73"/>
    </row>
    <row r="149" spans="5:6" ht="12.75">
      <c r="E149" s="73"/>
      <c r="F149" s="73"/>
    </row>
    <row r="150" spans="5:6" ht="12.75">
      <c r="E150" s="73"/>
      <c r="F150" s="73"/>
    </row>
    <row r="151" spans="5:6" ht="12.75">
      <c r="E151" s="73"/>
      <c r="F151" s="73"/>
    </row>
    <row r="152" spans="5:6" ht="12.75">
      <c r="E152" s="73"/>
      <c r="F152" s="73"/>
    </row>
    <row r="153" spans="5:6" ht="12.75">
      <c r="E153" s="73"/>
      <c r="F153" s="73"/>
    </row>
    <row r="154" spans="5:6" ht="12.75">
      <c r="E154" s="73"/>
      <c r="F154" s="73"/>
    </row>
    <row r="155" spans="5:6" ht="12.75">
      <c r="E155" s="73"/>
      <c r="F155" s="73"/>
    </row>
    <row r="156" spans="5:6" ht="12.75">
      <c r="E156" s="73"/>
      <c r="F156" s="73"/>
    </row>
    <row r="157" spans="5:6" ht="12.75">
      <c r="E157" s="73"/>
      <c r="F157" s="73"/>
    </row>
    <row r="158" spans="5:6" ht="12.75">
      <c r="E158" s="73"/>
      <c r="F158" s="73"/>
    </row>
    <row r="159" spans="5:6" ht="12.75">
      <c r="E159" s="73"/>
      <c r="F159" s="73"/>
    </row>
    <row r="160" spans="5:6" ht="12.75">
      <c r="E160" s="73"/>
      <c r="F160" s="73"/>
    </row>
    <row r="161" spans="5:6" ht="12.75">
      <c r="E161" s="73"/>
      <c r="F161" s="73"/>
    </row>
    <row r="162" spans="5:6" ht="12.75">
      <c r="E162" s="73"/>
      <c r="F162" s="73"/>
    </row>
    <row r="163" spans="5:6" ht="12.75">
      <c r="E163" s="73"/>
      <c r="F163" s="73"/>
    </row>
    <row r="164" spans="5:6" ht="12.75">
      <c r="E164" s="73"/>
      <c r="F164" s="73"/>
    </row>
    <row r="165" spans="5:6" ht="12.75">
      <c r="E165" s="73"/>
      <c r="F165" s="73"/>
    </row>
    <row r="166" spans="5:6" ht="12.75">
      <c r="E166" s="73"/>
      <c r="F166" s="73"/>
    </row>
    <row r="167" spans="5:6" ht="12.75">
      <c r="E167" s="73"/>
      <c r="F167" s="73"/>
    </row>
    <row r="168" spans="5:6" ht="12.75">
      <c r="E168" s="73"/>
      <c r="F168" s="73"/>
    </row>
    <row r="169" spans="5:6" ht="12.75">
      <c r="E169" s="73"/>
      <c r="F169" s="73"/>
    </row>
    <row r="170" spans="5:6" ht="12.75">
      <c r="E170" s="73"/>
      <c r="F170" s="73"/>
    </row>
    <row r="171" spans="5:6" ht="12.75">
      <c r="E171" s="73"/>
      <c r="F171" s="73"/>
    </row>
    <row r="172" spans="5:6" ht="12.75">
      <c r="E172" s="73"/>
      <c r="F172" s="73"/>
    </row>
    <row r="173" spans="5:6" ht="12.75">
      <c r="E173" s="73"/>
      <c r="F173" s="73"/>
    </row>
    <row r="174" spans="5:6" ht="12.75">
      <c r="E174" s="73"/>
      <c r="F174" s="73"/>
    </row>
    <row r="175" spans="5:6" ht="12.75">
      <c r="E175" s="73"/>
      <c r="F175" s="73"/>
    </row>
    <row r="176" spans="5:6" ht="12.75">
      <c r="E176" s="73"/>
      <c r="F176" s="73"/>
    </row>
    <row r="177" spans="5:6" ht="12.75">
      <c r="E177" s="73"/>
      <c r="F177" s="73"/>
    </row>
    <row r="178" spans="5:6" ht="12.75">
      <c r="E178" s="73"/>
      <c r="F178" s="73"/>
    </row>
    <row r="179" spans="5:6" ht="12.75">
      <c r="E179" s="73"/>
      <c r="F179" s="73"/>
    </row>
    <row r="180" spans="5:6" ht="12.75">
      <c r="E180" s="73"/>
      <c r="F180" s="73"/>
    </row>
    <row r="181" spans="5:6" ht="12.75">
      <c r="E181" s="73"/>
      <c r="F181" s="73"/>
    </row>
    <row r="182" spans="5:6" ht="12.75">
      <c r="E182" s="73"/>
      <c r="F182" s="73"/>
    </row>
    <row r="183" spans="5:6" ht="12.75">
      <c r="E183" s="73"/>
      <c r="F183" s="73"/>
    </row>
    <row r="184" spans="5:6" ht="12.75">
      <c r="E184" s="73"/>
      <c r="F184" s="73"/>
    </row>
    <row r="185" spans="5:6" ht="12.75">
      <c r="E185" s="73"/>
      <c r="F185" s="73"/>
    </row>
    <row r="186" spans="5:6" ht="12.75">
      <c r="E186" s="73"/>
      <c r="F186" s="73"/>
    </row>
    <row r="187" spans="5:6" ht="12.75">
      <c r="E187" s="73"/>
      <c r="F187" s="73"/>
    </row>
    <row r="188" spans="5:6" ht="12.75">
      <c r="E188" s="73"/>
      <c r="F188" s="73"/>
    </row>
    <row r="189" spans="5:6" ht="12.75">
      <c r="E189" s="73"/>
      <c r="F189" s="73"/>
    </row>
    <row r="190" spans="5:6" ht="12.75">
      <c r="E190" s="73"/>
      <c r="F190" s="73"/>
    </row>
    <row r="191" spans="5:6" ht="12.75">
      <c r="E191" s="73"/>
      <c r="F191" s="73"/>
    </row>
    <row r="192" spans="5:6" ht="12.75">
      <c r="E192" s="73"/>
      <c r="F192" s="73"/>
    </row>
    <row r="193" spans="5:6" ht="12.75">
      <c r="E193" s="73"/>
      <c r="F193" s="73"/>
    </row>
    <row r="194" spans="5:6" ht="12.75">
      <c r="E194" s="73"/>
      <c r="F194" s="73"/>
    </row>
    <row r="195" spans="5:6" ht="12.75">
      <c r="E195" s="73"/>
      <c r="F195" s="73"/>
    </row>
    <row r="196" spans="5:6" ht="12.75">
      <c r="E196" s="73"/>
      <c r="F196" s="73"/>
    </row>
    <row r="197" spans="5:6" ht="12.75">
      <c r="E197" s="73"/>
      <c r="F197" s="73"/>
    </row>
    <row r="198" spans="5:6" ht="12.75">
      <c r="E198" s="73"/>
      <c r="F198" s="73"/>
    </row>
    <row r="199" spans="5:6" ht="12.75">
      <c r="E199" s="73"/>
      <c r="F199" s="73"/>
    </row>
    <row r="200" spans="5:6" ht="12.75">
      <c r="E200" s="73"/>
      <c r="F200" s="73"/>
    </row>
    <row r="201" spans="5:6" ht="12.75">
      <c r="E201" s="73"/>
      <c r="F201" s="73"/>
    </row>
    <row r="202" spans="5:6" ht="12.75">
      <c r="E202" s="73"/>
      <c r="F202" s="73"/>
    </row>
    <row r="203" spans="5:6" ht="12.75">
      <c r="E203" s="73"/>
      <c r="F203" s="73"/>
    </row>
    <row r="204" spans="5:6" ht="12.75">
      <c r="E204" s="73"/>
      <c r="F204" s="73"/>
    </row>
    <row r="205" spans="5:6" ht="12.75">
      <c r="E205" s="73"/>
      <c r="F205" s="73"/>
    </row>
    <row r="206" spans="5:6" ht="12.75">
      <c r="E206" s="73"/>
      <c r="F206" s="73"/>
    </row>
    <row r="207" spans="5:6" ht="12.75">
      <c r="E207" s="73"/>
      <c r="F207" s="73"/>
    </row>
    <row r="208" spans="5:6" ht="12.75">
      <c r="E208" s="73"/>
      <c r="F208" s="73"/>
    </row>
    <row r="209" spans="5:6" ht="12.75">
      <c r="E209" s="73"/>
      <c r="F209" s="73"/>
    </row>
    <row r="210" spans="5:6" ht="12.75">
      <c r="E210" s="73"/>
      <c r="F210" s="73"/>
    </row>
    <row r="211" spans="5:6" ht="12.75">
      <c r="E211" s="73"/>
      <c r="F211" s="73"/>
    </row>
    <row r="212" spans="5:6" ht="12.75">
      <c r="E212" s="73"/>
      <c r="F212" s="73"/>
    </row>
    <row r="213" spans="5:6" ht="12.75">
      <c r="E213" s="73"/>
      <c r="F213" s="73"/>
    </row>
    <row r="214" spans="5:6" ht="12.75">
      <c r="E214" s="73"/>
      <c r="F214" s="73"/>
    </row>
    <row r="215" spans="5:6" ht="12.75">
      <c r="E215" s="73"/>
      <c r="F215" s="73"/>
    </row>
    <row r="216" spans="5:6" ht="12.75">
      <c r="E216" s="73"/>
      <c r="F216" s="73"/>
    </row>
    <row r="217" spans="5:6" ht="12.75">
      <c r="E217" s="73"/>
      <c r="F217" s="73"/>
    </row>
    <row r="218" spans="5:6" ht="12.75">
      <c r="E218" s="73"/>
      <c r="F218" s="73"/>
    </row>
    <row r="219" spans="5:6" ht="12.75">
      <c r="E219" s="73"/>
      <c r="F219" s="73"/>
    </row>
    <row r="220" spans="5:6" ht="12.75">
      <c r="E220" s="73"/>
      <c r="F220" s="73"/>
    </row>
    <row r="221" spans="5:6" ht="12.75">
      <c r="E221" s="73"/>
      <c r="F221" s="73"/>
    </row>
    <row r="222" spans="5:6" ht="12.75">
      <c r="E222" s="73"/>
      <c r="F222" s="73"/>
    </row>
    <row r="223" spans="5:6" ht="12.75">
      <c r="E223" s="73"/>
      <c r="F223" s="73"/>
    </row>
    <row r="224" spans="5:6" ht="12.75">
      <c r="E224" s="73"/>
      <c r="F224" s="73"/>
    </row>
    <row r="225" spans="5:6" ht="12.75">
      <c r="E225" s="73"/>
      <c r="F225" s="73"/>
    </row>
    <row r="226" spans="5:6" ht="12.75">
      <c r="E226" s="73"/>
      <c r="F226" s="73"/>
    </row>
    <row r="227" spans="5:6" ht="12.75">
      <c r="E227" s="73"/>
      <c r="F227" s="73"/>
    </row>
    <row r="228" spans="5:6" ht="12.75">
      <c r="E228" s="73"/>
      <c r="F228" s="73"/>
    </row>
    <row r="229" spans="5:6" ht="12.75">
      <c r="E229" s="73"/>
      <c r="F229" s="73"/>
    </row>
    <row r="230" spans="5:6" ht="12.75">
      <c r="E230" s="73"/>
      <c r="F230" s="73"/>
    </row>
    <row r="231" spans="5:6" ht="12.75">
      <c r="E231" s="73"/>
      <c r="F231" s="73"/>
    </row>
    <row r="232" spans="5:6" ht="12.75">
      <c r="E232" s="73"/>
      <c r="F232" s="73"/>
    </row>
    <row r="233" spans="5:6" ht="12.75">
      <c r="E233" s="73"/>
      <c r="F233" s="73"/>
    </row>
    <row r="234" spans="5:6" ht="12.75">
      <c r="E234" s="73"/>
      <c r="F234" s="73"/>
    </row>
    <row r="235" spans="5:6" ht="12.75">
      <c r="E235" s="73"/>
      <c r="F235" s="73"/>
    </row>
    <row r="236" spans="5:6" ht="12.75">
      <c r="E236" s="73"/>
      <c r="F236" s="73"/>
    </row>
    <row r="237" spans="5:6" ht="12.75">
      <c r="E237" s="73"/>
      <c r="F237" s="73"/>
    </row>
    <row r="238" spans="5:6" ht="12.75">
      <c r="E238" s="73"/>
      <c r="F238" s="73"/>
    </row>
    <row r="239" spans="5:6" ht="12.75">
      <c r="E239" s="73"/>
      <c r="F239" s="73"/>
    </row>
    <row r="240" spans="5:6" ht="12.75">
      <c r="E240" s="73"/>
      <c r="F240" s="73"/>
    </row>
    <row r="241" spans="5:6" ht="12.75">
      <c r="E241" s="73"/>
      <c r="F241" s="73"/>
    </row>
    <row r="242" spans="5:6" ht="12.75">
      <c r="E242" s="73"/>
      <c r="F242" s="73"/>
    </row>
    <row r="243" spans="5:6" ht="12.75">
      <c r="E243" s="73"/>
      <c r="F243" s="73"/>
    </row>
    <row r="244" spans="5:6" ht="12.75">
      <c r="E244" s="73"/>
      <c r="F244" s="73"/>
    </row>
    <row r="245" spans="5:6" ht="12.75">
      <c r="E245" s="73"/>
      <c r="F245" s="73"/>
    </row>
    <row r="246" spans="5:6" ht="12.75">
      <c r="E246" s="73"/>
      <c r="F246" s="73"/>
    </row>
    <row r="247" spans="5:6" ht="12.75">
      <c r="E247" s="73"/>
      <c r="F247" s="73"/>
    </row>
    <row r="248" spans="5:6" ht="12.75">
      <c r="E248" s="73"/>
      <c r="F248" s="73"/>
    </row>
    <row r="249" spans="5:6" ht="12.75">
      <c r="E249" s="73"/>
      <c r="F249" s="73"/>
    </row>
    <row r="250" spans="5:6" ht="12.75">
      <c r="E250" s="73"/>
      <c r="F250" s="73"/>
    </row>
    <row r="251" spans="5:6" ht="12.75">
      <c r="E251" s="73"/>
      <c r="F251" s="73"/>
    </row>
    <row r="252" spans="5:6" ht="12.75">
      <c r="E252" s="73"/>
      <c r="F252" s="73"/>
    </row>
    <row r="253" spans="5:6" ht="12.75">
      <c r="E253" s="73"/>
      <c r="F253" s="73"/>
    </row>
    <row r="254" spans="5:6" ht="12.75">
      <c r="E254" s="73"/>
      <c r="F254" s="73"/>
    </row>
    <row r="255" spans="5:6" ht="12.75">
      <c r="E255" s="73"/>
      <c r="F255" s="73"/>
    </row>
    <row r="256" spans="5:6" ht="12.75">
      <c r="E256" s="73"/>
      <c r="F256" s="73"/>
    </row>
    <row r="257" spans="5:6" ht="12.75">
      <c r="E257" s="73"/>
      <c r="F257" s="73"/>
    </row>
    <row r="258" spans="5:6" ht="12.75">
      <c r="E258" s="73"/>
      <c r="F258" s="73"/>
    </row>
    <row r="259" spans="5:6" ht="12.75">
      <c r="E259" s="73"/>
      <c r="F259" s="73"/>
    </row>
    <row r="260" spans="5:6" ht="12.75">
      <c r="E260" s="73"/>
      <c r="F260" s="73"/>
    </row>
    <row r="261" spans="5:6" ht="12.75">
      <c r="E261" s="73"/>
      <c r="F261" s="73"/>
    </row>
    <row r="262" spans="5:6" ht="12.75">
      <c r="E262" s="73"/>
      <c r="F262" s="73"/>
    </row>
    <row r="263" spans="5:6" ht="12.75">
      <c r="E263" s="73"/>
      <c r="F263" s="73"/>
    </row>
    <row r="264" spans="5:6" ht="12.75">
      <c r="E264" s="73"/>
      <c r="F264" s="73"/>
    </row>
    <row r="265" spans="5:6" ht="12.75">
      <c r="E265" s="73"/>
      <c r="F265" s="73"/>
    </row>
    <row r="266" spans="5:6" ht="12.75">
      <c r="E266" s="73"/>
      <c r="F266" s="73"/>
    </row>
    <row r="267" spans="5:6" ht="12.75">
      <c r="E267" s="73"/>
      <c r="F267" s="73"/>
    </row>
    <row r="268" spans="5:6" ht="12.75">
      <c r="E268" s="73"/>
      <c r="F268" s="73"/>
    </row>
    <row r="269" spans="5:6" ht="12.75">
      <c r="E269" s="73"/>
      <c r="F269" s="73"/>
    </row>
    <row r="270" spans="5:6" ht="12.75">
      <c r="E270" s="73"/>
      <c r="F270" s="73"/>
    </row>
    <row r="271" spans="5:6" ht="12.75">
      <c r="E271" s="73"/>
      <c r="F271" s="73"/>
    </row>
    <row r="272" spans="5:6" ht="12.75">
      <c r="E272" s="73"/>
      <c r="F272" s="73"/>
    </row>
    <row r="273" spans="5:6" ht="12.75">
      <c r="E273" s="73"/>
      <c r="F273" s="73"/>
    </row>
    <row r="274" spans="5:6" ht="12.75">
      <c r="E274" s="73"/>
      <c r="F274" s="73"/>
    </row>
    <row r="275" spans="5:6" ht="12.75">
      <c r="E275" s="73"/>
      <c r="F275" s="73"/>
    </row>
    <row r="276" spans="5:6" ht="12.75">
      <c r="E276" s="73"/>
      <c r="F276" s="73"/>
    </row>
    <row r="277" spans="5:6" ht="12.75">
      <c r="E277" s="73"/>
      <c r="F277" s="73"/>
    </row>
    <row r="278" spans="5:6" ht="12.75">
      <c r="E278" s="73"/>
      <c r="F278" s="73"/>
    </row>
    <row r="279" spans="5:6" ht="12.75">
      <c r="E279" s="73"/>
      <c r="F279" s="73"/>
    </row>
    <row r="280" spans="5:6" ht="12.75">
      <c r="E280" s="73"/>
      <c r="F280" s="73"/>
    </row>
    <row r="281" spans="5:6" ht="12.75">
      <c r="E281" s="73"/>
      <c r="F281" s="73"/>
    </row>
    <row r="282" spans="5:6" ht="12.75">
      <c r="E282" s="73"/>
      <c r="F282" s="73"/>
    </row>
    <row r="283" spans="5:6" ht="12.75">
      <c r="E283" s="73"/>
      <c r="F283" s="73"/>
    </row>
    <row r="284" spans="5:6" ht="12.75">
      <c r="E284" s="73"/>
      <c r="F284" s="73"/>
    </row>
    <row r="285" spans="5:6" ht="12.75">
      <c r="E285" s="73"/>
      <c r="F285" s="73"/>
    </row>
    <row r="286" spans="5:6" ht="12.75">
      <c r="E286" s="73"/>
      <c r="F286" s="73"/>
    </row>
    <row r="287" spans="5:6" ht="12.75">
      <c r="E287" s="73"/>
      <c r="F287" s="73"/>
    </row>
    <row r="288" spans="5:6" ht="12.75">
      <c r="E288" s="73"/>
      <c r="F288" s="73"/>
    </row>
    <row r="289" spans="5:6" ht="12.75">
      <c r="E289" s="73"/>
      <c r="F289" s="73"/>
    </row>
    <row r="290" spans="5:6" ht="12.75">
      <c r="E290" s="73"/>
      <c r="F290" s="73"/>
    </row>
    <row r="291" spans="5:6" ht="12.75">
      <c r="E291" s="73"/>
      <c r="F291" s="73"/>
    </row>
    <row r="292" spans="5:6" ht="12.75">
      <c r="E292" s="73"/>
      <c r="F292" s="73"/>
    </row>
    <row r="293" spans="5:6" ht="12.75">
      <c r="E293" s="73"/>
      <c r="F293" s="73"/>
    </row>
    <row r="294" spans="5:6" ht="12.75">
      <c r="E294" s="73"/>
      <c r="F294" s="73"/>
    </row>
    <row r="295" spans="5:6" ht="12.75">
      <c r="E295" s="73"/>
      <c r="F295" s="73"/>
    </row>
    <row r="296" spans="5:6" ht="12.75">
      <c r="E296" s="73"/>
      <c r="F296" s="73"/>
    </row>
    <row r="297" spans="5:6" ht="12.75">
      <c r="E297" s="73"/>
      <c r="F297" s="73"/>
    </row>
    <row r="298" spans="5:6" ht="12.75">
      <c r="E298" s="73"/>
      <c r="F298" s="73"/>
    </row>
    <row r="299" spans="5:6" ht="12.75">
      <c r="E299" s="73"/>
      <c r="F299" s="73"/>
    </row>
    <row r="300" spans="5:6" ht="12.75">
      <c r="E300" s="73"/>
      <c r="F300" s="73"/>
    </row>
    <row r="301" spans="5:6" ht="12.75">
      <c r="E301" s="73"/>
      <c r="F301" s="73"/>
    </row>
    <row r="302" spans="5:6" ht="12.75">
      <c r="E302" s="73"/>
      <c r="F302" s="73"/>
    </row>
    <row r="303" spans="5:6" ht="12.75">
      <c r="E303" s="73"/>
      <c r="F303" s="73"/>
    </row>
    <row r="304" spans="5:6" ht="12.75">
      <c r="E304" s="73"/>
      <c r="F304" s="73"/>
    </row>
    <row r="305" spans="5:6" ht="12.75">
      <c r="E305" s="73"/>
      <c r="F305" s="73"/>
    </row>
    <row r="306" spans="5:6" ht="12.75">
      <c r="E306" s="73"/>
      <c r="F306" s="73"/>
    </row>
    <row r="307" spans="5:6" ht="12.75">
      <c r="E307" s="73"/>
      <c r="F307" s="73"/>
    </row>
    <row r="308" spans="5:6" ht="12.75">
      <c r="E308" s="73"/>
      <c r="F308" s="73"/>
    </row>
    <row r="309" spans="5:6" ht="12.75">
      <c r="E309" s="73"/>
      <c r="F309" s="73"/>
    </row>
    <row r="310" spans="5:6" ht="12.75">
      <c r="E310" s="73"/>
      <c r="F310" s="73"/>
    </row>
    <row r="311" spans="5:6" ht="12.75">
      <c r="E311" s="73"/>
      <c r="F311" s="73"/>
    </row>
    <row r="312" spans="5:6" ht="12.75">
      <c r="E312" s="73"/>
      <c r="F312" s="73"/>
    </row>
    <row r="313" spans="5:6" ht="12.75">
      <c r="E313" s="73"/>
      <c r="F313" s="73"/>
    </row>
    <row r="314" spans="5:6" ht="12.75">
      <c r="E314" s="73"/>
      <c r="F314" s="73"/>
    </row>
    <row r="315" spans="5:6" ht="12.75">
      <c r="E315" s="73"/>
      <c r="F315" s="73"/>
    </row>
    <row r="316" spans="5:6" ht="12.75">
      <c r="E316" s="73"/>
      <c r="F316" s="73"/>
    </row>
    <row r="317" spans="5:6" ht="12.75">
      <c r="E317" s="73"/>
      <c r="F317" s="73"/>
    </row>
    <row r="318" spans="5:6" ht="12.75">
      <c r="E318" s="73"/>
      <c r="F318" s="73"/>
    </row>
    <row r="319" spans="5:6" ht="12.75">
      <c r="E319" s="73"/>
      <c r="F319" s="73"/>
    </row>
    <row r="320" spans="5:6" ht="12.75">
      <c r="E320" s="73"/>
      <c r="F320" s="73"/>
    </row>
    <row r="321" spans="5:6" ht="12.75">
      <c r="E321" s="73"/>
      <c r="F321" s="73"/>
    </row>
    <row r="322" spans="5:6" ht="12.75">
      <c r="E322" s="73"/>
      <c r="F322" s="73"/>
    </row>
    <row r="323" spans="5:6" ht="12.75">
      <c r="E323" s="73"/>
      <c r="F323" s="73"/>
    </row>
  </sheetData>
  <mergeCells count="3">
    <mergeCell ref="H4:N4"/>
    <mergeCell ref="H5:N5"/>
    <mergeCell ref="H6:N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F1">
      <selection activeCell="F6" sqref="F6"/>
    </sheetView>
  </sheetViews>
  <sheetFormatPr defaultColWidth="9.140625" defaultRowHeight="12.75"/>
  <cols>
    <col min="1" max="1" width="41.00390625" style="184" hidden="1" customWidth="1"/>
    <col min="2" max="2" width="12.28125" style="184" hidden="1" customWidth="1"/>
    <col min="3" max="3" width="13.00390625" style="184" hidden="1" customWidth="1"/>
    <col min="4" max="4" width="12.7109375" style="184" hidden="1" customWidth="1"/>
    <col min="5" max="5" width="12.140625" style="184" hidden="1" customWidth="1"/>
    <col min="6" max="6" width="41.421875" style="184" customWidth="1"/>
    <col min="7" max="7" width="13.421875" style="184" customWidth="1"/>
    <col min="8" max="8" width="15.00390625" style="184" customWidth="1"/>
    <col min="9" max="9" width="12.7109375" style="184" customWidth="1"/>
    <col min="10" max="10" width="13.00390625" style="184" customWidth="1"/>
    <col min="11" max="16384" width="9.140625" style="184" customWidth="1"/>
  </cols>
  <sheetData>
    <row r="1" spans="1:10" ht="17.25" customHeight="1">
      <c r="A1" s="3" t="s">
        <v>125</v>
      </c>
      <c r="B1" s="40"/>
      <c r="C1" s="40"/>
      <c r="D1" s="3"/>
      <c r="E1" s="184" t="s">
        <v>360</v>
      </c>
      <c r="F1" s="3" t="s">
        <v>125</v>
      </c>
      <c r="G1" s="40"/>
      <c r="H1" s="40"/>
      <c r="I1" s="3"/>
      <c r="J1" s="42" t="s">
        <v>360</v>
      </c>
    </row>
    <row r="2" spans="1:10" ht="1.5" customHeight="1" hidden="1">
      <c r="A2" s="183"/>
      <c r="B2" s="183"/>
      <c r="C2" s="183"/>
      <c r="E2" s="183"/>
      <c r="F2" s="183"/>
      <c r="G2" s="183"/>
      <c r="H2" s="183"/>
      <c r="J2" s="183"/>
    </row>
    <row r="3" spans="1:10" ht="15.75" customHeight="1">
      <c r="A3" s="183"/>
      <c r="B3" s="183"/>
      <c r="C3" s="183"/>
      <c r="E3" s="183"/>
      <c r="F3" s="183"/>
      <c r="G3" s="183"/>
      <c r="H3" s="183"/>
      <c r="J3" s="183"/>
    </row>
    <row r="4" spans="1:10" ht="20.25">
      <c r="A4" s="78" t="s">
        <v>361</v>
      </c>
      <c r="B4" s="205"/>
      <c r="C4" s="205"/>
      <c r="D4" s="205"/>
      <c r="E4" s="205"/>
      <c r="F4" s="78" t="s">
        <v>362</v>
      </c>
      <c r="G4" s="205"/>
      <c r="H4" s="205"/>
      <c r="I4" s="205"/>
      <c r="J4" s="205"/>
    </row>
    <row r="5" spans="1:10" ht="20.25">
      <c r="A5" s="228" t="s">
        <v>363</v>
      </c>
      <c r="B5" s="229"/>
      <c r="C5" s="229"/>
      <c r="D5" s="229"/>
      <c r="E5" s="229"/>
      <c r="F5" s="228" t="s">
        <v>363</v>
      </c>
      <c r="G5" s="229"/>
      <c r="H5" s="229"/>
      <c r="I5" s="229"/>
      <c r="J5" s="229"/>
    </row>
    <row r="6" spans="1:10" ht="12.75">
      <c r="A6" s="183"/>
      <c r="B6" s="183"/>
      <c r="C6" s="183"/>
      <c r="E6" s="183" t="s">
        <v>100</v>
      </c>
      <c r="F6" s="183"/>
      <c r="G6" s="183"/>
      <c r="H6" s="183"/>
      <c r="J6" s="206" t="s">
        <v>100</v>
      </c>
    </row>
    <row r="7" spans="1:10" ht="52.5" customHeight="1">
      <c r="A7" s="84" t="s">
        <v>7</v>
      </c>
      <c r="B7" s="84" t="s">
        <v>212</v>
      </c>
      <c r="C7" s="84" t="s">
        <v>9</v>
      </c>
      <c r="D7" s="84" t="s">
        <v>364</v>
      </c>
      <c r="E7" s="7" t="s">
        <v>170</v>
      </c>
      <c r="F7" s="84" t="s">
        <v>7</v>
      </c>
      <c r="G7" s="84" t="s">
        <v>365</v>
      </c>
      <c r="H7" s="84" t="s">
        <v>9</v>
      </c>
      <c r="I7" s="84" t="s">
        <v>364</v>
      </c>
      <c r="J7" s="7" t="s">
        <v>170</v>
      </c>
    </row>
    <row r="8" spans="1:10" ht="12.75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</row>
    <row r="9" spans="1:10" ht="12.75">
      <c r="A9" s="176" t="s">
        <v>366</v>
      </c>
      <c r="B9" s="207">
        <f>SUM(B10:B11)</f>
        <v>0</v>
      </c>
      <c r="C9" s="207">
        <f>SUM(C10:C11)</f>
        <v>3105682</v>
      </c>
      <c r="D9" s="11" t="str">
        <f>IF(ISERROR(C9/B9)," ",(C9/B9))</f>
        <v> </v>
      </c>
      <c r="E9" s="207">
        <f>SUM(E10:E11)</f>
        <v>686195</v>
      </c>
      <c r="F9" s="176" t="s">
        <v>366</v>
      </c>
      <c r="G9" s="230">
        <f>SUM(G10:G11)</f>
        <v>0</v>
      </c>
      <c r="H9" s="231">
        <f>SUM(H10:H11)</f>
        <v>3106</v>
      </c>
      <c r="I9" s="232" t="str">
        <f>IF(ISERROR(ROUND(H9,0)/ROUND(g,0))," ",(ROUND(H9,)/ROUND(G9,)))</f>
        <v> </v>
      </c>
      <c r="J9" s="230">
        <f>SUM(J10:J11)</f>
        <v>687</v>
      </c>
    </row>
    <row r="10" spans="1:10" ht="17.25" customHeight="1">
      <c r="A10" s="63" t="s">
        <v>367</v>
      </c>
      <c r="B10" s="210"/>
      <c r="C10" s="210">
        <v>1975288</v>
      </c>
      <c r="D10" s="233" t="str">
        <f aca="true" t="shared" si="0" ref="D10:D15">IF(ISERROR(C10/B10)," ",(C10/B10))</f>
        <v> </v>
      </c>
      <c r="E10" s="210">
        <f>C10-'[7]Maijs'!C10</f>
        <v>446054</v>
      </c>
      <c r="F10" s="63" t="s">
        <v>367</v>
      </c>
      <c r="G10" s="84" t="s">
        <v>224</v>
      </c>
      <c r="H10" s="210">
        <f>ROUND(C10/1000,0)</f>
        <v>1975</v>
      </c>
      <c r="I10" s="234" t="str">
        <f aca="true" t="shared" si="1" ref="I10:I15">IF(ISERROR(ROUND(H10,0)/ROUND(g,0))," ",(ROUND(H10,)/ROUND(G10,)))</f>
        <v> </v>
      </c>
      <c r="J10" s="210">
        <f>H10-'[7]Maijs'!H10</f>
        <v>446</v>
      </c>
    </row>
    <row r="11" spans="1:10" ht="17.25" customHeight="1">
      <c r="A11" s="63" t="s">
        <v>368</v>
      </c>
      <c r="B11" s="210"/>
      <c r="C11" s="210">
        <f>1076530+53864</f>
        <v>1130394</v>
      </c>
      <c r="D11" s="233" t="str">
        <f t="shared" si="0"/>
        <v> </v>
      </c>
      <c r="E11" s="210">
        <f>C11-'[7]Maijs'!C11</f>
        <v>240141</v>
      </c>
      <c r="F11" s="63" t="s">
        <v>368</v>
      </c>
      <c r="G11" s="84" t="s">
        <v>224</v>
      </c>
      <c r="H11" s="210">
        <f>ROUND(C11/1000,0)+1</f>
        <v>1131</v>
      </c>
      <c r="I11" s="234" t="str">
        <f t="shared" si="1"/>
        <v> </v>
      </c>
      <c r="J11" s="210">
        <f>H11-'[7]Maijs'!H11</f>
        <v>241</v>
      </c>
    </row>
    <row r="12" spans="1:10" ht="12.75">
      <c r="A12" s="176" t="s">
        <v>369</v>
      </c>
      <c r="B12" s="86">
        <f>SUM(B13,B30)</f>
        <v>0</v>
      </c>
      <c r="C12" s="86">
        <f>SUM(C13,C30)</f>
        <v>4267134</v>
      </c>
      <c r="D12" s="11" t="str">
        <f t="shared" si="0"/>
        <v> </v>
      </c>
      <c r="E12" s="86">
        <f>SUM(E13,E30)</f>
        <v>657164</v>
      </c>
      <c r="F12" s="176" t="s">
        <v>369</v>
      </c>
      <c r="G12" s="230">
        <f>ROUND(B12/1000,0)</f>
        <v>0</v>
      </c>
      <c r="H12" s="91">
        <f>SUM(H13,H30)</f>
        <v>4267</v>
      </c>
      <c r="I12" s="232" t="str">
        <f t="shared" si="1"/>
        <v> </v>
      </c>
      <c r="J12" s="91">
        <f>SUM(J13,J30)</f>
        <v>658</v>
      </c>
    </row>
    <row r="13" spans="1:10" ht="16.5" customHeight="1">
      <c r="A13" s="90" t="s">
        <v>342</v>
      </c>
      <c r="B13" s="86"/>
      <c r="C13" s="86">
        <f>SUM(C14,C21,C24)</f>
        <v>3909447</v>
      </c>
      <c r="D13" s="11" t="str">
        <f t="shared" si="0"/>
        <v> </v>
      </c>
      <c r="E13" s="86">
        <f>SUM(E14,E21,E24)</f>
        <v>613847</v>
      </c>
      <c r="F13" s="90" t="s">
        <v>342</v>
      </c>
      <c r="G13" s="91">
        <f>SUM(G14,G21,G24)</f>
        <v>0</v>
      </c>
      <c r="H13" s="91">
        <f>SUM(H14,H21,H24)</f>
        <v>3909</v>
      </c>
      <c r="I13" s="232" t="str">
        <f t="shared" si="1"/>
        <v> </v>
      </c>
      <c r="J13" s="91">
        <f>SUM(J14,J21,J24)</f>
        <v>614</v>
      </c>
    </row>
    <row r="14" spans="1:10" ht="12.75">
      <c r="A14" s="94" t="s">
        <v>221</v>
      </c>
      <c r="B14" s="95"/>
      <c r="C14" s="235">
        <f>SUM(C15,C16,C17,C20)</f>
        <v>3712540</v>
      </c>
      <c r="D14" s="11" t="str">
        <f t="shared" si="0"/>
        <v> </v>
      </c>
      <c r="E14" s="235">
        <f>SUM(E15,E16,E17,E20)</f>
        <v>595198</v>
      </c>
      <c r="F14" s="94" t="s">
        <v>221</v>
      </c>
      <c r="G14" s="236">
        <f>ROUND(B14/1000,0)</f>
        <v>0</v>
      </c>
      <c r="H14" s="237">
        <f>SUM(H15,H16,H17,H20)</f>
        <v>3713</v>
      </c>
      <c r="I14" s="234" t="str">
        <f t="shared" si="1"/>
        <v> </v>
      </c>
      <c r="J14" s="237">
        <f>SUM(J15,J16,J17,J20)</f>
        <v>596</v>
      </c>
    </row>
    <row r="15" spans="1:10" ht="12.75">
      <c r="A15" s="60" t="s">
        <v>222</v>
      </c>
      <c r="B15" s="98"/>
      <c r="C15" s="98">
        <v>173873</v>
      </c>
      <c r="D15" s="19" t="str">
        <f t="shared" si="0"/>
        <v> </v>
      </c>
      <c r="E15" s="210">
        <f>C15-'[7]Maijs'!C15</f>
        <v>48767</v>
      </c>
      <c r="F15" s="60" t="s">
        <v>222</v>
      </c>
      <c r="G15" s="210">
        <f>ROUND(B15/1000,0)</f>
        <v>0</v>
      </c>
      <c r="H15" s="210">
        <f>ROUND(C15/1000,0)</f>
        <v>174</v>
      </c>
      <c r="I15" s="234" t="str">
        <f t="shared" si="1"/>
        <v> </v>
      </c>
      <c r="J15" s="210">
        <f>H15-'[7]Maijs'!H15</f>
        <v>49</v>
      </c>
    </row>
    <row r="16" spans="1:10" ht="12.75">
      <c r="A16" s="63" t="s">
        <v>370</v>
      </c>
      <c r="B16" s="158" t="s">
        <v>224</v>
      </c>
      <c r="C16" s="98">
        <f>55332</f>
        <v>55332</v>
      </c>
      <c r="D16" s="158" t="s">
        <v>224</v>
      </c>
      <c r="E16" s="210">
        <f>C16-'[7]Maijs'!C16</f>
        <v>15753</v>
      </c>
      <c r="F16" s="63" t="s">
        <v>370</v>
      </c>
      <c r="G16" s="158" t="s">
        <v>224</v>
      </c>
      <c r="H16" s="210">
        <f>ROUND(C16/1000,0)</f>
        <v>55</v>
      </c>
      <c r="I16" s="158" t="s">
        <v>224</v>
      </c>
      <c r="J16" s="210">
        <f>H16-'[7]Maijs'!H16</f>
        <v>15</v>
      </c>
    </row>
    <row r="17" spans="1:10" ht="12.75">
      <c r="A17" s="63" t="s">
        <v>225</v>
      </c>
      <c r="B17" s="158" t="s">
        <v>224</v>
      </c>
      <c r="C17" s="98">
        <f>SUM(C18:C19)</f>
        <v>3483335</v>
      </c>
      <c r="D17" s="158" t="s">
        <v>224</v>
      </c>
      <c r="E17" s="127">
        <f>SUM(E18:E19)</f>
        <v>530678</v>
      </c>
      <c r="F17" s="63" t="s">
        <v>225</v>
      </c>
      <c r="G17" s="158" t="s">
        <v>224</v>
      </c>
      <c r="H17" s="127">
        <f>SUM(H18:H19)</f>
        <v>3484</v>
      </c>
      <c r="I17" s="158" t="s">
        <v>224</v>
      </c>
      <c r="J17" s="127">
        <f>SUM(J18:J19)</f>
        <v>532</v>
      </c>
    </row>
    <row r="18" spans="1:10" s="239" customFormat="1" ht="12.75">
      <c r="A18" s="104" t="s">
        <v>343</v>
      </c>
      <c r="B18" s="162" t="s">
        <v>224</v>
      </c>
      <c r="C18" s="105">
        <f>609302+210259+1868460+446455+235</f>
        <v>3134711</v>
      </c>
      <c r="D18" s="162" t="s">
        <v>224</v>
      </c>
      <c r="E18" s="210">
        <f>C18-'[7]Maijs'!C18</f>
        <v>493319</v>
      </c>
      <c r="F18" s="104" t="s">
        <v>343</v>
      </c>
      <c r="G18" s="162" t="s">
        <v>224</v>
      </c>
      <c r="H18" s="238">
        <f>ROUND(C18/1000,0)</f>
        <v>3135</v>
      </c>
      <c r="I18" s="162" t="s">
        <v>224</v>
      </c>
      <c r="J18" s="210">
        <f>H18-'[7]Maijs'!H18</f>
        <v>494</v>
      </c>
    </row>
    <row r="19" spans="1:10" s="239" customFormat="1" ht="12.75">
      <c r="A19" s="104" t="s">
        <v>371</v>
      </c>
      <c r="B19" s="162" t="s">
        <v>224</v>
      </c>
      <c r="C19" s="105">
        <f>168645+50589+3819+61843+63584+144</f>
        <v>348624</v>
      </c>
      <c r="D19" s="162" t="s">
        <v>224</v>
      </c>
      <c r="E19" s="210">
        <f>C19-'[7]Maijs'!C19</f>
        <v>37359</v>
      </c>
      <c r="F19" s="104" t="s">
        <v>371</v>
      </c>
      <c r="G19" s="162" t="s">
        <v>224</v>
      </c>
      <c r="H19" s="238">
        <f>ROUND(C19/1000,0)</f>
        <v>349</v>
      </c>
      <c r="I19" s="162" t="s">
        <v>224</v>
      </c>
      <c r="J19" s="210">
        <f>H19-'[7]Maijs'!H19</f>
        <v>38</v>
      </c>
    </row>
    <row r="20" spans="1:10" ht="12.75">
      <c r="A20" s="63" t="s">
        <v>346</v>
      </c>
      <c r="B20" s="158" t="s">
        <v>224</v>
      </c>
      <c r="C20" s="98"/>
      <c r="D20" s="158" t="s">
        <v>224</v>
      </c>
      <c r="E20" s="210">
        <f>C20-'[7]Maijs'!C20</f>
        <v>0</v>
      </c>
      <c r="F20" s="63" t="s">
        <v>346</v>
      </c>
      <c r="G20" s="158" t="s">
        <v>224</v>
      </c>
      <c r="H20" s="210">
        <f>ROUND(C20/1000,0)</f>
        <v>0</v>
      </c>
      <c r="I20" s="158" t="s">
        <v>224</v>
      </c>
      <c r="J20" s="210">
        <f>H20-'[7]Maijs'!H20</f>
        <v>0</v>
      </c>
    </row>
    <row r="21" spans="1:10" ht="12.75">
      <c r="A21" s="103" t="s">
        <v>231</v>
      </c>
      <c r="B21" s="158"/>
      <c r="C21" s="235">
        <f>SUM(C22:C23)</f>
        <v>99452</v>
      </c>
      <c r="D21" s="11" t="str">
        <f>IF(ISERROR(C21/B21)," ",(C21/B21))</f>
        <v> </v>
      </c>
      <c r="E21" s="235">
        <f>SUM(E22:E23)</f>
        <v>0</v>
      </c>
      <c r="F21" s="103" t="s">
        <v>231</v>
      </c>
      <c r="G21" s="158"/>
      <c r="H21" s="237">
        <f>SUM(H22:H23)</f>
        <v>99</v>
      </c>
      <c r="I21" s="234" t="str">
        <f>IF(ISERROR(ROUND(H21,0)/ROUND(g,0))," ",(ROUND(H21,)/ROUND(G21,)))</f>
        <v> </v>
      </c>
      <c r="J21" s="237">
        <f>SUM(J22:J23)</f>
        <v>0</v>
      </c>
    </row>
    <row r="22" spans="1:10" ht="12.75">
      <c r="A22" s="63" t="s">
        <v>372</v>
      </c>
      <c r="B22" s="158" t="s">
        <v>224</v>
      </c>
      <c r="C22" s="98">
        <v>99452</v>
      </c>
      <c r="D22" s="158" t="s">
        <v>224</v>
      </c>
      <c r="E22" s="210">
        <f>C22-'[7]Maijs'!C22</f>
        <v>0</v>
      </c>
      <c r="F22" s="63" t="s">
        <v>372</v>
      </c>
      <c r="G22" s="158" t="s">
        <v>224</v>
      </c>
      <c r="H22" s="210">
        <f>ROUND(C22/1000,0)</f>
        <v>99</v>
      </c>
      <c r="I22" s="158" t="s">
        <v>224</v>
      </c>
      <c r="J22" s="210">
        <f>H22-'[7]Maijs'!H22</f>
        <v>0</v>
      </c>
    </row>
    <row r="23" spans="1:10" ht="12.75">
      <c r="A23" s="63" t="s">
        <v>373</v>
      </c>
      <c r="B23" s="158" t="s">
        <v>224</v>
      </c>
      <c r="C23" s="98"/>
      <c r="D23" s="158" t="s">
        <v>224</v>
      </c>
      <c r="E23" s="210">
        <f>C23-'[7]Maijs'!C23</f>
        <v>0</v>
      </c>
      <c r="F23" s="63" t="s">
        <v>373</v>
      </c>
      <c r="G23" s="158" t="s">
        <v>224</v>
      </c>
      <c r="H23" s="210">
        <f>ROUND(C23/1000,0)</f>
        <v>0</v>
      </c>
      <c r="I23" s="158" t="s">
        <v>224</v>
      </c>
      <c r="J23" s="210">
        <f>H23-'[7]Maijs'!H23</f>
        <v>0</v>
      </c>
    </row>
    <row r="24" spans="1:10" ht="17.25" customHeight="1">
      <c r="A24" s="214" t="s">
        <v>235</v>
      </c>
      <c r="B24" s="98"/>
      <c r="C24" s="235">
        <f>SUM(C25:C29)</f>
        <v>97455</v>
      </c>
      <c r="D24" s="11" t="str">
        <f>IF(ISERROR(C24/B24)," ",(C24/B24))</f>
        <v> </v>
      </c>
      <c r="E24" s="235">
        <f>SUM(E25:E29)</f>
        <v>18649</v>
      </c>
      <c r="F24" s="214" t="s">
        <v>235</v>
      </c>
      <c r="G24" s="158"/>
      <c r="H24" s="237">
        <f>SUM(H25:H29)</f>
        <v>97</v>
      </c>
      <c r="I24" s="234" t="str">
        <f>IF(ISERROR(ROUND(H24,0)/ROUND(g,0))," ",(ROUND(H24,)/ROUND(G24,)))</f>
        <v> </v>
      </c>
      <c r="J24" s="237">
        <f>SUM(J25:J29)</f>
        <v>18</v>
      </c>
    </row>
    <row r="25" spans="1:10" ht="15.75" customHeight="1">
      <c r="A25" s="60" t="s">
        <v>236</v>
      </c>
      <c r="B25" s="158" t="s">
        <v>224</v>
      </c>
      <c r="C25" s="98">
        <f>17862+3398</f>
        <v>21260</v>
      </c>
      <c r="D25" s="158" t="s">
        <v>224</v>
      </c>
      <c r="E25" s="210">
        <f>C25-'[7]Maijs'!C25</f>
        <v>564</v>
      </c>
      <c r="F25" s="60" t="s">
        <v>236</v>
      </c>
      <c r="G25" s="158" t="s">
        <v>224</v>
      </c>
      <c r="H25" s="210">
        <f>ROUND(C25/1000,0)</f>
        <v>21</v>
      </c>
      <c r="I25" s="158" t="s">
        <v>224</v>
      </c>
      <c r="J25" s="210">
        <f>H25-'[7]Maijs'!H25</f>
        <v>0</v>
      </c>
    </row>
    <row r="26" spans="1:10" ht="15.75" customHeight="1">
      <c r="A26" s="60" t="s">
        <v>237</v>
      </c>
      <c r="B26" s="158" t="s">
        <v>224</v>
      </c>
      <c r="C26" s="98">
        <f>11967</f>
        <v>11967</v>
      </c>
      <c r="D26" s="158" t="s">
        <v>224</v>
      </c>
      <c r="E26" s="210">
        <f>C26-'[7]Maijs'!C26</f>
        <v>0</v>
      </c>
      <c r="F26" s="60" t="s">
        <v>237</v>
      </c>
      <c r="G26" s="158" t="s">
        <v>224</v>
      </c>
      <c r="H26" s="210">
        <f>ROUND(C26/1000,0)</f>
        <v>12</v>
      </c>
      <c r="I26" s="158" t="s">
        <v>224</v>
      </c>
      <c r="J26" s="210">
        <f>H26-'[7]Maijs'!H26</f>
        <v>0</v>
      </c>
    </row>
    <row r="27" spans="1:10" ht="16.5" customHeight="1">
      <c r="A27" s="63" t="s">
        <v>238</v>
      </c>
      <c r="B27" s="158" t="s">
        <v>224</v>
      </c>
      <c r="C27" s="98"/>
      <c r="D27" s="158" t="s">
        <v>224</v>
      </c>
      <c r="E27" s="210">
        <f>C27-'[7]Maijs'!C27</f>
        <v>0</v>
      </c>
      <c r="F27" s="63" t="s">
        <v>238</v>
      </c>
      <c r="G27" s="158" t="s">
        <v>224</v>
      </c>
      <c r="H27" s="210">
        <f>ROUND(C27/1000,0)</f>
        <v>0</v>
      </c>
      <c r="I27" s="158" t="s">
        <v>224</v>
      </c>
      <c r="J27" s="210">
        <f>H27-'[7]Maijs'!H27</f>
        <v>0</v>
      </c>
    </row>
    <row r="28" spans="1:10" ht="12.75">
      <c r="A28" s="63" t="s">
        <v>374</v>
      </c>
      <c r="B28" s="158" t="s">
        <v>224</v>
      </c>
      <c r="C28" s="98">
        <f>21722</f>
        <v>21722</v>
      </c>
      <c r="D28" s="158" t="s">
        <v>224</v>
      </c>
      <c r="E28" s="210">
        <f>C28-'[7]Maijs'!C28</f>
        <v>10698</v>
      </c>
      <c r="F28" s="63" t="s">
        <v>374</v>
      </c>
      <c r="G28" s="158" t="s">
        <v>224</v>
      </c>
      <c r="H28" s="210">
        <f>ROUND(C28/1000,0)</f>
        <v>22</v>
      </c>
      <c r="I28" s="158" t="s">
        <v>224</v>
      </c>
      <c r="J28" s="210">
        <f>H28-'[7]Maijs'!H28</f>
        <v>11</v>
      </c>
    </row>
    <row r="29" spans="1:10" ht="15" customHeight="1">
      <c r="A29" s="63" t="s">
        <v>244</v>
      </c>
      <c r="B29" s="158" t="s">
        <v>224</v>
      </c>
      <c r="C29" s="98">
        <f>42506</f>
        <v>42506</v>
      </c>
      <c r="D29" s="158" t="s">
        <v>224</v>
      </c>
      <c r="E29" s="210">
        <f>C29-'[7]Maijs'!C29</f>
        <v>7387</v>
      </c>
      <c r="F29" s="63" t="s">
        <v>244</v>
      </c>
      <c r="G29" s="158" t="s">
        <v>224</v>
      </c>
      <c r="H29" s="210">
        <f>ROUND(C29/1000,0)-1</f>
        <v>42</v>
      </c>
      <c r="I29" s="158" t="s">
        <v>224</v>
      </c>
      <c r="J29" s="210">
        <f>H29-'[7]Maijs'!H29</f>
        <v>7</v>
      </c>
    </row>
    <row r="30" spans="1:10" ht="19.5" customHeight="1">
      <c r="A30" s="109" t="s">
        <v>375</v>
      </c>
      <c r="B30" s="122">
        <f>SUM(B31:B32)</f>
        <v>0</v>
      </c>
      <c r="C30" s="122">
        <f>SUM(C31:C32)</f>
        <v>357687</v>
      </c>
      <c r="D30" s="11" t="str">
        <f>IF(ISERROR(C30/B30)," ",(C30/B30))</f>
        <v> </v>
      </c>
      <c r="E30" s="122">
        <f>SUM(E31:E32)</f>
        <v>43317</v>
      </c>
      <c r="F30" s="109" t="s">
        <v>375</v>
      </c>
      <c r="G30" s="235">
        <f>SUM(G31:G32)</f>
        <v>0</v>
      </c>
      <c r="H30" s="235">
        <f>SUM(H31:H32)</f>
        <v>358</v>
      </c>
      <c r="I30" s="232" t="str">
        <f>IF(ISERROR(ROUND(H30,0)/ROUND(g,0))," ",(ROUND(H30,)/ROUND(G30,)))</f>
        <v> </v>
      </c>
      <c r="J30" s="235">
        <f>SUM(J31:J32)</f>
        <v>44</v>
      </c>
    </row>
    <row r="31" spans="1:10" ht="18.75" customHeight="1">
      <c r="A31" s="63" t="s">
        <v>255</v>
      </c>
      <c r="B31" s="98"/>
      <c r="C31" s="98">
        <f>204249+3934+98370+44540+6594</f>
        <v>357687</v>
      </c>
      <c r="D31" s="19" t="str">
        <f>IF(ISERROR(C31/B31)," ",(C31/B31))</f>
        <v> </v>
      </c>
      <c r="E31" s="210">
        <f>C31-'[7]Maijs'!C31</f>
        <v>43317</v>
      </c>
      <c r="F31" s="63" t="s">
        <v>255</v>
      </c>
      <c r="G31" s="210">
        <f>ROUND(B31/1000,0)</f>
        <v>0</v>
      </c>
      <c r="H31" s="210">
        <f>ROUND(C31/1000,0)</f>
        <v>358</v>
      </c>
      <c r="I31" s="234" t="str">
        <f>IF(ISERROR(ROUND(H31,0)/ROUND(g,0))," ",(ROUND(H31,)/ROUND(G31,)))</f>
        <v> </v>
      </c>
      <c r="J31" s="210">
        <f>H31-'[7]Maijs'!H31</f>
        <v>44</v>
      </c>
    </row>
    <row r="32" spans="1:10" ht="18" customHeight="1">
      <c r="A32" s="63" t="s">
        <v>256</v>
      </c>
      <c r="B32" s="98"/>
      <c r="C32" s="105"/>
      <c r="D32" s="19" t="str">
        <f>IF(ISERROR(C32/B32)," ",(C32/B32))</f>
        <v> </v>
      </c>
      <c r="E32" s="210">
        <f>C32-'[7]Maijs'!C32</f>
        <v>0</v>
      </c>
      <c r="F32" s="63" t="s">
        <v>256</v>
      </c>
      <c r="G32" s="210">
        <f>ROUND(B32/1000,0)</f>
        <v>0</v>
      </c>
      <c r="H32" s="210">
        <f>ROUND(C32/1000,0)</f>
        <v>0</v>
      </c>
      <c r="I32" s="234" t="str">
        <f>IF(ISERROR(ROUND(H32,0)/ROUND(g,0))," ",(ROUND(H32,)/ROUND(G32,)))</f>
        <v> </v>
      </c>
      <c r="J32" s="210">
        <f>H32-'[7]Maijs'!H32</f>
        <v>0</v>
      </c>
    </row>
    <row r="33" spans="1:10" s="190" customFormat="1" ht="15.75" customHeight="1">
      <c r="A33" s="109" t="s">
        <v>376</v>
      </c>
      <c r="B33" s="98"/>
      <c r="C33" s="86">
        <f>SUM(C9-C12)</f>
        <v>-1161452</v>
      </c>
      <c r="D33" s="158" t="s">
        <v>224</v>
      </c>
      <c r="E33" s="158" t="s">
        <v>224</v>
      </c>
      <c r="F33" s="109" t="s">
        <v>376</v>
      </c>
      <c r="G33" s="217"/>
      <c r="H33" s="235">
        <f>SUM(H9-H12)</f>
        <v>-1161</v>
      </c>
      <c r="I33" s="158" t="s">
        <v>224</v>
      </c>
      <c r="J33" s="158" t="s">
        <v>224</v>
      </c>
    </row>
    <row r="34" spans="1:10" s="190" customFormat="1" ht="16.5" customHeight="1">
      <c r="A34" s="109" t="s">
        <v>358</v>
      </c>
      <c r="B34" s="98"/>
      <c r="C34" s="98">
        <v>1161452</v>
      </c>
      <c r="D34" s="158" t="s">
        <v>224</v>
      </c>
      <c r="E34" s="158" t="s">
        <v>224</v>
      </c>
      <c r="F34" s="109" t="s">
        <v>358</v>
      </c>
      <c r="G34" s="240"/>
      <c r="H34" s="235">
        <f>ROUND(C34/1000,0)</f>
        <v>1161</v>
      </c>
      <c r="I34" s="158" t="s">
        <v>224</v>
      </c>
      <c r="J34" s="158" t="s">
        <v>224</v>
      </c>
    </row>
    <row r="35" spans="1:10" s="190" customFormat="1" ht="26.25" customHeight="1">
      <c r="A35" s="133" t="s">
        <v>377</v>
      </c>
      <c r="B35" s="98"/>
      <c r="C35" s="98">
        <v>1161452</v>
      </c>
      <c r="D35" s="158" t="s">
        <v>224</v>
      </c>
      <c r="E35" s="158" t="s">
        <v>224</v>
      </c>
      <c r="F35" s="133" t="s">
        <v>377</v>
      </c>
      <c r="G35" s="98"/>
      <c r="H35" s="210">
        <f>ROUND(C35/1000,0)</f>
        <v>1161</v>
      </c>
      <c r="I35" s="158" t="s">
        <v>224</v>
      </c>
      <c r="J35" s="158" t="s">
        <v>224</v>
      </c>
    </row>
    <row r="36" spans="1:10" s="37" customFormat="1" ht="16.5" customHeight="1">
      <c r="A36" s="110"/>
      <c r="B36" s="111"/>
      <c r="C36" s="241"/>
      <c r="D36" s="241"/>
      <c r="E36" s="241"/>
      <c r="F36" s="110"/>
      <c r="G36" s="111"/>
      <c r="H36" s="241"/>
      <c r="I36" s="241"/>
      <c r="J36" s="241"/>
    </row>
    <row r="37" spans="1:10" s="37" customFormat="1" ht="16.5" customHeight="1">
      <c r="A37" s="110"/>
      <c r="B37" s="111"/>
      <c r="C37" s="241"/>
      <c r="D37" s="241"/>
      <c r="E37" s="241"/>
      <c r="F37" s="110" t="s">
        <v>378</v>
      </c>
      <c r="G37" s="111"/>
      <c r="H37" s="241"/>
      <c r="I37" s="241"/>
      <c r="J37" s="241"/>
    </row>
    <row r="38" spans="1:10" s="37" customFormat="1" ht="16.5" customHeight="1">
      <c r="A38" s="110"/>
      <c r="B38" s="111"/>
      <c r="C38" s="241"/>
      <c r="D38" s="241"/>
      <c r="E38" s="241"/>
      <c r="F38" s="110"/>
      <c r="G38" s="111"/>
      <c r="H38" s="241"/>
      <c r="I38" s="241"/>
      <c r="J38" s="241"/>
    </row>
    <row r="39" spans="1:10" s="37" customFormat="1" ht="16.5" customHeight="1">
      <c r="A39" s="110"/>
      <c r="B39" s="111"/>
      <c r="C39" s="241"/>
      <c r="D39" s="241"/>
      <c r="E39" s="241"/>
      <c r="F39" s="110"/>
      <c r="G39" s="111"/>
      <c r="H39" s="241"/>
      <c r="I39" s="241"/>
      <c r="J39" s="241"/>
    </row>
    <row r="40" spans="1:10" s="37" customFormat="1" ht="16.5" customHeight="1">
      <c r="A40" s="110"/>
      <c r="B40" s="111"/>
      <c r="C40" s="241"/>
      <c r="D40" s="241"/>
      <c r="E40" s="241"/>
      <c r="F40" s="39" t="s">
        <v>263</v>
      </c>
      <c r="G40" s="111"/>
      <c r="H40" s="241"/>
      <c r="I40" s="241"/>
      <c r="J40" s="241"/>
    </row>
    <row r="41" spans="1:10" s="37" customFormat="1" ht="16.5" customHeight="1">
      <c r="A41" s="110"/>
      <c r="B41" s="111"/>
      <c r="C41" s="241"/>
      <c r="D41" s="241"/>
      <c r="E41" s="241"/>
      <c r="F41" s="203"/>
      <c r="G41" s="111"/>
      <c r="H41" s="241"/>
      <c r="I41" s="241"/>
      <c r="J41" s="241"/>
    </row>
    <row r="42" spans="1:10" ht="16.5" customHeight="1">
      <c r="A42" s="242"/>
      <c r="B42" s="111"/>
      <c r="C42" s="111"/>
      <c r="D42" s="243"/>
      <c r="E42" s="202"/>
      <c r="F42" s="203"/>
      <c r="G42" s="111"/>
      <c r="H42" s="111"/>
      <c r="I42" s="243"/>
      <c r="J42" s="202"/>
    </row>
    <row r="43" spans="1:10" ht="14.25">
      <c r="A43" s="244"/>
      <c r="B43" s="119"/>
      <c r="C43" s="119"/>
      <c r="D43" s="245"/>
      <c r="E43" s="203"/>
      <c r="F43" s="203" t="s">
        <v>91</v>
      </c>
      <c r="G43" s="119"/>
      <c r="H43" s="119"/>
      <c r="I43" s="245"/>
      <c r="J43" s="203"/>
    </row>
    <row r="44" spans="1:10" ht="12.75">
      <c r="A44" s="39" t="s">
        <v>263</v>
      </c>
      <c r="B44" s="117"/>
      <c r="C44" s="117"/>
      <c r="D44" s="182"/>
      <c r="E44" s="40"/>
      <c r="F44" s="203" t="s">
        <v>93</v>
      </c>
      <c r="G44" s="117"/>
      <c r="H44" s="117"/>
      <c r="I44" s="182"/>
      <c r="J44" s="40"/>
    </row>
    <row r="45" spans="1:10" ht="12.75">
      <c r="A45" s="203"/>
      <c r="B45" s="246"/>
      <c r="C45" s="120"/>
      <c r="D45" s="247"/>
      <c r="E45" s="183"/>
      <c r="G45" s="246"/>
      <c r="H45" s="120"/>
      <c r="I45" s="247"/>
      <c r="J45" s="183"/>
    </row>
    <row r="46" spans="1:10" ht="12.75">
      <c r="A46" s="203"/>
      <c r="B46" s="246"/>
      <c r="C46" s="120"/>
      <c r="D46" s="247"/>
      <c r="E46" s="183"/>
      <c r="G46" s="246"/>
      <c r="H46" s="120"/>
      <c r="I46" s="247"/>
      <c r="J46" s="183"/>
    </row>
    <row r="47" spans="1:10" ht="11.25" customHeight="1">
      <c r="A47" s="203" t="s">
        <v>91</v>
      </c>
      <c r="B47" s="246"/>
      <c r="C47" s="120"/>
      <c r="D47" s="247"/>
      <c r="E47" s="183"/>
      <c r="G47" s="246"/>
      <c r="H47" s="120"/>
      <c r="I47" s="247"/>
      <c r="J47" s="183"/>
    </row>
    <row r="48" spans="1:10" ht="12.75" hidden="1">
      <c r="A48" s="203" t="s">
        <v>93</v>
      </c>
      <c r="B48" s="246"/>
      <c r="C48" s="120"/>
      <c r="D48" s="247"/>
      <c r="E48" s="183"/>
      <c r="G48" s="246"/>
      <c r="H48" s="120"/>
      <c r="I48" s="247"/>
      <c r="J48" s="183"/>
    </row>
    <row r="49" spans="1:10" ht="12.75" hidden="1">
      <c r="A49" s="203"/>
      <c r="B49" s="246"/>
      <c r="C49" s="120"/>
      <c r="D49" s="247"/>
      <c r="E49" s="183"/>
      <c r="F49" s="203"/>
      <c r="G49" s="246"/>
      <c r="H49" s="120"/>
      <c r="I49" s="247"/>
      <c r="J49" s="183"/>
    </row>
    <row r="50" spans="2:5" ht="12" customHeight="1" hidden="1">
      <c r="B50" s="183"/>
      <c r="D50" s="183"/>
      <c r="E50" s="183"/>
    </row>
    <row r="51" spans="1:5" ht="12.75">
      <c r="A51" s="183"/>
      <c r="B51" s="183"/>
      <c r="C51" s="183"/>
      <c r="D51" s="183"/>
      <c r="E51" s="183"/>
    </row>
    <row r="52" spans="1:5" ht="12.75">
      <c r="A52" s="183"/>
      <c r="B52" s="183"/>
      <c r="C52" s="183"/>
      <c r="D52" s="183"/>
      <c r="E52" s="183"/>
    </row>
    <row r="53" spans="1:5" ht="12.75">
      <c r="A53" s="183"/>
      <c r="B53" s="183"/>
      <c r="C53" s="183"/>
      <c r="D53" s="183"/>
      <c r="E53" s="183"/>
    </row>
    <row r="54" spans="1:5" ht="12.75">
      <c r="A54" s="183"/>
      <c r="B54" s="183"/>
      <c r="C54" s="183"/>
      <c r="D54" s="183"/>
      <c r="E54" s="183"/>
    </row>
    <row r="55" spans="1:5" ht="12.75">
      <c r="A55" s="183"/>
      <c r="B55" s="183"/>
      <c r="C55" s="183"/>
      <c r="D55" s="183"/>
      <c r="E55" s="183"/>
    </row>
    <row r="56" spans="1:5" ht="12.75">
      <c r="A56" s="183"/>
      <c r="B56" s="183"/>
      <c r="C56" s="183"/>
      <c r="D56" s="183"/>
      <c r="E56" s="183"/>
    </row>
    <row r="57" spans="1:5" ht="12.75">
      <c r="A57" s="183"/>
      <c r="B57" s="183"/>
      <c r="C57" s="183"/>
      <c r="D57" s="183"/>
      <c r="E57" s="183"/>
    </row>
    <row r="58" spans="1:5" ht="12.75">
      <c r="A58" s="183"/>
      <c r="B58" s="183"/>
      <c r="C58" s="183"/>
      <c r="D58" s="183"/>
      <c r="E58" s="183"/>
    </row>
    <row r="59" spans="1:5" ht="12.75">
      <c r="A59" s="183"/>
      <c r="B59" s="183"/>
      <c r="C59" s="183"/>
      <c r="D59" s="183"/>
      <c r="E59" s="183"/>
    </row>
    <row r="60" spans="1:5" ht="12.75">
      <c r="A60" s="183"/>
      <c r="B60" s="183"/>
      <c r="C60" s="183"/>
      <c r="D60" s="183"/>
      <c r="E60" s="183"/>
    </row>
    <row r="61" spans="1:5" ht="12.75">
      <c r="A61" s="183"/>
      <c r="B61" s="183"/>
      <c r="C61" s="183"/>
      <c r="D61" s="183"/>
      <c r="E61" s="18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F1">
      <selection activeCell="A9" sqref="A9"/>
    </sheetView>
  </sheetViews>
  <sheetFormatPr defaultColWidth="9.140625" defaultRowHeight="12.75"/>
  <cols>
    <col min="1" max="1" width="50.421875" style="29" hidden="1" customWidth="1"/>
    <col min="2" max="2" width="9.7109375" style="29" hidden="1" customWidth="1"/>
    <col min="3" max="3" width="13.8515625" style="29" hidden="1" customWidth="1"/>
    <col min="4" max="4" width="13.7109375" style="29" hidden="1" customWidth="1"/>
    <col min="5" max="5" width="13.140625" style="29" hidden="1" customWidth="1"/>
    <col min="6" max="6" width="49.421875" style="29" customWidth="1"/>
    <col min="7" max="7" width="9.140625" style="29" customWidth="1"/>
    <col min="8" max="8" width="11.140625" style="29" customWidth="1"/>
    <col min="9" max="9" width="9.8515625" style="29" customWidth="1"/>
    <col min="10" max="10" width="9.57421875" style="29" customWidth="1"/>
    <col min="11" max="16384" width="9.140625" style="29" customWidth="1"/>
  </cols>
  <sheetData>
    <row r="1" spans="3:9" ht="12.75">
      <c r="C1" s="1"/>
      <c r="D1" s="1"/>
      <c r="H1" s="1"/>
      <c r="I1" s="1"/>
    </row>
    <row r="2" spans="1:10" ht="12.75">
      <c r="A2" s="1" t="s">
        <v>379</v>
      </c>
      <c r="C2" s="1"/>
      <c r="D2" s="1"/>
      <c r="E2" s="41" t="s">
        <v>380</v>
      </c>
      <c r="F2" s="1" t="s">
        <v>381</v>
      </c>
      <c r="H2" s="1"/>
      <c r="I2" s="1"/>
      <c r="J2" s="42" t="s">
        <v>380</v>
      </c>
    </row>
    <row r="3" spans="1:10" ht="15.75">
      <c r="A3" s="43" t="s">
        <v>382</v>
      </c>
      <c r="F3" s="285" t="s">
        <v>383</v>
      </c>
      <c r="G3" s="285"/>
      <c r="H3" s="285"/>
      <c r="I3" s="285"/>
      <c r="J3" s="285"/>
    </row>
    <row r="4" spans="1:10" ht="15.75">
      <c r="A4" s="43" t="s">
        <v>384</v>
      </c>
      <c r="F4" s="285" t="s">
        <v>385</v>
      </c>
      <c r="G4" s="285"/>
      <c r="H4" s="285"/>
      <c r="I4" s="285"/>
      <c r="J4" s="285"/>
    </row>
    <row r="8" spans="4:10" ht="12.75">
      <c r="D8" s="1"/>
      <c r="E8" s="39" t="s">
        <v>100</v>
      </c>
      <c r="I8" s="1"/>
      <c r="J8" s="45" t="s">
        <v>100</v>
      </c>
    </row>
    <row r="9" spans="1:10" ht="48">
      <c r="A9" s="46" t="s">
        <v>7</v>
      </c>
      <c r="B9" s="47" t="s">
        <v>101</v>
      </c>
      <c r="C9" s="47" t="s">
        <v>8</v>
      </c>
      <c r="D9" s="47" t="s">
        <v>9</v>
      </c>
      <c r="E9" s="47" t="s">
        <v>102</v>
      </c>
      <c r="F9" s="46" t="s">
        <v>7</v>
      </c>
      <c r="G9" s="47" t="s">
        <v>101</v>
      </c>
      <c r="H9" s="47" t="s">
        <v>8</v>
      </c>
      <c r="I9" s="47" t="s">
        <v>9</v>
      </c>
      <c r="J9" s="47" t="s">
        <v>102</v>
      </c>
    </row>
    <row r="10" spans="1:10" ht="12">
      <c r="A10" s="48">
        <v>1</v>
      </c>
      <c r="B10" s="48">
        <v>2</v>
      </c>
      <c r="C10" s="7">
        <v>3</v>
      </c>
      <c r="D10" s="7">
        <v>4</v>
      </c>
      <c r="E10" s="7">
        <v>5</v>
      </c>
      <c r="F10" s="48">
        <v>1</v>
      </c>
      <c r="G10" s="48">
        <v>2</v>
      </c>
      <c r="H10" s="7">
        <v>3</v>
      </c>
      <c r="I10" s="7">
        <v>4</v>
      </c>
      <c r="J10" s="7">
        <v>5</v>
      </c>
    </row>
    <row r="11" spans="1:10" ht="17.25" customHeight="1">
      <c r="A11" s="50" t="s">
        <v>104</v>
      </c>
      <c r="B11" s="51"/>
      <c r="C11" s="52">
        <f>SUM(C12:C25)</f>
        <v>817210996</v>
      </c>
      <c r="D11" s="52">
        <f>SUM(D12:D25)</f>
        <v>362926486</v>
      </c>
      <c r="E11" s="53">
        <f>IF(ISERROR(D11/C11)," ",(D11/C11))</f>
        <v>0.44410377219153324</v>
      </c>
      <c r="F11" s="50" t="s">
        <v>104</v>
      </c>
      <c r="G11" s="51"/>
      <c r="H11" s="91">
        <f>SUM(H12:H25)</f>
        <v>817211</v>
      </c>
      <c r="I11" s="91">
        <f>SUM(I12:I25)</f>
        <v>362928</v>
      </c>
      <c r="J11" s="248">
        <f>IF(ISERROR(I11/H11)," ",(I11/H11))</f>
        <v>0.4441056226604879</v>
      </c>
    </row>
    <row r="12" spans="1:10" ht="16.5" customHeight="1">
      <c r="A12" s="55" t="s">
        <v>105</v>
      </c>
      <c r="B12" s="56">
        <v>1</v>
      </c>
      <c r="C12" s="57">
        <v>80766282</v>
      </c>
      <c r="D12" s="57">
        <f>35728223+9451+121401</f>
        <v>35859075</v>
      </c>
      <c r="E12" s="58">
        <f aca="true" t="shared" si="0" ref="E12:E25">IF(ISERROR(D12/C12)," ",(D12/C12))</f>
        <v>0.4439857092839807</v>
      </c>
      <c r="F12" s="60" t="s">
        <v>105</v>
      </c>
      <c r="G12" s="61">
        <v>1</v>
      </c>
      <c r="H12" s="98">
        <f>ROUND(C12/1000,)</f>
        <v>80766</v>
      </c>
      <c r="I12" s="98">
        <f>ROUND(D12/1000,)</f>
        <v>35859</v>
      </c>
      <c r="J12" s="58">
        <f aca="true" t="shared" si="1" ref="J12:J25">IF(ISERROR(I12/H12)," ",(I12/H12))</f>
        <v>0.4439863308818067</v>
      </c>
    </row>
    <row r="13" spans="1:10" ht="18.75" customHeight="1">
      <c r="A13" s="22" t="s">
        <v>106</v>
      </c>
      <c r="B13" s="56">
        <v>2</v>
      </c>
      <c r="C13" s="57">
        <v>35036177</v>
      </c>
      <c r="D13" s="57">
        <v>11487142</v>
      </c>
      <c r="E13" s="58">
        <f t="shared" si="0"/>
        <v>0.3278651663393526</v>
      </c>
      <c r="F13" s="21" t="s">
        <v>106</v>
      </c>
      <c r="G13" s="61">
        <v>2</v>
      </c>
      <c r="H13" s="98">
        <f aca="true" t="shared" si="2" ref="H13:H24">ROUND(C13/1000,)</f>
        <v>35036</v>
      </c>
      <c r="I13" s="98">
        <f>ROUND(D13/1000,0)</f>
        <v>11487</v>
      </c>
      <c r="J13" s="58">
        <f t="shared" si="1"/>
        <v>0.32786276972257106</v>
      </c>
    </row>
    <row r="14" spans="1:10" ht="17.25" customHeight="1">
      <c r="A14" s="22" t="s">
        <v>107</v>
      </c>
      <c r="B14" s="56">
        <v>3</v>
      </c>
      <c r="C14" s="57">
        <v>111621455</v>
      </c>
      <c r="D14" s="57">
        <f>52581007+21782</f>
        <v>52602789</v>
      </c>
      <c r="E14" s="58">
        <f t="shared" si="0"/>
        <v>0.47126055649426896</v>
      </c>
      <c r="F14" s="21" t="s">
        <v>107</v>
      </c>
      <c r="G14" s="61">
        <v>3</v>
      </c>
      <c r="H14" s="98">
        <f t="shared" si="2"/>
        <v>111621</v>
      </c>
      <c r="I14" s="98">
        <f>ROUND(D14/1000,0)+1</f>
        <v>52604</v>
      </c>
      <c r="J14" s="58">
        <f t="shared" si="1"/>
        <v>0.47127332670375643</v>
      </c>
    </row>
    <row r="15" spans="1:10" ht="18" customHeight="1">
      <c r="A15" s="22" t="s">
        <v>108</v>
      </c>
      <c r="B15" s="56">
        <v>4</v>
      </c>
      <c r="C15" s="57">
        <v>81735220</v>
      </c>
      <c r="D15" s="57">
        <f>38166945+21998</f>
        <v>38188943</v>
      </c>
      <c r="E15" s="58">
        <f t="shared" si="0"/>
        <v>0.46722750608611563</v>
      </c>
      <c r="F15" s="21" t="s">
        <v>108</v>
      </c>
      <c r="G15" s="61">
        <v>4</v>
      </c>
      <c r="H15" s="98">
        <f t="shared" si="2"/>
        <v>81735</v>
      </c>
      <c r="I15" s="98">
        <f aca="true" t="shared" si="3" ref="I15:I24">ROUND(D15/1000,0)</f>
        <v>38189</v>
      </c>
      <c r="J15" s="58">
        <f t="shared" si="1"/>
        <v>0.467229461063192</v>
      </c>
    </row>
    <row r="16" spans="1:10" ht="18" customHeight="1">
      <c r="A16" s="22" t="s">
        <v>109</v>
      </c>
      <c r="B16" s="56">
        <v>5</v>
      </c>
      <c r="C16" s="57">
        <v>73609184</v>
      </c>
      <c r="D16" s="57">
        <v>33974374</v>
      </c>
      <c r="E16" s="58">
        <f t="shared" si="0"/>
        <v>0.46155074888481307</v>
      </c>
      <c r="F16" s="21" t="s">
        <v>109</v>
      </c>
      <c r="G16" s="61">
        <v>5</v>
      </c>
      <c r="H16" s="98">
        <f t="shared" si="2"/>
        <v>73609</v>
      </c>
      <c r="I16" s="98">
        <f t="shared" si="3"/>
        <v>33974</v>
      </c>
      <c r="J16" s="58">
        <f t="shared" si="1"/>
        <v>0.4615468217201701</v>
      </c>
    </row>
    <row r="17" spans="1:10" ht="20.25" customHeight="1">
      <c r="A17" s="22" t="s">
        <v>110</v>
      </c>
      <c r="B17" s="56">
        <v>6</v>
      </c>
      <c r="C17" s="57">
        <v>81019596</v>
      </c>
      <c r="D17" s="57">
        <v>40863224</v>
      </c>
      <c r="E17" s="58">
        <f t="shared" si="0"/>
        <v>0.5043622286144206</v>
      </c>
      <c r="F17" s="21" t="s">
        <v>110</v>
      </c>
      <c r="G17" s="61">
        <v>6</v>
      </c>
      <c r="H17" s="98">
        <f t="shared" si="2"/>
        <v>81020</v>
      </c>
      <c r="I17" s="98">
        <f t="shared" si="3"/>
        <v>40863</v>
      </c>
      <c r="J17" s="58">
        <f t="shared" si="1"/>
        <v>0.5043569489015058</v>
      </c>
    </row>
    <row r="18" spans="1:10" ht="19.5" customHeight="1">
      <c r="A18" s="23" t="s">
        <v>111</v>
      </c>
      <c r="B18" s="56">
        <v>7</v>
      </c>
      <c r="C18" s="57">
        <v>4350503</v>
      </c>
      <c r="D18" s="57">
        <v>1883096</v>
      </c>
      <c r="E18" s="58">
        <f t="shared" si="0"/>
        <v>0.43284558130404693</v>
      </c>
      <c r="F18" s="63" t="s">
        <v>111</v>
      </c>
      <c r="G18" s="61">
        <v>7</v>
      </c>
      <c r="H18" s="98">
        <f t="shared" si="2"/>
        <v>4351</v>
      </c>
      <c r="I18" s="98">
        <f t="shared" si="3"/>
        <v>1883</v>
      </c>
      <c r="J18" s="58">
        <f t="shared" si="1"/>
        <v>0.4327740749253045</v>
      </c>
    </row>
    <row r="19" spans="1:10" ht="18.75" customHeight="1">
      <c r="A19" s="22" t="s">
        <v>112</v>
      </c>
      <c r="B19" s="56">
        <v>8</v>
      </c>
      <c r="C19" s="57">
        <v>21858785</v>
      </c>
      <c r="D19" s="57">
        <f>10235807+189</f>
        <v>10235996</v>
      </c>
      <c r="E19" s="58">
        <f t="shared" si="0"/>
        <v>0.468278360393773</v>
      </c>
      <c r="F19" s="21" t="s">
        <v>112</v>
      </c>
      <c r="G19" s="61">
        <v>8</v>
      </c>
      <c r="H19" s="98">
        <f t="shared" si="2"/>
        <v>21859</v>
      </c>
      <c r="I19" s="98">
        <f t="shared" si="3"/>
        <v>10236</v>
      </c>
      <c r="J19" s="58">
        <f t="shared" si="1"/>
        <v>0.4682739375085777</v>
      </c>
    </row>
    <row r="20" spans="1:10" ht="19.5" customHeight="1">
      <c r="A20" s="22" t="s">
        <v>113</v>
      </c>
      <c r="B20" s="56">
        <v>9</v>
      </c>
      <c r="C20" s="57">
        <v>171622</v>
      </c>
      <c r="D20" s="57">
        <f>76195</f>
        <v>76195</v>
      </c>
      <c r="E20" s="58">
        <f t="shared" si="0"/>
        <v>0.44396988731048465</v>
      </c>
      <c r="F20" s="21" t="s">
        <v>113</v>
      </c>
      <c r="G20" s="61">
        <v>9</v>
      </c>
      <c r="H20" s="98">
        <f t="shared" si="2"/>
        <v>172</v>
      </c>
      <c r="I20" s="98">
        <f t="shared" si="3"/>
        <v>76</v>
      </c>
      <c r="J20" s="58">
        <f t="shared" si="1"/>
        <v>0.4418604651162791</v>
      </c>
    </row>
    <row r="21" spans="1:10" ht="19.5" customHeight="1">
      <c r="A21" s="23" t="s">
        <v>114</v>
      </c>
      <c r="B21" s="56">
        <v>10</v>
      </c>
      <c r="C21" s="57">
        <v>56821964</v>
      </c>
      <c r="D21" s="57">
        <v>24135632</v>
      </c>
      <c r="E21" s="58">
        <f t="shared" si="0"/>
        <v>0.42475884853258505</v>
      </c>
      <c r="F21" s="63" t="s">
        <v>114</v>
      </c>
      <c r="G21" s="61">
        <v>10</v>
      </c>
      <c r="H21" s="98">
        <f t="shared" si="2"/>
        <v>56822</v>
      </c>
      <c r="I21" s="98">
        <f t="shared" si="3"/>
        <v>24136</v>
      </c>
      <c r="J21" s="58">
        <f t="shared" si="1"/>
        <v>0.424765055788251</v>
      </c>
    </row>
    <row r="22" spans="1:10" ht="20.25" customHeight="1">
      <c r="A22" s="23" t="s">
        <v>115</v>
      </c>
      <c r="B22" s="56">
        <v>11</v>
      </c>
      <c r="C22" s="57">
        <v>865923</v>
      </c>
      <c r="D22" s="57">
        <v>321563</v>
      </c>
      <c r="E22" s="58">
        <f t="shared" si="0"/>
        <v>0.37135288010596784</v>
      </c>
      <c r="F22" s="63" t="s">
        <v>115</v>
      </c>
      <c r="G22" s="61">
        <v>11</v>
      </c>
      <c r="H22" s="98">
        <f t="shared" si="2"/>
        <v>866</v>
      </c>
      <c r="I22" s="98">
        <f t="shared" si="3"/>
        <v>322</v>
      </c>
      <c r="J22" s="58">
        <f t="shared" si="1"/>
        <v>0.371824480369515</v>
      </c>
    </row>
    <row r="23" spans="1:10" ht="19.5" customHeight="1">
      <c r="A23" s="22" t="s">
        <v>116</v>
      </c>
      <c r="B23" s="56">
        <v>12</v>
      </c>
      <c r="C23" s="57">
        <v>8339812</v>
      </c>
      <c r="D23" s="57">
        <v>3690189</v>
      </c>
      <c r="E23" s="58">
        <f t="shared" si="0"/>
        <v>0.44247867937550633</v>
      </c>
      <c r="F23" s="21" t="s">
        <v>116</v>
      </c>
      <c r="G23" s="61">
        <v>12</v>
      </c>
      <c r="H23" s="98">
        <f t="shared" si="2"/>
        <v>8340</v>
      </c>
      <c r="I23" s="98">
        <f t="shared" si="3"/>
        <v>3690</v>
      </c>
      <c r="J23" s="58">
        <f t="shared" si="1"/>
        <v>0.44244604316546765</v>
      </c>
    </row>
    <row r="24" spans="1:10" ht="19.5" customHeight="1">
      <c r="A24" s="22" t="s">
        <v>117</v>
      </c>
      <c r="B24" s="56">
        <v>13</v>
      </c>
      <c r="C24" s="57">
        <v>19543748</v>
      </c>
      <c r="D24" s="57">
        <v>8611836</v>
      </c>
      <c r="E24" s="58">
        <f t="shared" si="0"/>
        <v>0.44064403613882047</v>
      </c>
      <c r="F24" s="21" t="s">
        <v>117</v>
      </c>
      <c r="G24" s="61">
        <v>13</v>
      </c>
      <c r="H24" s="98">
        <f t="shared" si="2"/>
        <v>19544</v>
      </c>
      <c r="I24" s="98">
        <f t="shared" si="3"/>
        <v>8612</v>
      </c>
      <c r="J24" s="58">
        <f t="shared" si="1"/>
        <v>0.44064674580433894</v>
      </c>
    </row>
    <row r="25" spans="1:10" ht="19.5" customHeight="1">
      <c r="A25" s="23" t="s">
        <v>118</v>
      </c>
      <c r="B25" s="56">
        <v>14</v>
      </c>
      <c r="C25" s="57">
        <f>145178502+96292223</f>
        <v>241470725</v>
      </c>
      <c r="D25" s="57">
        <f>67769432+33227000</f>
        <v>100996432</v>
      </c>
      <c r="E25" s="58">
        <f t="shared" si="0"/>
        <v>0.4182553889296518</v>
      </c>
      <c r="F25" s="63" t="s">
        <v>386</v>
      </c>
      <c r="G25" s="61">
        <v>14</v>
      </c>
      <c r="H25" s="98">
        <f>ROUND(C25/1000,)-1</f>
        <v>241470</v>
      </c>
      <c r="I25" s="98">
        <f>ROUND(D25/1000,0)+1</f>
        <v>100997</v>
      </c>
      <c r="J25" s="58">
        <f t="shared" si="1"/>
        <v>0.41825899697685015</v>
      </c>
    </row>
    <row r="26" spans="2:10" ht="12.75">
      <c r="B26" s="64"/>
      <c r="C26" s="65"/>
      <c r="D26" s="65"/>
      <c r="E26" s="66"/>
      <c r="G26" s="64"/>
      <c r="H26" s="65"/>
      <c r="I26" s="65"/>
      <c r="J26" s="66"/>
    </row>
    <row r="27" spans="2:10" ht="12.75">
      <c r="B27" s="64"/>
      <c r="C27" s="65"/>
      <c r="D27" s="65"/>
      <c r="E27" s="66"/>
      <c r="G27" s="64"/>
      <c r="H27" s="65"/>
      <c r="I27" s="65"/>
      <c r="J27" s="66"/>
    </row>
    <row r="28" spans="1:10" ht="14.25">
      <c r="A28" s="67"/>
      <c r="B28" s="68"/>
      <c r="C28" s="65"/>
      <c r="D28" s="65"/>
      <c r="E28" s="66"/>
      <c r="F28" s="67"/>
      <c r="G28" s="68"/>
      <c r="H28" s="65"/>
      <c r="I28" s="65"/>
      <c r="J28" s="66"/>
    </row>
    <row r="29" spans="1:10" ht="14.25">
      <c r="A29" s="67"/>
      <c r="B29" s="68"/>
      <c r="C29" s="65"/>
      <c r="D29" s="65"/>
      <c r="E29" s="66"/>
      <c r="F29" s="29" t="s">
        <v>387</v>
      </c>
      <c r="G29" s="68"/>
      <c r="H29" s="65"/>
      <c r="I29" s="65"/>
      <c r="J29" s="66"/>
    </row>
    <row r="30" spans="1:10" ht="14.25">
      <c r="A30" s="67"/>
      <c r="B30" s="68"/>
      <c r="C30" s="65"/>
      <c r="D30" s="65"/>
      <c r="E30" s="66"/>
      <c r="F30" s="67"/>
      <c r="G30" s="68"/>
      <c r="H30" s="65"/>
      <c r="I30" s="65"/>
      <c r="J30" s="66"/>
    </row>
    <row r="31" spans="1:10" ht="14.25">
      <c r="A31" s="67"/>
      <c r="B31" s="68"/>
      <c r="C31" s="65"/>
      <c r="D31" s="65"/>
      <c r="E31" s="66"/>
      <c r="F31" s="67"/>
      <c r="G31" s="68"/>
      <c r="H31" s="65"/>
      <c r="I31" s="65"/>
      <c r="J31" s="66"/>
    </row>
    <row r="32" spans="1:10" ht="14.25">
      <c r="A32" s="67"/>
      <c r="B32" s="68"/>
      <c r="C32" s="65"/>
      <c r="D32" s="65"/>
      <c r="E32" s="66"/>
      <c r="F32" s="67"/>
      <c r="G32" s="68"/>
      <c r="H32" s="65"/>
      <c r="I32" s="65"/>
      <c r="J32" s="66"/>
    </row>
    <row r="33" spans="1:10" ht="14.25">
      <c r="A33" s="67"/>
      <c r="B33" s="68"/>
      <c r="C33" s="65"/>
      <c r="D33" s="65"/>
      <c r="E33" s="66"/>
      <c r="F33" s="67"/>
      <c r="G33" s="68"/>
      <c r="H33" s="65"/>
      <c r="I33" s="65"/>
      <c r="J33" s="66"/>
    </row>
    <row r="34" spans="1:10" ht="14.25">
      <c r="A34" s="67"/>
      <c r="B34" s="68"/>
      <c r="C34" s="65"/>
      <c r="D34" s="65"/>
      <c r="E34" s="66"/>
      <c r="F34" s="67"/>
      <c r="G34" s="68"/>
      <c r="H34" s="65"/>
      <c r="I34" s="65"/>
      <c r="J34" s="66"/>
    </row>
    <row r="35" spans="1:10" ht="14.25">
      <c r="A35" s="67"/>
      <c r="B35" s="68"/>
      <c r="C35" s="65"/>
      <c r="D35" s="65"/>
      <c r="E35" s="66"/>
      <c r="F35" s="67"/>
      <c r="G35" s="68"/>
      <c r="H35" s="65"/>
      <c r="I35" s="65"/>
      <c r="J35" s="66"/>
    </row>
    <row r="36" spans="1:10" ht="12">
      <c r="A36" s="29" t="s">
        <v>388</v>
      </c>
      <c r="B36" s="64"/>
      <c r="C36" s="69" t="s">
        <v>120</v>
      </c>
      <c r="D36" s="69"/>
      <c r="E36" s="66"/>
      <c r="F36" s="29" t="s">
        <v>389</v>
      </c>
      <c r="G36" s="64"/>
      <c r="H36" s="69" t="s">
        <v>121</v>
      </c>
      <c r="I36" s="69"/>
      <c r="J36" s="66"/>
    </row>
    <row r="37" spans="2:10" ht="12">
      <c r="B37" s="64"/>
      <c r="C37" s="69"/>
      <c r="D37" s="69"/>
      <c r="E37" s="66"/>
      <c r="G37" s="64"/>
      <c r="H37" s="69"/>
      <c r="I37" s="69"/>
      <c r="J37" s="66"/>
    </row>
    <row r="38" spans="3:10" ht="12">
      <c r="C38" s="69"/>
      <c r="D38" s="69"/>
      <c r="E38" s="70"/>
      <c r="H38" s="69"/>
      <c r="I38" s="69"/>
      <c r="J38" s="70"/>
    </row>
    <row r="39" spans="3:10" ht="12">
      <c r="C39" s="69"/>
      <c r="D39" s="69"/>
      <c r="E39" s="70"/>
      <c r="H39" s="69"/>
      <c r="I39" s="69"/>
      <c r="J39" s="70"/>
    </row>
    <row r="40" spans="1:10" ht="12.75">
      <c r="A40" s="29" t="s">
        <v>122</v>
      </c>
      <c r="C40" s="65"/>
      <c r="D40" s="65"/>
      <c r="E40" s="66"/>
      <c r="F40" s="29" t="s">
        <v>122</v>
      </c>
      <c r="H40" s="65"/>
      <c r="I40" s="65"/>
      <c r="J40" s="66"/>
    </row>
    <row r="41" spans="1:10" ht="14.25">
      <c r="A41" s="29" t="s">
        <v>93</v>
      </c>
      <c r="B41" s="67"/>
      <c r="C41" s="65"/>
      <c r="D41" s="65"/>
      <c r="E41" s="66"/>
      <c r="F41" s="29" t="s">
        <v>93</v>
      </c>
      <c r="G41" s="67"/>
      <c r="H41" s="65"/>
      <c r="I41" s="65"/>
      <c r="J41" s="66"/>
    </row>
    <row r="42" spans="1:10" ht="14.25">
      <c r="A42" s="67"/>
      <c r="B42" s="67"/>
      <c r="C42" s="65"/>
      <c r="D42" s="65"/>
      <c r="E42" s="66"/>
      <c r="F42" s="67"/>
      <c r="G42" s="67"/>
      <c r="H42" s="65"/>
      <c r="I42" s="65"/>
      <c r="J42" s="66"/>
    </row>
    <row r="43" spans="1:10" ht="14.25">
      <c r="A43" s="67"/>
      <c r="B43" s="67"/>
      <c r="C43" s="65"/>
      <c r="D43" s="65"/>
      <c r="E43" s="66"/>
      <c r="F43" s="67"/>
      <c r="G43" s="67"/>
      <c r="H43" s="65"/>
      <c r="I43" s="65"/>
      <c r="J43" s="66"/>
    </row>
    <row r="44" spans="1:10" ht="14.25">
      <c r="A44" s="67"/>
      <c r="B44" s="67"/>
      <c r="C44" s="65"/>
      <c r="D44" s="65"/>
      <c r="E44" s="66"/>
      <c r="F44" s="67"/>
      <c r="G44" s="67"/>
      <c r="H44" s="65"/>
      <c r="I44" s="65"/>
      <c r="J44" s="66"/>
    </row>
    <row r="45" spans="1:10" ht="14.25">
      <c r="A45" s="67"/>
      <c r="B45" s="67"/>
      <c r="C45" s="65"/>
      <c r="D45" s="65"/>
      <c r="E45" s="66"/>
      <c r="F45" s="67"/>
      <c r="G45" s="67"/>
      <c r="H45" s="65"/>
      <c r="I45" s="65"/>
      <c r="J45" s="66"/>
    </row>
    <row r="46" spans="1:10" ht="14.25">
      <c r="A46" s="67"/>
      <c r="B46" s="67"/>
      <c r="C46" s="65"/>
      <c r="D46" s="65"/>
      <c r="E46" s="66"/>
      <c r="F46" s="67"/>
      <c r="G46" s="67"/>
      <c r="H46" s="65"/>
      <c r="I46" s="65"/>
      <c r="J46" s="66"/>
    </row>
    <row r="47" spans="1:10" ht="14.25">
      <c r="A47" s="67"/>
      <c r="B47" s="67"/>
      <c r="C47" s="65"/>
      <c r="D47" s="65"/>
      <c r="E47" s="66"/>
      <c r="F47" s="67"/>
      <c r="G47" s="67"/>
      <c r="H47" s="65"/>
      <c r="I47" s="65"/>
      <c r="J47" s="66"/>
    </row>
    <row r="48" spans="1:10" ht="12.75">
      <c r="A48" s="29" t="s">
        <v>122</v>
      </c>
      <c r="C48" s="65"/>
      <c r="D48" s="65"/>
      <c r="E48" s="66"/>
      <c r="F48" s="29" t="s">
        <v>122</v>
      </c>
      <c r="H48" s="65"/>
      <c r="I48" s="65"/>
      <c r="J48" s="66"/>
    </row>
    <row r="49" spans="1:10" ht="12.75">
      <c r="A49" s="29" t="s">
        <v>390</v>
      </c>
      <c r="C49" s="65"/>
      <c r="D49" s="65"/>
      <c r="E49" s="66"/>
      <c r="F49" s="29" t="s">
        <v>390</v>
      </c>
      <c r="H49" s="65"/>
      <c r="I49" s="65"/>
      <c r="J49" s="66"/>
    </row>
    <row r="50" spans="3:10" ht="12.75">
      <c r="C50" s="65"/>
      <c r="D50" s="65"/>
      <c r="E50" s="66"/>
      <c r="H50" s="65"/>
      <c r="I50" s="65"/>
      <c r="J50" s="66"/>
    </row>
    <row r="51" spans="3:10" ht="12.75">
      <c r="C51" s="65"/>
      <c r="D51" s="65"/>
      <c r="E51" s="66"/>
      <c r="H51" s="65"/>
      <c r="I51" s="65"/>
      <c r="J51" s="66"/>
    </row>
    <row r="52" spans="3:10" ht="12.75">
      <c r="C52" s="65"/>
      <c r="D52" s="65"/>
      <c r="E52" s="66"/>
      <c r="H52" s="65"/>
      <c r="I52" s="65"/>
      <c r="J52" s="66"/>
    </row>
    <row r="53" spans="3:10" ht="12.75">
      <c r="C53" s="69"/>
      <c r="D53" s="65"/>
      <c r="E53" s="66"/>
      <c r="H53" s="69"/>
      <c r="I53" s="65"/>
      <c r="J53" s="66"/>
    </row>
    <row r="54" spans="2:9" ht="12.75">
      <c r="B54" s="65"/>
      <c r="C54" s="65"/>
      <c r="D54" s="66"/>
      <c r="G54" s="65"/>
      <c r="H54" s="65"/>
      <c r="I54" s="66"/>
    </row>
    <row r="55" spans="2:9" ht="12.75">
      <c r="B55" s="65"/>
      <c r="C55" s="65"/>
      <c r="D55" s="66"/>
      <c r="G55" s="65"/>
      <c r="H55" s="65"/>
      <c r="I55" s="66"/>
    </row>
    <row r="56" spans="2:9" ht="12.75">
      <c r="B56" s="65"/>
      <c r="C56" s="65"/>
      <c r="D56" s="66"/>
      <c r="G56" s="65"/>
      <c r="H56" s="65"/>
      <c r="I56" s="66"/>
    </row>
    <row r="57" spans="2:9" ht="12.75">
      <c r="B57" s="69"/>
      <c r="C57" s="65"/>
      <c r="D57" s="66"/>
      <c r="G57" s="69"/>
      <c r="H57" s="65"/>
      <c r="I57" s="66"/>
    </row>
    <row r="58" spans="2:9" ht="12.75">
      <c r="B58" s="69"/>
      <c r="C58" s="65"/>
      <c r="D58" s="66"/>
      <c r="G58" s="69"/>
      <c r="H58" s="65"/>
      <c r="I58" s="66"/>
    </row>
    <row r="59" spans="2:9" ht="12.75">
      <c r="B59" s="69"/>
      <c r="C59" s="65"/>
      <c r="D59" s="66"/>
      <c r="G59" s="69"/>
      <c r="H59" s="65"/>
      <c r="I59" s="66"/>
    </row>
    <row r="60" spans="2:9" ht="12.75">
      <c r="B60" s="69"/>
      <c r="C60" s="1"/>
      <c r="D60" s="66"/>
      <c r="G60" s="69"/>
      <c r="H60" s="1"/>
      <c r="I60" s="66"/>
    </row>
    <row r="61" spans="2:9" ht="12.75">
      <c r="B61" s="69"/>
      <c r="C61" s="1"/>
      <c r="D61" s="66"/>
      <c r="G61" s="69"/>
      <c r="H61" s="1"/>
      <c r="I61" s="66"/>
    </row>
    <row r="62" spans="2:9" ht="12.75">
      <c r="B62" s="69"/>
      <c r="C62" s="1"/>
      <c r="D62" s="66"/>
      <c r="G62" s="69"/>
      <c r="H62" s="1"/>
      <c r="I62" s="66"/>
    </row>
    <row r="63" spans="2:9" ht="12.75">
      <c r="B63" s="69"/>
      <c r="C63" s="1"/>
      <c r="D63" s="66"/>
      <c r="G63" s="69"/>
      <c r="H63" s="1"/>
      <c r="I63" s="66"/>
    </row>
    <row r="64" spans="2:9" ht="12.75">
      <c r="B64" s="69"/>
      <c r="C64" s="1"/>
      <c r="D64" s="66"/>
      <c r="G64" s="69"/>
      <c r="H64" s="1"/>
      <c r="I64" s="66"/>
    </row>
    <row r="65" spans="2:9" ht="12.75">
      <c r="B65" s="69"/>
      <c r="C65" s="1"/>
      <c r="D65" s="66"/>
      <c r="G65" s="69"/>
      <c r="H65" s="1"/>
      <c r="I65" s="66"/>
    </row>
    <row r="66" spans="2:9" ht="12.75">
      <c r="B66" s="69"/>
      <c r="C66" s="1"/>
      <c r="D66" s="66"/>
      <c r="G66" s="69"/>
      <c r="H66" s="1"/>
      <c r="I66" s="66"/>
    </row>
    <row r="67" spans="2:9" ht="12.75">
      <c r="B67" s="69"/>
      <c r="C67" s="1"/>
      <c r="D67" s="66"/>
      <c r="G67" s="69"/>
      <c r="H67" s="1"/>
      <c r="I67" s="66"/>
    </row>
    <row r="68" spans="2:9" ht="12.75">
      <c r="B68" s="69"/>
      <c r="C68" s="1"/>
      <c r="D68" s="66"/>
      <c r="G68" s="69"/>
      <c r="H68" s="1"/>
      <c r="I68" s="66"/>
    </row>
    <row r="69" spans="2:9" ht="12.75">
      <c r="B69" s="69"/>
      <c r="C69" s="1"/>
      <c r="D69" s="66"/>
      <c r="G69" s="69"/>
      <c r="H69" s="1"/>
      <c r="I69" s="66"/>
    </row>
    <row r="70" spans="2:9" ht="12.75">
      <c r="B70" s="69"/>
      <c r="C70" s="1"/>
      <c r="D70" s="66"/>
      <c r="G70" s="69"/>
      <c r="H70" s="1"/>
      <c r="I70" s="66"/>
    </row>
    <row r="71" spans="2:9" ht="12.75">
      <c r="B71" s="69"/>
      <c r="C71" s="1"/>
      <c r="D71" s="66"/>
      <c r="G71" s="69"/>
      <c r="H71" s="1"/>
      <c r="I71" s="66"/>
    </row>
    <row r="72" spans="2:9" ht="12.75">
      <c r="B72" s="69"/>
      <c r="C72" s="1"/>
      <c r="D72" s="66"/>
      <c r="G72" s="69"/>
      <c r="H72" s="1"/>
      <c r="I72" s="66"/>
    </row>
    <row r="73" spans="2:9" ht="12.75">
      <c r="B73" s="69"/>
      <c r="C73" s="1"/>
      <c r="D73" s="66"/>
      <c r="G73" s="69"/>
      <c r="H73" s="1"/>
      <c r="I73" s="66"/>
    </row>
    <row r="74" spans="2:9" ht="12.75">
      <c r="B74" s="69"/>
      <c r="C74" s="1"/>
      <c r="D74" s="66"/>
      <c r="G74" s="69"/>
      <c r="H74" s="1"/>
      <c r="I74" s="66"/>
    </row>
    <row r="75" spans="2:9" ht="12.75">
      <c r="B75" s="69"/>
      <c r="C75" s="1"/>
      <c r="D75" s="66"/>
      <c r="G75" s="69"/>
      <c r="H75" s="1"/>
      <c r="I75" s="66"/>
    </row>
    <row r="76" spans="2:9" ht="12.75">
      <c r="B76" s="69"/>
      <c r="C76" s="1"/>
      <c r="D76" s="66"/>
      <c r="G76" s="69"/>
      <c r="H76" s="1"/>
      <c r="I76" s="66"/>
    </row>
    <row r="77" spans="2:9" ht="12.75">
      <c r="B77" s="69"/>
      <c r="C77" s="1"/>
      <c r="D77" s="66"/>
      <c r="G77" s="69"/>
      <c r="H77" s="1"/>
      <c r="I77" s="66"/>
    </row>
    <row r="78" spans="2:9" ht="12.75">
      <c r="B78" s="69"/>
      <c r="C78" s="1"/>
      <c r="D78" s="66"/>
      <c r="G78" s="69"/>
      <c r="H78" s="1"/>
      <c r="I78" s="66"/>
    </row>
    <row r="79" spans="2:9" ht="12.75">
      <c r="B79" s="69"/>
      <c r="C79" s="1"/>
      <c r="D79" s="66"/>
      <c r="G79" s="69"/>
      <c r="H79" s="1"/>
      <c r="I79" s="66"/>
    </row>
    <row r="80" spans="2:9" ht="12">
      <c r="B80" s="69"/>
      <c r="D80" s="66"/>
      <c r="G80" s="69"/>
      <c r="I80" s="66"/>
    </row>
    <row r="81" spans="2:9" ht="12">
      <c r="B81" s="69"/>
      <c r="D81" s="66"/>
      <c r="G81" s="69"/>
      <c r="I81" s="66"/>
    </row>
    <row r="82" spans="2:9" ht="12">
      <c r="B82" s="69"/>
      <c r="D82" s="66"/>
      <c r="G82" s="69"/>
      <c r="I82" s="66"/>
    </row>
    <row r="83" spans="2:9" ht="12">
      <c r="B83" s="69"/>
      <c r="D83" s="66"/>
      <c r="G83" s="69"/>
      <c r="I83" s="66"/>
    </row>
    <row r="84" spans="2:9" ht="12">
      <c r="B84" s="69"/>
      <c r="D84" s="66"/>
      <c r="G84" s="69"/>
      <c r="I84" s="66"/>
    </row>
    <row r="85" spans="2:9" ht="12">
      <c r="B85" s="69"/>
      <c r="D85" s="66"/>
      <c r="G85" s="69"/>
      <c r="I85" s="66"/>
    </row>
    <row r="86" spans="2:9" ht="12">
      <c r="B86" s="69"/>
      <c r="D86" s="66"/>
      <c r="G86" s="69"/>
      <c r="I86" s="66"/>
    </row>
    <row r="87" spans="2:9" ht="12">
      <c r="B87" s="69"/>
      <c r="D87" s="66"/>
      <c r="G87" s="69"/>
      <c r="I87" s="66"/>
    </row>
    <row r="88" spans="2:9" ht="12">
      <c r="B88" s="69"/>
      <c r="D88" s="66"/>
      <c r="G88" s="69"/>
      <c r="I88" s="66"/>
    </row>
    <row r="89" spans="2:9" ht="12">
      <c r="B89" s="69"/>
      <c r="D89" s="66"/>
      <c r="G89" s="69"/>
      <c r="I89" s="66"/>
    </row>
    <row r="90" spans="2:9" ht="12">
      <c r="B90" s="69"/>
      <c r="D90" s="66"/>
      <c r="G90" s="69"/>
      <c r="I90" s="66"/>
    </row>
    <row r="91" spans="2:9" ht="12">
      <c r="B91" s="69"/>
      <c r="D91" s="66"/>
      <c r="G91" s="69"/>
      <c r="I91" s="66"/>
    </row>
    <row r="92" spans="2:9" ht="12">
      <c r="B92" s="69"/>
      <c r="D92" s="66"/>
      <c r="G92" s="69"/>
      <c r="I92" s="66"/>
    </row>
    <row r="93" spans="2:9" ht="12">
      <c r="B93" s="69"/>
      <c r="D93" s="66"/>
      <c r="G93" s="69"/>
      <c r="I93" s="66"/>
    </row>
    <row r="94" spans="2:9" ht="12">
      <c r="B94" s="69"/>
      <c r="D94" s="66"/>
      <c r="G94" s="69"/>
      <c r="I94" s="66"/>
    </row>
    <row r="95" spans="2:9" ht="12">
      <c r="B95" s="69"/>
      <c r="D95" s="66"/>
      <c r="G95" s="69"/>
      <c r="I95" s="66"/>
    </row>
    <row r="96" spans="2:9" ht="12">
      <c r="B96" s="69"/>
      <c r="D96" s="66"/>
      <c r="G96" s="69"/>
      <c r="I96" s="66"/>
    </row>
    <row r="97" spans="2:9" ht="12">
      <c r="B97" s="69"/>
      <c r="D97" s="66"/>
      <c r="G97" s="69"/>
      <c r="I97" s="66"/>
    </row>
    <row r="98" spans="2:9" ht="12">
      <c r="B98" s="69"/>
      <c r="D98" s="66"/>
      <c r="G98" s="69"/>
      <c r="I98" s="66"/>
    </row>
    <row r="99" spans="2:9" ht="12">
      <c r="B99" s="69"/>
      <c r="D99" s="66"/>
      <c r="G99" s="69"/>
      <c r="I99" s="66"/>
    </row>
    <row r="100" spans="2:9" ht="12">
      <c r="B100" s="69"/>
      <c r="D100" s="66"/>
      <c r="G100" s="69"/>
      <c r="I100" s="66"/>
    </row>
    <row r="101" spans="2:9" ht="12">
      <c r="B101" s="69"/>
      <c r="D101" s="66"/>
      <c r="G101" s="69"/>
      <c r="I101" s="66"/>
    </row>
    <row r="102" spans="2:9" ht="12">
      <c r="B102" s="69"/>
      <c r="D102" s="66"/>
      <c r="G102" s="69"/>
      <c r="I102" s="66"/>
    </row>
    <row r="103" spans="2:9" ht="12">
      <c r="B103" s="69"/>
      <c r="D103" s="66"/>
      <c r="G103" s="69"/>
      <c r="I103" s="66"/>
    </row>
    <row r="104" spans="2:9" ht="12">
      <c r="B104" s="69"/>
      <c r="D104" s="66"/>
      <c r="G104" s="69"/>
      <c r="I104" s="66"/>
    </row>
    <row r="105" spans="2:9" ht="12">
      <c r="B105" s="69"/>
      <c r="D105" s="66"/>
      <c r="G105" s="69"/>
      <c r="I105" s="66"/>
    </row>
    <row r="106" spans="2:9" ht="12">
      <c r="B106" s="69"/>
      <c r="D106" s="66"/>
      <c r="G106" s="69"/>
      <c r="I106" s="66"/>
    </row>
    <row r="107" spans="2:7" ht="12">
      <c r="B107" s="69"/>
      <c r="G107" s="69"/>
    </row>
    <row r="108" spans="2:7" ht="12">
      <c r="B108" s="69"/>
      <c r="G108" s="69"/>
    </row>
    <row r="109" spans="2:7" ht="12">
      <c r="B109" s="69"/>
      <c r="G109" s="69"/>
    </row>
    <row r="110" spans="2:7" ht="12">
      <c r="B110" s="69"/>
      <c r="G110" s="69"/>
    </row>
    <row r="111" spans="2:7" ht="12">
      <c r="B111" s="69"/>
      <c r="G111" s="69"/>
    </row>
    <row r="112" spans="2:7" ht="12">
      <c r="B112" s="69"/>
      <c r="G112" s="69"/>
    </row>
    <row r="113" spans="2:7" ht="12">
      <c r="B113" s="69"/>
      <c r="G113" s="69"/>
    </row>
    <row r="114" spans="2:7" ht="12">
      <c r="B114" s="69"/>
      <c r="G114" s="69"/>
    </row>
    <row r="115" spans="2:7" ht="12">
      <c r="B115" s="69"/>
      <c r="G115" s="69"/>
    </row>
  </sheetData>
  <mergeCells count="2">
    <mergeCell ref="F3:J3"/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IlzeM</cp:lastModifiedBy>
  <dcterms:created xsi:type="dcterms:W3CDTF">1999-07-15T13:15:45Z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